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0490" windowHeight="7665"/>
  </bookViews>
  <sheets>
    <sheet name="B1 TH" sheetId="1" r:id="rId1"/>
    <sheet name="B2" sheetId="2" state="hidden" r:id="rId2"/>
    <sheet name="B3" sheetId="3" state="hidden" r:id="rId3"/>
    <sheet name="B4" sheetId="4" state="hidden" r:id="rId4"/>
    <sheet name="B5" sheetId="5" state="hidden" r:id="rId5"/>
    <sheet name="B6" sheetId="6" state="hidden" r:id="rId6"/>
    <sheet name="B7" sheetId="7" state="hidden" r:id="rId7"/>
    <sheet name="B8" sheetId="8" state="hidden" r:id="rId8"/>
    <sheet name="B 8" sheetId="9" state="hidden" r:id="rId9"/>
    <sheet name="B10" sheetId="10" state="hidden" r:id="rId10"/>
    <sheet name="B 9" sheetId="11" state="hidden" r:id="rId11"/>
    <sheet name="B  8" sheetId="12" state="hidden" r:id="rId12"/>
    <sheet name="B13" sheetId="13" state="hidden" r:id="rId13"/>
    <sheet name="Sheet3" sheetId="16" state="hidden" r:id="rId14"/>
  </sheets>
  <externalReferences>
    <externalReference r:id="rId15"/>
    <externalReference r:id="rId16"/>
    <externalReference r:id="rId17"/>
  </externalReferences>
  <definedNames>
    <definedName name="_xlnm.Print_Titles" localSheetId="10">'B 9'!$5:$5</definedName>
    <definedName name="_xlnm.Print_Titles" localSheetId="0">'B1 TH'!$4:$5</definedName>
    <definedName name="_xlnm.Print_Titles" localSheetId="9">'B10'!$5:$5</definedName>
    <definedName name="_xlnm.Print_Titles" localSheetId="12">'B13'!$5:$6</definedName>
    <definedName name="_xlnm.Print_Titles" localSheetId="1">'B2'!$5:$6</definedName>
    <definedName name="_xlnm.Print_Titles" localSheetId="4">'B5'!$5:$5</definedName>
    <definedName name="_xlnm.Print_Titles" localSheetId="5">'B6'!$4:$5</definedName>
    <definedName name="_xlnm.Print_Titles" localSheetId="6">'B7'!$4:$5</definedName>
    <definedName name="_xlnm.Print_Titles" localSheetId="7">'B8'!$4:$7</definedName>
  </definedNames>
  <calcPr calcId="162913"/>
</workbook>
</file>

<file path=xl/calcChain.xml><?xml version="1.0" encoding="utf-8"?>
<calcChain xmlns="http://schemas.openxmlformats.org/spreadsheetml/2006/main">
  <c r="U52" i="1" l="1"/>
  <c r="U67" i="1"/>
  <c r="U66" i="1"/>
  <c r="U49" i="1"/>
  <c r="CU9" i="6"/>
  <c r="CS9" i="6"/>
  <c r="T8" i="11"/>
  <c r="Q8" i="11"/>
  <c r="R8" i="11"/>
  <c r="P8" i="11"/>
  <c r="U26" i="1"/>
  <c r="U23" i="1"/>
  <c r="U17" i="1"/>
  <c r="U18" i="1"/>
  <c r="U19" i="1"/>
  <c r="U20" i="1"/>
  <c r="U16" i="1" l="1"/>
  <c r="P74" i="1" l="1"/>
  <c r="Q41" i="1"/>
  <c r="T41" i="1" s="1"/>
  <c r="Q45" i="1"/>
  <c r="Q44" i="1"/>
  <c r="Q43" i="1"/>
  <c r="Q42" i="1"/>
  <c r="P41" i="1"/>
  <c r="P45" i="1"/>
  <c r="P44" i="1"/>
  <c r="P43" i="1"/>
  <c r="P42" i="1"/>
  <c r="O45" i="1" l="1"/>
  <c r="O44" i="1"/>
  <c r="O43" i="1"/>
  <c r="O42" i="1"/>
  <c r="O41" i="1"/>
  <c r="CG40" i="7" l="1"/>
  <c r="O8" i="1" l="1"/>
  <c r="O13" i="1" s="1"/>
  <c r="O14" i="1" l="1"/>
  <c r="O15" i="1"/>
  <c r="CD31" i="2" l="1"/>
  <c r="CC31" i="2"/>
  <c r="CE30" i="2"/>
  <c r="O64" i="1" l="1"/>
  <c r="CG10" i="7"/>
  <c r="CE32" i="2"/>
  <c r="CE12" i="2" l="1"/>
  <c r="CE31" i="2"/>
  <c r="CF22" i="2"/>
  <c r="CF23" i="2"/>
  <c r="CF24" i="2"/>
  <c r="CF25" i="2"/>
  <c r="CF26" i="2"/>
  <c r="CF27" i="2"/>
  <c r="CF28" i="2"/>
  <c r="CF29" i="2"/>
  <c r="CF30" i="2"/>
  <c r="CF33" i="2"/>
  <c r="CF34" i="2"/>
  <c r="CF35" i="2"/>
  <c r="CF36" i="2"/>
  <c r="CF37" i="2"/>
  <c r="CF38" i="2"/>
  <c r="CF39" i="2"/>
  <c r="CF40" i="2"/>
  <c r="CF41" i="2"/>
  <c r="CF42" i="2"/>
  <c r="CF43" i="2"/>
  <c r="CF44" i="2"/>
  <c r="CF45" i="2"/>
  <c r="CF46" i="2"/>
  <c r="CF47" i="2"/>
  <c r="CF48" i="2"/>
  <c r="CF49" i="2"/>
  <c r="CF50" i="2"/>
  <c r="CF51" i="2"/>
  <c r="CF52" i="2"/>
  <c r="CF53" i="2"/>
  <c r="CF54" i="2"/>
  <c r="CF55" i="2"/>
  <c r="CF56" i="2"/>
  <c r="CF57" i="2"/>
  <c r="CF58" i="2"/>
  <c r="CF59" i="2"/>
  <c r="CF60" i="2"/>
  <c r="CF61" i="2"/>
  <c r="CF62" i="2"/>
  <c r="CF63" i="2"/>
  <c r="CF64" i="2"/>
  <c r="CF65" i="2"/>
  <c r="CF66" i="2"/>
  <c r="CF67" i="2"/>
  <c r="CF12" i="2"/>
  <c r="CF13" i="2"/>
  <c r="CF14" i="2"/>
  <c r="CF18" i="2"/>
  <c r="CF19" i="2"/>
  <c r="CF20" i="2"/>
  <c r="CF21" i="2"/>
  <c r="CI53" i="2"/>
  <c r="CI54" i="2"/>
  <c r="CI55" i="2"/>
  <c r="CI56" i="2"/>
  <c r="CI57" i="2"/>
  <c r="CI58" i="2"/>
  <c r="CI59" i="2"/>
  <c r="CI60" i="2"/>
  <c r="CI61" i="2"/>
  <c r="CI62" i="2"/>
  <c r="CI63" i="2"/>
  <c r="CI64" i="2"/>
  <c r="CI65" i="2"/>
  <c r="CI27" i="2"/>
  <c r="CF32" i="2" l="1"/>
  <c r="CF31" i="2" s="1"/>
  <c r="CJ29" i="6"/>
  <c r="CK38" i="6" l="1"/>
  <c r="CG18" i="7"/>
  <c r="M54" i="1" l="1"/>
  <c r="K8" i="5" l="1"/>
  <c r="M9" i="4" l="1"/>
  <c r="N9" i="4"/>
  <c r="P9" i="4"/>
  <c r="Q9" i="4"/>
  <c r="L9" i="4"/>
  <c r="N27" i="1" l="1"/>
  <c r="M27" i="1"/>
  <c r="CG84" i="2"/>
  <c r="CH84" i="2"/>
  <c r="CE84" i="2" l="1"/>
  <c r="CJ43" i="2" l="1"/>
  <c r="CJ50" i="2"/>
  <c r="CJ51" i="2"/>
  <c r="CJ52" i="2"/>
  <c r="CJ54" i="2"/>
  <c r="CK54" i="2"/>
  <c r="CJ55" i="2"/>
  <c r="CK55" i="2"/>
  <c r="CJ56" i="2"/>
  <c r="CK56" i="2"/>
  <c r="CJ57" i="2"/>
  <c r="CK57" i="2"/>
  <c r="CJ58" i="2"/>
  <c r="CK58" i="2"/>
  <c r="CJ61" i="2"/>
  <c r="CK61" i="2"/>
  <c r="CJ62" i="2"/>
  <c r="CK62" i="2"/>
  <c r="CJ63" i="2"/>
  <c r="CK63" i="2"/>
  <c r="CJ65" i="2"/>
  <c r="CK65" i="2"/>
  <c r="CJ75" i="2"/>
  <c r="CK75" i="2"/>
  <c r="CJ82" i="2"/>
  <c r="CK82" i="2"/>
  <c r="CI86" i="2"/>
  <c r="CI87" i="2"/>
  <c r="CI88" i="2"/>
  <c r="CI89" i="2"/>
  <c r="CI90" i="2"/>
  <c r="CI91" i="2"/>
  <c r="CI92" i="2"/>
  <c r="CI93" i="2"/>
  <c r="CI94" i="2"/>
  <c r="CI95" i="2"/>
  <c r="CI96" i="2"/>
  <c r="CI97" i="2"/>
  <c r="CI85" i="2"/>
  <c r="CI84" i="2"/>
  <c r="CI83" i="2"/>
  <c r="CD98" i="2"/>
  <c r="CC98" i="2"/>
  <c r="CC97" i="2" s="1"/>
  <c r="CF84" i="2"/>
  <c r="CF85" i="2"/>
  <c r="CF86" i="2"/>
  <c r="CF87" i="2"/>
  <c r="CF88" i="2"/>
  <c r="CF89" i="2"/>
  <c r="CF90" i="2"/>
  <c r="CF91" i="2"/>
  <c r="CF92" i="2"/>
  <c r="CF93" i="2"/>
  <c r="CF94" i="2"/>
  <c r="CF95" i="2"/>
  <c r="CF96" i="2"/>
  <c r="CF97" i="2"/>
  <c r="CF83" i="2"/>
  <c r="N65" i="1" l="1"/>
  <c r="N66" i="1"/>
  <c r="N67" i="1"/>
  <c r="M67" i="1"/>
  <c r="M66" i="1"/>
  <c r="M65" i="1"/>
  <c r="CP39" i="6"/>
  <c r="CP40" i="6"/>
  <c r="CP41" i="6"/>
  <c r="CP42" i="6"/>
  <c r="CK43" i="6"/>
  <c r="N62" i="1"/>
  <c r="M62" i="1"/>
  <c r="CN38" i="6"/>
  <c r="N61" i="1"/>
  <c r="M61" i="1"/>
  <c r="N60" i="1"/>
  <c r="M60" i="1"/>
  <c r="N54" i="1"/>
  <c r="N51" i="1"/>
  <c r="O51" i="1"/>
  <c r="M51" i="1"/>
  <c r="N52" i="1"/>
  <c r="M52" i="1"/>
  <c r="N50" i="1"/>
  <c r="O50" i="1"/>
  <c r="M50" i="1"/>
  <c r="N34" i="1" l="1"/>
  <c r="O34" i="1"/>
  <c r="M34" i="1"/>
  <c r="N33" i="1"/>
  <c r="O33" i="1"/>
  <c r="M33" i="1"/>
  <c r="N23" i="1"/>
  <c r="M23" i="1"/>
  <c r="N21" i="1"/>
  <c r="O21" i="1"/>
  <c r="M21" i="1"/>
  <c r="R17" i="4" l="1"/>
  <c r="R15" i="4"/>
  <c r="R13" i="4"/>
  <c r="R12" i="4"/>
  <c r="O16" i="4"/>
  <c r="O15" i="4"/>
  <c r="O13" i="4"/>
  <c r="O12" i="4"/>
  <c r="CI20" i="3"/>
  <c r="CI19" i="3"/>
  <c r="R16" i="4" l="1"/>
  <c r="CI106" i="2"/>
  <c r="CI105" i="2"/>
  <c r="CP36" i="6"/>
  <c r="CP37" i="6"/>
  <c r="CP38" i="6"/>
  <c r="CO39" i="6"/>
  <c r="CO40" i="6"/>
  <c r="CO41" i="6"/>
  <c r="CO42" i="6"/>
  <c r="CP18" i="6"/>
  <c r="CP19" i="6"/>
  <c r="CP20" i="6"/>
  <c r="CP21" i="6"/>
  <c r="CP22" i="6"/>
  <c r="CO23" i="6"/>
  <c r="CP23" i="6"/>
  <c r="CP24" i="6"/>
  <c r="CP26" i="6"/>
  <c r="CP27" i="6"/>
  <c r="CP28" i="6"/>
  <c r="CP35" i="6"/>
  <c r="CP44" i="6"/>
  <c r="CP46" i="6"/>
  <c r="CP17" i="6"/>
  <c r="CN33" i="6" l="1"/>
  <c r="CM33" i="6"/>
  <c r="CL33" i="6"/>
  <c r="CN32" i="6"/>
  <c r="CM32" i="6"/>
  <c r="CL32" i="6"/>
  <c r="CM31" i="6"/>
  <c r="CN31" i="6" s="1"/>
  <c r="CL31" i="6"/>
  <c r="CN30" i="6"/>
  <c r="CM30" i="6"/>
  <c r="CL30" i="6"/>
  <c r="CN29" i="6"/>
  <c r="CP29" i="6" s="1"/>
  <c r="CM29" i="6"/>
  <c r="CL29" i="6"/>
  <c r="CK29" i="6"/>
  <c r="CK16" i="6"/>
  <c r="CL16" i="6"/>
  <c r="CM16" i="6"/>
  <c r="CN16" i="6"/>
  <c r="CP16" i="6" s="1"/>
  <c r="CJ16" i="6"/>
  <c r="CN7" i="6"/>
  <c r="Q10" i="12" l="1"/>
  <c r="M13" i="12"/>
  <c r="O13" i="12" s="1"/>
  <c r="P13" i="12" s="1"/>
  <c r="Q13" i="12" s="1"/>
  <c r="M12" i="12"/>
  <c r="N12" i="12" s="1"/>
  <c r="M11" i="12"/>
  <c r="N11" i="12" s="1"/>
  <c r="O12" i="12" l="1"/>
  <c r="P12" i="12" s="1"/>
  <c r="Q12" i="12" s="1"/>
  <c r="N13" i="12"/>
  <c r="O11" i="12"/>
  <c r="P11" i="12" s="1"/>
  <c r="Q11" i="12" s="1"/>
  <c r="P9" i="12"/>
  <c r="Q9" i="12" s="1"/>
  <c r="P7" i="12"/>
  <c r="Q7" i="12" s="1"/>
  <c r="O9" i="12"/>
  <c r="O7" i="12"/>
  <c r="N10" i="12"/>
  <c r="N9" i="12"/>
  <c r="M7" i="12"/>
  <c r="N7" i="12" s="1"/>
  <c r="CK29" i="7"/>
  <c r="CL29" i="7"/>
  <c r="CK30" i="7"/>
  <c r="CL30" i="7"/>
  <c r="CK31" i="7"/>
  <c r="CL31" i="7"/>
  <c r="CJ33" i="7"/>
  <c r="CG34" i="7"/>
  <c r="CG35" i="7"/>
  <c r="CG33" i="7"/>
  <c r="CC21" i="7"/>
  <c r="CG19" i="7"/>
  <c r="CG16" i="7"/>
  <c r="CG17" i="7"/>
  <c r="CG15" i="7"/>
  <c r="CG13" i="7"/>
  <c r="CG12" i="7"/>
  <c r="CE47" i="7" l="1"/>
  <c r="CG45" i="7"/>
  <c r="CH45" i="7"/>
  <c r="CI45" i="7"/>
  <c r="CJ45" i="7"/>
  <c r="CF45" i="7"/>
  <c r="O48" i="1" s="1"/>
  <c r="P48" i="1" s="1"/>
  <c r="Q48" i="1" s="1"/>
  <c r="CE45" i="7"/>
  <c r="N48" i="1" s="1"/>
  <c r="CD45" i="7"/>
  <c r="M48" i="1" s="1"/>
  <c r="CE38" i="7"/>
  <c r="CF38" i="7"/>
  <c r="CG38" i="7"/>
  <c r="CH38" i="7"/>
  <c r="CI38" i="7"/>
  <c r="CJ38" i="7"/>
  <c r="CD38" i="7"/>
  <c r="CJ30" i="6" l="1"/>
  <c r="CK30" i="6"/>
  <c r="CJ31" i="6"/>
  <c r="CK31" i="6"/>
  <c r="CJ32" i="6"/>
  <c r="CK32" i="6"/>
  <c r="CJ33" i="6"/>
  <c r="CK33" i="6"/>
  <c r="CI33" i="6"/>
  <c r="N45" i="1" s="1"/>
  <c r="CI32" i="6"/>
  <c r="N44" i="1" s="1"/>
  <c r="CI31" i="6"/>
  <c r="N43" i="1" s="1"/>
  <c r="CI30" i="6"/>
  <c r="N42" i="1" s="1"/>
  <c r="CH33" i="6"/>
  <c r="M45" i="1" s="1"/>
  <c r="CH32" i="6"/>
  <c r="M44" i="1" s="1"/>
  <c r="CH31" i="6"/>
  <c r="M43" i="1" s="1"/>
  <c r="CH30" i="6"/>
  <c r="M42" i="1" s="1"/>
  <c r="CI29" i="6"/>
  <c r="N41" i="1" s="1"/>
  <c r="CH29" i="6"/>
  <c r="M41" i="1" s="1"/>
  <c r="CK25" i="6"/>
  <c r="CP25" i="6" s="1"/>
  <c r="CC17" i="6"/>
  <c r="CD17" i="6"/>
  <c r="CE17" i="6"/>
  <c r="CF17" i="6"/>
  <c r="CG17" i="6"/>
  <c r="CK15" i="6"/>
  <c r="CK13" i="6"/>
  <c r="CK11" i="6"/>
  <c r="CK9" i="6"/>
  <c r="CI7" i="6"/>
  <c r="CJ7" i="6"/>
  <c r="CL7" i="6"/>
  <c r="CM7" i="6"/>
  <c r="CH7" i="6"/>
  <c r="Q21" i="5"/>
  <c r="P21" i="5"/>
  <c r="O21" i="5"/>
  <c r="N21" i="5"/>
  <c r="L23" i="5"/>
  <c r="N23" i="5" s="1"/>
  <c r="Q12" i="5"/>
  <c r="Q13" i="5"/>
  <c r="Q14" i="5"/>
  <c r="Q11" i="5"/>
  <c r="N12" i="5"/>
  <c r="N13" i="5"/>
  <c r="N14" i="5"/>
  <c r="N11" i="5"/>
  <c r="P8" i="5"/>
  <c r="O8" i="5"/>
  <c r="N7" i="5"/>
  <c r="Q7" i="5" s="1"/>
  <c r="M8" i="5"/>
  <c r="Q23" i="5" l="1"/>
  <c r="CP9" i="6"/>
  <c r="CP11" i="6"/>
  <c r="CP13" i="6"/>
  <c r="CP30" i="6"/>
  <c r="CP31" i="6"/>
  <c r="CP15" i="6"/>
  <c r="CP33" i="6"/>
  <c r="CP32" i="6"/>
  <c r="CK7" i="6"/>
  <c r="CP7" i="6" l="1"/>
  <c r="L8" i="5"/>
  <c r="CI103" i="2" l="1"/>
  <c r="CH99" i="2"/>
  <c r="CH98" i="2" s="1"/>
  <c r="CG99" i="2"/>
  <c r="CG98" i="2" s="1"/>
  <c r="CF100" i="2"/>
  <c r="CI100" i="2" s="1"/>
  <c r="CF101" i="2"/>
  <c r="CF103" i="2"/>
  <c r="CF102" i="2"/>
  <c r="CI102" i="2" s="1"/>
  <c r="CE99" i="2"/>
  <c r="CE98" i="2" s="1"/>
  <c r="CF99" i="2" l="1"/>
  <c r="CF98" i="2"/>
  <c r="CI101" i="2"/>
  <c r="CF106" i="2"/>
  <c r="CF105" i="2"/>
  <c r="CF80" i="2"/>
  <c r="CF78" i="2"/>
  <c r="CF79" i="2"/>
  <c r="CE77" i="2"/>
  <c r="CF77" i="2" s="1"/>
  <c r="CF74" i="2"/>
  <c r="CE73" i="2"/>
  <c r="O20" i="1" s="1"/>
  <c r="CD73" i="2"/>
  <c r="N20" i="1" s="1"/>
  <c r="CF70" i="2"/>
  <c r="CF71" i="2"/>
  <c r="CF72" i="2"/>
  <c r="CF69" i="2"/>
  <c r="CI39" i="2"/>
  <c r="CH43" i="2"/>
  <c r="CI43" i="2" s="1"/>
  <c r="CK43" i="2" s="1"/>
  <c r="CH50" i="2"/>
  <c r="CI50" i="2" s="1"/>
  <c r="CK50" i="2" s="1"/>
  <c r="CH51" i="2"/>
  <c r="CI51" i="2" s="1"/>
  <c r="CK51" i="2" s="1"/>
  <c r="CH52" i="2"/>
  <c r="CI52" i="2" s="1"/>
  <c r="CK52" i="2" s="1"/>
  <c r="CH67" i="2"/>
  <c r="CI67" i="2" s="1"/>
  <c r="CG67" i="2"/>
  <c r="CG43" i="2"/>
  <c r="CG50" i="2"/>
  <c r="CG51" i="2"/>
  <c r="CG52" i="2"/>
  <c r="CI98" i="2" l="1"/>
  <c r="CM100" i="2"/>
  <c r="CG80" i="2"/>
  <c r="CI99" i="2"/>
  <c r="CE17" i="2"/>
  <c r="CE15" i="2"/>
  <c r="CF15" i="2" s="1"/>
  <c r="CH80" i="2" l="1"/>
  <c r="CI80" i="2" s="1"/>
  <c r="CE11" i="2"/>
  <c r="CF17" i="2"/>
  <c r="CE16" i="2"/>
  <c r="CF16" i="2" s="1"/>
  <c r="CH13" i="3"/>
  <c r="CG13" i="3"/>
  <c r="CH12" i="3"/>
  <c r="CG12" i="3"/>
  <c r="CE10" i="2" l="1"/>
  <c r="CF11" i="2"/>
  <c r="CF17" i="3"/>
  <c r="CF10" i="2" l="1"/>
  <c r="CF9" i="3"/>
  <c r="CF10" i="3"/>
  <c r="CF11" i="3"/>
  <c r="CF12" i="3"/>
  <c r="CF13" i="3"/>
  <c r="CF8" i="3"/>
  <c r="CG1" i="3" s="1"/>
  <c r="CD20" i="3"/>
  <c r="CC20" i="3"/>
  <c r="CI12" i="3" l="1"/>
  <c r="CI13" i="3"/>
  <c r="CI10" i="3"/>
  <c r="CI11" i="3"/>
  <c r="CI9" i="3"/>
  <c r="O9" i="4"/>
  <c r="CI8" i="3"/>
  <c r="CD11" i="2"/>
  <c r="CD12" i="2"/>
  <c r="CC12" i="2"/>
  <c r="CC11" i="2"/>
  <c r="CC85" i="2"/>
  <c r="R9" i="4" l="1"/>
  <c r="CC10" i="2"/>
  <c r="M17" i="1" s="1"/>
  <c r="CD10" i="2"/>
  <c r="N17" i="1" s="1"/>
  <c r="D5" i="9" l="1"/>
  <c r="E6" i="9"/>
  <c r="F6" i="9"/>
  <c r="G6" i="9"/>
  <c r="H6" i="9"/>
  <c r="I6" i="9"/>
  <c r="J5" i="9"/>
  <c r="D31" i="1" l="1"/>
  <c r="H54" i="1" l="1"/>
  <c r="G54" i="1"/>
  <c r="F54" i="1"/>
  <c r="E54" i="1"/>
  <c r="J49" i="1" l="1"/>
  <c r="K49" i="1" l="1"/>
  <c r="BM32" i="6"/>
  <c r="BM37" i="7" l="1"/>
  <c r="AX37" i="7"/>
  <c r="AI37" i="7"/>
  <c r="T37" i="7"/>
  <c r="E37" i="7"/>
  <c r="F8" i="3" l="1"/>
  <c r="G8" i="3"/>
  <c r="H8" i="3"/>
  <c r="I8" i="3"/>
  <c r="J8" i="3"/>
  <c r="K8" i="3"/>
  <c r="L8" i="3"/>
  <c r="M8" i="3"/>
  <c r="N8" i="3"/>
  <c r="O8" i="3"/>
  <c r="P8" i="3"/>
  <c r="Q8" i="3"/>
  <c r="R8" i="3"/>
  <c r="S8" i="3"/>
  <c r="U8" i="3"/>
  <c r="V8" i="3"/>
  <c r="W8" i="3"/>
  <c r="X8" i="3"/>
  <c r="Y8" i="3"/>
  <c r="Z8" i="3"/>
  <c r="AA8" i="3"/>
  <c r="AB8" i="3"/>
  <c r="AC8" i="3"/>
  <c r="AD8" i="3"/>
  <c r="AE8" i="3"/>
  <c r="AF8" i="3"/>
  <c r="AG8" i="3"/>
  <c r="AH8" i="3"/>
  <c r="AJ8" i="3"/>
  <c r="AK8" i="3"/>
  <c r="AL8" i="3"/>
  <c r="AM8" i="3"/>
  <c r="AN8" i="3"/>
  <c r="AO8" i="3"/>
  <c r="AP8" i="3"/>
  <c r="AQ8" i="3"/>
  <c r="AR8" i="3"/>
  <c r="AS8" i="3"/>
  <c r="AT8" i="3"/>
  <c r="AU8" i="3"/>
  <c r="AV8" i="3"/>
  <c r="AW8" i="3"/>
  <c r="AY8" i="3"/>
  <c r="AZ8" i="3"/>
  <c r="BA8" i="3"/>
  <c r="BB8" i="3"/>
  <c r="BC8" i="3"/>
  <c r="BD8" i="3"/>
  <c r="BE8" i="3"/>
  <c r="BF8" i="3"/>
  <c r="BG8" i="3"/>
  <c r="BH8" i="3"/>
  <c r="BI8" i="3"/>
  <c r="BJ8" i="3"/>
  <c r="BK8" i="3"/>
  <c r="BL8" i="3"/>
  <c r="BN8" i="3"/>
  <c r="BO8" i="3"/>
  <c r="BP8" i="3"/>
  <c r="BQ8" i="3"/>
  <c r="BR8" i="3"/>
  <c r="BS8" i="3"/>
  <c r="BT8" i="3"/>
  <c r="BU8" i="3"/>
  <c r="BV8" i="3"/>
  <c r="BW8" i="3"/>
  <c r="BX8" i="3"/>
  <c r="BY8" i="3"/>
  <c r="BZ8" i="3"/>
  <c r="CA8" i="3"/>
  <c r="CA34" i="7" l="1"/>
  <c r="BZ34" i="7"/>
  <c r="BY34" i="7"/>
  <c r="BX34" i="7"/>
  <c r="BW34" i="7"/>
  <c r="BV34" i="7"/>
  <c r="BU34" i="7"/>
  <c r="BT34" i="7"/>
  <c r="BS34" i="7"/>
  <c r="BR34" i="7"/>
  <c r="BQ34" i="7"/>
  <c r="BP34" i="7"/>
  <c r="BO34" i="7"/>
  <c r="BN34" i="7"/>
  <c r="BM34" i="7"/>
  <c r="BM33" i="7"/>
  <c r="BL34" i="7"/>
  <c r="BK34" i="7"/>
  <c r="BJ34" i="7"/>
  <c r="BI34" i="7"/>
  <c r="BH34" i="7"/>
  <c r="BG34" i="7"/>
  <c r="BF34" i="7"/>
  <c r="BE34" i="7"/>
  <c r="BD34" i="7"/>
  <c r="BC34" i="7"/>
  <c r="BB34" i="7"/>
  <c r="BA34" i="7"/>
  <c r="AZ34" i="7"/>
  <c r="AY34" i="7"/>
  <c r="AX34" i="7"/>
  <c r="CH34" i="7" s="1"/>
  <c r="CI34" i="7" s="1"/>
  <c r="CJ34" i="7" s="1"/>
  <c r="AX33" i="7"/>
  <c r="AW34" i="7"/>
  <c r="AV34" i="7"/>
  <c r="AU34" i="7"/>
  <c r="AT34" i="7"/>
  <c r="AS34" i="7"/>
  <c r="AR34" i="7"/>
  <c r="AQ34" i="7"/>
  <c r="AP34" i="7"/>
  <c r="AO34" i="7"/>
  <c r="AN34" i="7"/>
  <c r="AM34" i="7"/>
  <c r="AL34" i="7"/>
  <c r="AK34" i="7"/>
  <c r="AJ34" i="7"/>
  <c r="AI34" i="7"/>
  <c r="AI33" i="7"/>
  <c r="AH34" i="7"/>
  <c r="AG34" i="7"/>
  <c r="AF34" i="7"/>
  <c r="AE34" i="7"/>
  <c r="AD34" i="7"/>
  <c r="AC34" i="7"/>
  <c r="AB34" i="7"/>
  <c r="AA34" i="7"/>
  <c r="Z34" i="7"/>
  <c r="Y34" i="7"/>
  <c r="X34" i="7"/>
  <c r="W34" i="7"/>
  <c r="V34" i="7"/>
  <c r="U34" i="7"/>
  <c r="T34" i="7"/>
  <c r="T33" i="7"/>
  <c r="E35" i="7"/>
  <c r="S34" i="7"/>
  <c r="R34" i="7"/>
  <c r="Q34" i="7"/>
  <c r="P34" i="7"/>
  <c r="O34" i="7"/>
  <c r="N34" i="7"/>
  <c r="M34" i="7"/>
  <c r="L34" i="7"/>
  <c r="K34" i="7"/>
  <c r="J34" i="7"/>
  <c r="I34" i="7"/>
  <c r="H34" i="7"/>
  <c r="G34" i="7"/>
  <c r="F34" i="7"/>
  <c r="E34" i="7"/>
  <c r="E33" i="7"/>
  <c r="BN98" i="2" l="1"/>
  <c r="BO98" i="2"/>
  <c r="BP98" i="2"/>
  <c r="BQ98" i="2"/>
  <c r="BR98" i="2"/>
  <c r="BS98" i="2"/>
  <c r="BT98" i="2"/>
  <c r="BU98" i="2"/>
  <c r="BV98" i="2"/>
  <c r="BW98" i="2"/>
  <c r="BX98" i="2"/>
  <c r="BY98" i="2"/>
  <c r="BZ98" i="2"/>
  <c r="CA98" i="2"/>
  <c r="F99" i="2"/>
  <c r="F98" i="2" s="1"/>
  <c r="G99" i="2"/>
  <c r="G98" i="2" s="1"/>
  <c r="H99" i="2"/>
  <c r="H98" i="2" s="1"/>
  <c r="I99" i="2"/>
  <c r="J99" i="2"/>
  <c r="J98" i="2" s="1"/>
  <c r="K99" i="2"/>
  <c r="K98" i="2" s="1"/>
  <c r="L99" i="2"/>
  <c r="L98" i="2" s="1"/>
  <c r="M99" i="2"/>
  <c r="N99" i="2"/>
  <c r="N98" i="2" s="1"/>
  <c r="O99" i="2"/>
  <c r="O98" i="2" s="1"/>
  <c r="P99" i="2"/>
  <c r="P98" i="2" s="1"/>
  <c r="Q99" i="2"/>
  <c r="R99" i="2"/>
  <c r="R98" i="2" s="1"/>
  <c r="S99" i="2"/>
  <c r="S98" i="2" s="1"/>
  <c r="U99" i="2"/>
  <c r="U98" i="2" s="1"/>
  <c r="V99" i="2"/>
  <c r="V98" i="2" s="1"/>
  <c r="W99" i="2"/>
  <c r="W98" i="2" s="1"/>
  <c r="X99" i="2"/>
  <c r="X98" i="2" s="1"/>
  <c r="Y99" i="2"/>
  <c r="Y98" i="2" s="1"/>
  <c r="Z99" i="2"/>
  <c r="Z98" i="2" s="1"/>
  <c r="AA99" i="2"/>
  <c r="AA98" i="2" s="1"/>
  <c r="AB99" i="2"/>
  <c r="AB98" i="2" s="1"/>
  <c r="AC99" i="2"/>
  <c r="AC98" i="2" s="1"/>
  <c r="AD99" i="2"/>
  <c r="AD98" i="2" s="1"/>
  <c r="AE99" i="2"/>
  <c r="AE98" i="2" s="1"/>
  <c r="AF99" i="2"/>
  <c r="AF98" i="2" s="1"/>
  <c r="AG99" i="2"/>
  <c r="AG98" i="2" s="1"/>
  <c r="AH99" i="2"/>
  <c r="AH98" i="2" s="1"/>
  <c r="AJ99" i="2"/>
  <c r="AJ98" i="2" s="1"/>
  <c r="AK99" i="2"/>
  <c r="AK98" i="2" s="1"/>
  <c r="AL99" i="2"/>
  <c r="AL98" i="2" s="1"/>
  <c r="AM99" i="2"/>
  <c r="AM98" i="2" s="1"/>
  <c r="AN99" i="2"/>
  <c r="AN98" i="2" s="1"/>
  <c r="AO99" i="2"/>
  <c r="AO98" i="2" s="1"/>
  <c r="AP99" i="2"/>
  <c r="AP98" i="2" s="1"/>
  <c r="AQ99" i="2"/>
  <c r="AQ98" i="2" s="1"/>
  <c r="AR99" i="2"/>
  <c r="AR98" i="2" s="1"/>
  <c r="AS99" i="2"/>
  <c r="AS98" i="2" s="1"/>
  <c r="AT99" i="2"/>
  <c r="AT98" i="2" s="1"/>
  <c r="AU99" i="2"/>
  <c r="AU98" i="2" s="1"/>
  <c r="AV99" i="2"/>
  <c r="AV98" i="2" s="1"/>
  <c r="AW99" i="2"/>
  <c r="AW98" i="2" s="1"/>
  <c r="AY99" i="2"/>
  <c r="AY98" i="2" s="1"/>
  <c r="AZ99" i="2"/>
  <c r="AZ98" i="2" s="1"/>
  <c r="BA99" i="2"/>
  <c r="BA98" i="2" s="1"/>
  <c r="BB99" i="2"/>
  <c r="BB98" i="2" s="1"/>
  <c r="BC99" i="2"/>
  <c r="BC98" i="2" s="1"/>
  <c r="BD99" i="2"/>
  <c r="BD98" i="2" s="1"/>
  <c r="BE99" i="2"/>
  <c r="BE98" i="2" s="1"/>
  <c r="BF99" i="2"/>
  <c r="BF98" i="2" s="1"/>
  <c r="BG99" i="2"/>
  <c r="BG98" i="2" s="1"/>
  <c r="BH99" i="2"/>
  <c r="BH98" i="2" s="1"/>
  <c r="BI99" i="2"/>
  <c r="BI98" i="2" s="1"/>
  <c r="BJ99" i="2"/>
  <c r="BJ98" i="2" s="1"/>
  <c r="BK99" i="2"/>
  <c r="BK98" i="2" s="1"/>
  <c r="BL99" i="2"/>
  <c r="BL98" i="2" s="1"/>
  <c r="I98" i="2"/>
  <c r="M98" i="2"/>
  <c r="Q98" i="2"/>
  <c r="E100" i="2"/>
  <c r="E99" i="2" s="1"/>
  <c r="E101" i="2"/>
  <c r="E102" i="2"/>
  <c r="E103" i="2"/>
  <c r="E98" i="2" l="1"/>
  <c r="AX15" i="6"/>
  <c r="AI15" i="6"/>
  <c r="T15" i="6"/>
  <c r="E15" i="6"/>
  <c r="BM9" i="3" l="1"/>
  <c r="BM8" i="3" s="1"/>
  <c r="AX9" i="3"/>
  <c r="AX8" i="3" s="1"/>
  <c r="AI9" i="3"/>
  <c r="AI8" i="3" s="1"/>
  <c r="T9" i="3"/>
  <c r="T8" i="3" s="1"/>
  <c r="E9" i="3"/>
  <c r="E8" i="3" s="1"/>
  <c r="J9" i="4"/>
  <c r="F8" i="11" l="1"/>
  <c r="G8" i="11" s="1"/>
  <c r="H8" i="11" s="1"/>
  <c r="BN74" i="2" l="1"/>
  <c r="CA66" i="2"/>
  <c r="BY66" i="2"/>
  <c r="BX66" i="2"/>
  <c r="BW66" i="2"/>
  <c r="BS66" i="2"/>
  <c r="BR66" i="2"/>
  <c r="BQ66" i="2"/>
  <c r="BP66" i="2"/>
  <c r="CA38" i="2"/>
  <c r="BZ38" i="2"/>
  <c r="BY38" i="2"/>
  <c r="BX38" i="2"/>
  <c r="BW38" i="2"/>
  <c r="BV38" i="2"/>
  <c r="BU38" i="2"/>
  <c r="BT38" i="2"/>
  <c r="BS38" i="2"/>
  <c r="BR38" i="2"/>
  <c r="BQ38" i="2"/>
  <c r="BP38" i="2"/>
  <c r="BO38" i="2"/>
  <c r="BN38" i="2"/>
  <c r="CA35" i="2"/>
  <c r="BZ35" i="2"/>
  <c r="BY35" i="2"/>
  <c r="BX35" i="2"/>
  <c r="BW35" i="2"/>
  <c r="BV35" i="2"/>
  <c r="BU35" i="2"/>
  <c r="BT35" i="2"/>
  <c r="BS35" i="2"/>
  <c r="BR35" i="2"/>
  <c r="BQ35" i="2"/>
  <c r="BP35" i="2"/>
  <c r="BO35" i="2"/>
  <c r="BN35" i="2"/>
  <c r="BR29" i="2"/>
  <c r="BQ29" i="2"/>
  <c r="BP29" i="2"/>
  <c r="BO29" i="2"/>
  <c r="CA26" i="2"/>
  <c r="BZ26" i="2"/>
  <c r="BY26" i="2"/>
  <c r="BX26" i="2"/>
  <c r="BW26" i="2"/>
  <c r="BV26" i="2"/>
  <c r="BU26" i="2"/>
  <c r="BT26" i="2"/>
  <c r="BS26" i="2"/>
  <c r="BR26" i="2"/>
  <c r="BQ26" i="2"/>
  <c r="BP26" i="2"/>
  <c r="BO26" i="2"/>
  <c r="BN26" i="2"/>
  <c r="CA23" i="2"/>
  <c r="BZ23" i="2"/>
  <c r="BY23" i="2"/>
  <c r="BX23" i="2"/>
  <c r="BW23" i="2"/>
  <c r="BV23" i="2"/>
  <c r="BU23" i="2"/>
  <c r="BT23" i="2"/>
  <c r="BS23" i="2"/>
  <c r="BR23" i="2"/>
  <c r="BQ23" i="2"/>
  <c r="BP23" i="2"/>
  <c r="BO23" i="2"/>
  <c r="BN23" i="2"/>
  <c r="CA20" i="2"/>
  <c r="BZ20" i="2"/>
  <c r="BY20" i="2"/>
  <c r="BX20" i="2"/>
  <c r="BW20" i="2"/>
  <c r="BV20" i="2"/>
  <c r="BU20" i="2"/>
  <c r="BT20" i="2"/>
  <c r="BS20" i="2"/>
  <c r="BR20" i="2"/>
  <c r="BQ20" i="2"/>
  <c r="BP20" i="2"/>
  <c r="BO20" i="2"/>
  <c r="BN20" i="2"/>
  <c r="AY74" i="2"/>
  <c r="BL66" i="2"/>
  <c r="BJ66" i="2"/>
  <c r="BI66" i="2"/>
  <c r="BD66" i="2"/>
  <c r="BC66" i="2"/>
  <c r="BB66" i="2"/>
  <c r="BA66" i="2"/>
  <c r="BL38" i="2"/>
  <c r="BK38" i="2"/>
  <c r="BJ38" i="2"/>
  <c r="BI38" i="2"/>
  <c r="BH38" i="2"/>
  <c r="BG38" i="2"/>
  <c r="BF38" i="2"/>
  <c r="BE38" i="2"/>
  <c r="BD38" i="2"/>
  <c r="BC38" i="2"/>
  <c r="BB38" i="2"/>
  <c r="BA38" i="2"/>
  <c r="AZ38" i="2"/>
  <c r="AY38" i="2"/>
  <c r="BL35" i="2"/>
  <c r="BK35" i="2"/>
  <c r="BJ35" i="2"/>
  <c r="BI35" i="2"/>
  <c r="BH35" i="2"/>
  <c r="BG35" i="2"/>
  <c r="BF35" i="2"/>
  <c r="BE35" i="2"/>
  <c r="BD35" i="2"/>
  <c r="BC35" i="2"/>
  <c r="BB35" i="2"/>
  <c r="BA35" i="2"/>
  <c r="AZ35" i="2"/>
  <c r="AY35" i="2"/>
  <c r="BC29" i="2"/>
  <c r="BB29" i="2"/>
  <c r="BA29" i="2"/>
  <c r="AZ29" i="2"/>
  <c r="BL26" i="2"/>
  <c r="BK26" i="2"/>
  <c r="BJ26" i="2"/>
  <c r="BI26" i="2"/>
  <c r="BH26" i="2"/>
  <c r="BG26" i="2"/>
  <c r="BF26" i="2"/>
  <c r="BE26" i="2"/>
  <c r="BD26" i="2"/>
  <c r="BC26" i="2"/>
  <c r="BB26" i="2"/>
  <c r="BA26" i="2"/>
  <c r="AZ26" i="2"/>
  <c r="AY26" i="2"/>
  <c r="BL23" i="2"/>
  <c r="BK23" i="2"/>
  <c r="BJ23" i="2"/>
  <c r="BI23" i="2"/>
  <c r="BH23" i="2"/>
  <c r="BG23" i="2"/>
  <c r="BF23" i="2"/>
  <c r="BE23" i="2"/>
  <c r="BD23" i="2"/>
  <c r="BC23" i="2"/>
  <c r="BB23" i="2"/>
  <c r="BA23" i="2"/>
  <c r="AZ23" i="2"/>
  <c r="AY23" i="2"/>
  <c r="BL20" i="2"/>
  <c r="BK20" i="2"/>
  <c r="BJ20" i="2"/>
  <c r="BI20" i="2"/>
  <c r="BH20" i="2"/>
  <c r="BG20" i="2"/>
  <c r="BF20" i="2"/>
  <c r="BE20" i="2"/>
  <c r="BD20" i="2"/>
  <c r="BC20" i="2"/>
  <c r="BB20" i="2"/>
  <c r="BA20" i="2"/>
  <c r="AZ20" i="2"/>
  <c r="AY20" i="2"/>
  <c r="AJ74" i="2"/>
  <c r="AO66" i="2"/>
  <c r="AN66" i="2"/>
  <c r="AM66" i="2"/>
  <c r="AL66" i="2"/>
  <c r="AW38" i="2"/>
  <c r="AV38" i="2"/>
  <c r="AU38" i="2"/>
  <c r="AT38" i="2"/>
  <c r="AS38" i="2"/>
  <c r="AR38" i="2"/>
  <c r="AQ38" i="2"/>
  <c r="AP38" i="2"/>
  <c r="AO38" i="2"/>
  <c r="AN38" i="2"/>
  <c r="AM38" i="2"/>
  <c r="AL38" i="2"/>
  <c r="AK38" i="2"/>
  <c r="AJ38" i="2"/>
  <c r="AW35" i="2"/>
  <c r="AV35" i="2"/>
  <c r="AU35" i="2"/>
  <c r="AT35" i="2"/>
  <c r="AS35" i="2"/>
  <c r="AR35" i="2"/>
  <c r="AQ35" i="2"/>
  <c r="AP35" i="2"/>
  <c r="AO35" i="2"/>
  <c r="AN35" i="2"/>
  <c r="AM35" i="2"/>
  <c r="AL35" i="2"/>
  <c r="AK35" i="2"/>
  <c r="AJ35" i="2"/>
  <c r="AN29" i="2"/>
  <c r="AM29" i="2"/>
  <c r="AL29" i="2"/>
  <c r="AK29" i="2"/>
  <c r="AW26" i="2"/>
  <c r="AV26" i="2"/>
  <c r="AU26" i="2"/>
  <c r="AT26" i="2"/>
  <c r="AS26" i="2"/>
  <c r="AR26" i="2"/>
  <c r="AQ26" i="2"/>
  <c r="AP26" i="2"/>
  <c r="AO26" i="2"/>
  <c r="AN26" i="2"/>
  <c r="AM26" i="2"/>
  <c r="AL26" i="2"/>
  <c r="AK26" i="2"/>
  <c r="AJ26" i="2"/>
  <c r="AW23" i="2"/>
  <c r="AV23" i="2"/>
  <c r="AU23" i="2"/>
  <c r="AT23" i="2"/>
  <c r="AS23" i="2"/>
  <c r="AR23" i="2"/>
  <c r="AQ23" i="2"/>
  <c r="AP23" i="2"/>
  <c r="AO23" i="2"/>
  <c r="AN23" i="2"/>
  <c r="AM23" i="2"/>
  <c r="AL23" i="2"/>
  <c r="AK23" i="2"/>
  <c r="AJ23" i="2"/>
  <c r="AW20" i="2"/>
  <c r="AV20" i="2"/>
  <c r="AU20" i="2"/>
  <c r="AT20" i="2"/>
  <c r="AS20" i="2"/>
  <c r="AR20" i="2"/>
  <c r="AQ20" i="2"/>
  <c r="AP20" i="2"/>
  <c r="AO20" i="2"/>
  <c r="AN20" i="2"/>
  <c r="AM20" i="2"/>
  <c r="AL20" i="2"/>
  <c r="AK20" i="2"/>
  <c r="AJ20" i="2"/>
  <c r="U74" i="2"/>
  <c r="Z66" i="2"/>
  <c r="Y66" i="2"/>
  <c r="X66" i="2"/>
  <c r="W66" i="2"/>
  <c r="AH38" i="2"/>
  <c r="AG38" i="2"/>
  <c r="AF38" i="2"/>
  <c r="AE38" i="2"/>
  <c r="AD38" i="2"/>
  <c r="AC38" i="2"/>
  <c r="AB38" i="2"/>
  <c r="AA38" i="2"/>
  <c r="Z38" i="2"/>
  <c r="Y38" i="2"/>
  <c r="X38" i="2"/>
  <c r="W38" i="2"/>
  <c r="V38" i="2"/>
  <c r="U38" i="2"/>
  <c r="AH35" i="2"/>
  <c r="AG35" i="2"/>
  <c r="AF35" i="2"/>
  <c r="AE35" i="2"/>
  <c r="AD35" i="2"/>
  <c r="AC35" i="2"/>
  <c r="AB35" i="2"/>
  <c r="AA35" i="2"/>
  <c r="Z35" i="2"/>
  <c r="Y35" i="2"/>
  <c r="X35" i="2"/>
  <c r="W35" i="2"/>
  <c r="V35" i="2"/>
  <c r="U35" i="2"/>
  <c r="Y29" i="2"/>
  <c r="X29" i="2"/>
  <c r="W29" i="2"/>
  <c r="V29" i="2"/>
  <c r="E59" i="1" l="1"/>
  <c r="F58" i="1" s="1"/>
  <c r="D54" i="1"/>
  <c r="D26" i="1" l="1"/>
  <c r="D20" i="1" l="1"/>
  <c r="D18" i="1"/>
  <c r="D16" i="1"/>
  <c r="D15" i="1"/>
  <c r="D14" i="1"/>
  <c r="D13" i="1"/>
  <c r="D11" i="1"/>
  <c r="D10" i="1"/>
  <c r="D9" i="1"/>
  <c r="D8" i="1"/>
  <c r="D13" i="12" l="1"/>
  <c r="D12" i="12"/>
  <c r="D11" i="12"/>
  <c r="D10" i="12"/>
  <c r="D9" i="12"/>
  <c r="D7" i="12"/>
  <c r="D33" i="11"/>
  <c r="D31" i="11"/>
  <c r="D28" i="11"/>
  <c r="D27" i="11"/>
  <c r="D24" i="11"/>
  <c r="D22" i="11"/>
  <c r="D20" i="11"/>
  <c r="D18" i="11"/>
  <c r="D16" i="11"/>
  <c r="J12" i="11"/>
  <c r="J10" i="11"/>
  <c r="D10" i="11"/>
  <c r="D8" i="11"/>
  <c r="C51" i="10"/>
  <c r="C49" i="10"/>
  <c r="C24" i="10"/>
  <c r="C22" i="10"/>
  <c r="C32" i="10"/>
  <c r="C48" i="10"/>
  <c r="C47" i="10"/>
  <c r="C45" i="10"/>
  <c r="C44" i="10"/>
  <c r="C43" i="10"/>
  <c r="C42" i="10"/>
  <c r="C41" i="10"/>
  <c r="C39" i="10"/>
  <c r="C38" i="10"/>
  <c r="C37" i="10"/>
  <c r="C35" i="10"/>
  <c r="C33" i="10"/>
  <c r="C31" i="10"/>
  <c r="C30" i="10"/>
  <c r="C29" i="10"/>
  <c r="C23" i="10"/>
  <c r="C21" i="10"/>
  <c r="C19" i="10"/>
  <c r="C18" i="10"/>
  <c r="C17" i="10"/>
  <c r="C6" i="10"/>
  <c r="D28" i="9"/>
  <c r="D19" i="9"/>
  <c r="D16" i="9"/>
  <c r="D13" i="9"/>
  <c r="D14" i="9"/>
  <c r="D7" i="9"/>
  <c r="D53" i="7"/>
  <c r="D51" i="7"/>
  <c r="D50" i="7"/>
  <c r="D48" i="7"/>
  <c r="D47" i="7"/>
  <c r="D46" i="7"/>
  <c r="D45" i="7"/>
  <c r="D44" i="7"/>
  <c r="D43" i="7"/>
  <c r="D42" i="7"/>
  <c r="D41" i="7"/>
  <c r="D40" i="7"/>
  <c r="D39" i="7"/>
  <c r="D38" i="7"/>
  <c r="D37" i="7"/>
  <c r="D35" i="7"/>
  <c r="D32" i="7"/>
  <c r="D31" i="7"/>
  <c r="D30" i="7"/>
  <c r="D29" i="7"/>
  <c r="D28" i="7"/>
  <c r="D27" i="7"/>
  <c r="D26" i="7"/>
  <c r="D21" i="7"/>
  <c r="D19" i="7"/>
  <c r="D18" i="7"/>
  <c r="D17" i="7"/>
  <c r="D16" i="7"/>
  <c r="D15" i="7"/>
  <c r="D12" i="7"/>
  <c r="D13" i="7"/>
  <c r="D17" i="9" l="1"/>
  <c r="D10" i="7"/>
  <c r="D9" i="7"/>
  <c r="D8" i="7"/>
  <c r="D7" i="7"/>
  <c r="D46" i="6"/>
  <c r="D45" i="6"/>
  <c r="D44" i="6"/>
  <c r="D43" i="6"/>
  <c r="D38" i="6"/>
  <c r="D35" i="6"/>
  <c r="D33" i="6"/>
  <c r="D32" i="6"/>
  <c r="D31" i="6"/>
  <c r="D30" i="6"/>
  <c r="D29" i="6"/>
  <c r="D15" i="6"/>
  <c r="D13" i="6"/>
  <c r="D11" i="6"/>
  <c r="D9" i="6"/>
  <c r="D7" i="6"/>
  <c r="D27" i="5"/>
  <c r="D25" i="5"/>
  <c r="D23" i="5"/>
  <c r="D21" i="5"/>
  <c r="D19" i="5"/>
  <c r="D18" i="5"/>
  <c r="D17" i="5"/>
  <c r="D14" i="5"/>
  <c r="D13" i="5"/>
  <c r="D12" i="5"/>
  <c r="D11" i="5"/>
  <c r="E8" i="5"/>
  <c r="D8" i="5"/>
  <c r="D7" i="5"/>
  <c r="D20" i="3"/>
  <c r="D19" i="3"/>
  <c r="D18" i="3"/>
  <c r="D17" i="3"/>
  <c r="D16" i="3"/>
  <c r="D15" i="3"/>
  <c r="D13" i="3"/>
  <c r="D12" i="3"/>
  <c r="D11" i="3"/>
  <c r="D9" i="3"/>
  <c r="D106" i="2"/>
  <c r="D105" i="2"/>
  <c r="D103" i="2"/>
  <c r="D102" i="2"/>
  <c r="D100" i="2"/>
  <c r="D99" i="2" s="1"/>
  <c r="D97" i="2"/>
  <c r="D90" i="2"/>
  <c r="D89" i="2"/>
  <c r="D88" i="2"/>
  <c r="D87" i="2"/>
  <c r="D86" i="2"/>
  <c r="D85" i="2"/>
  <c r="D84" i="2"/>
  <c r="D83" i="2"/>
  <c r="D80" i="2"/>
  <c r="CM80" i="2" s="1"/>
  <c r="D79" i="2"/>
  <c r="D78" i="2"/>
  <c r="D77" i="2"/>
  <c r="D74" i="2"/>
  <c r="D73" i="2"/>
  <c r="D72" i="2"/>
  <c r="D71" i="2"/>
  <c r="D70" i="2"/>
  <c r="D69" i="2"/>
  <c r="D66" i="2"/>
  <c r="D64" i="2"/>
  <c r="D59" i="2"/>
  <c r="D42" i="2"/>
  <c r="D40" i="2"/>
  <c r="D38" i="2"/>
  <c r="D37" i="2"/>
  <c r="D36" i="2"/>
  <c r="D35" i="2"/>
  <c r="D34" i="2"/>
  <c r="D33" i="2"/>
  <c r="D32" i="2"/>
  <c r="D31" i="2"/>
  <c r="CM31" i="2" s="1"/>
  <c r="D30" i="2"/>
  <c r="CM30" i="2" s="1"/>
  <c r="D29" i="2"/>
  <c r="D28" i="2"/>
  <c r="D27" i="2"/>
  <c r="D26" i="2"/>
  <c r="D25" i="2"/>
  <c r="D24" i="2"/>
  <c r="D23" i="2"/>
  <c r="D22" i="2"/>
  <c r="D21" i="2"/>
  <c r="D20" i="2"/>
  <c r="D19" i="2"/>
  <c r="D18" i="2"/>
  <c r="D17" i="2"/>
  <c r="CM17" i="2" s="1"/>
  <c r="D16" i="2"/>
  <c r="CM16" i="2" s="1"/>
  <c r="D15" i="2"/>
  <c r="CM15" i="2" s="1"/>
  <c r="D12" i="2"/>
  <c r="D11" i="2"/>
  <c r="D10" i="2"/>
  <c r="CC73" i="2" l="1"/>
  <c r="M20" i="1" s="1"/>
  <c r="CM69" i="2"/>
  <c r="CF73" i="2"/>
  <c r="N8" i="5"/>
  <c r="Q8" i="5"/>
  <c r="D9" i="4"/>
  <c r="D8" i="3"/>
  <c r="D98" i="2"/>
  <c r="AJ29" i="6"/>
  <c r="AY29" i="6"/>
  <c r="BN29" i="6"/>
  <c r="BX33" i="6"/>
  <c r="AX32" i="6"/>
  <c r="BI33" i="6"/>
  <c r="AI32" i="6"/>
  <c r="AT33" i="6"/>
  <c r="U29" i="6"/>
  <c r="AE33" i="6"/>
  <c r="G25" i="6"/>
  <c r="H25" i="6"/>
  <c r="I25" i="6"/>
  <c r="J25" i="6"/>
  <c r="K25" i="6"/>
  <c r="L25" i="6"/>
  <c r="M25" i="6"/>
  <c r="N25" i="6"/>
  <c r="O25" i="6"/>
  <c r="P25" i="6"/>
  <c r="Q25" i="6"/>
  <c r="R25" i="6"/>
  <c r="S25" i="6"/>
  <c r="F25" i="6"/>
  <c r="P33" i="6"/>
  <c r="BM43" i="6" l="1"/>
  <c r="CB43" i="6" l="1"/>
  <c r="CO43" i="6" s="1"/>
  <c r="CM43" i="6"/>
  <c r="CN43" i="6" s="1"/>
  <c r="CP43" i="6" s="1"/>
  <c r="V89" i="2"/>
  <c r="AK89" i="2" s="1"/>
  <c r="AZ89" i="2" s="1"/>
  <c r="BO89" i="2" s="1"/>
  <c r="W89" i="2"/>
  <c r="AL89" i="2" s="1"/>
  <c r="BA89" i="2" s="1"/>
  <c r="BP89" i="2" s="1"/>
  <c r="X89" i="2"/>
  <c r="AM89" i="2" s="1"/>
  <c r="BB89" i="2" s="1"/>
  <c r="BQ89" i="2" s="1"/>
  <c r="Y89" i="2"/>
  <c r="AN89" i="2" s="1"/>
  <c r="BC89" i="2" s="1"/>
  <c r="BR89" i="2" s="1"/>
  <c r="Z89" i="2"/>
  <c r="AO89" i="2" s="1"/>
  <c r="BD89" i="2" s="1"/>
  <c r="BS89" i="2" s="1"/>
  <c r="AA89" i="2"/>
  <c r="AP89" i="2" s="1"/>
  <c r="BE89" i="2" s="1"/>
  <c r="BT89" i="2" s="1"/>
  <c r="AB89" i="2"/>
  <c r="AQ89" i="2" s="1"/>
  <c r="BF89" i="2" s="1"/>
  <c r="BU89" i="2" s="1"/>
  <c r="AC89" i="2"/>
  <c r="AR89" i="2" s="1"/>
  <c r="BG89" i="2" s="1"/>
  <c r="BV89" i="2" s="1"/>
  <c r="AD89" i="2"/>
  <c r="AS89" i="2" s="1"/>
  <c r="BH89" i="2" s="1"/>
  <c r="BW89" i="2" s="1"/>
  <c r="AE89" i="2"/>
  <c r="AT89" i="2" s="1"/>
  <c r="BI89" i="2" s="1"/>
  <c r="BX89" i="2" s="1"/>
  <c r="AF89" i="2"/>
  <c r="AU89" i="2" s="1"/>
  <c r="BJ89" i="2" s="1"/>
  <c r="BY89" i="2" s="1"/>
  <c r="AG89" i="2"/>
  <c r="AV89" i="2" s="1"/>
  <c r="BK89" i="2" s="1"/>
  <c r="BZ89" i="2" s="1"/>
  <c r="AH89" i="2"/>
  <c r="AW89" i="2" s="1"/>
  <c r="BL89" i="2" s="1"/>
  <c r="CA89" i="2" s="1"/>
  <c r="U89" i="2"/>
  <c r="AJ89" i="2" s="1"/>
  <c r="AY89" i="2" s="1"/>
  <c r="BN89" i="2" s="1"/>
  <c r="J38" i="1" l="1"/>
  <c r="J39" i="1"/>
  <c r="J40" i="1"/>
  <c r="J37" i="1"/>
  <c r="BZ32" i="6"/>
  <c r="BX32" i="6"/>
  <c r="BS32" i="6"/>
  <c r="BR32" i="6"/>
  <c r="BP32" i="6"/>
  <c r="BO32" i="6"/>
  <c r="BN32" i="6"/>
  <c r="BY31" i="6"/>
  <c r="BR31" i="6"/>
  <c r="BN31" i="6"/>
  <c r="BZ30" i="6"/>
  <c r="BY30" i="6"/>
  <c r="BX30" i="6"/>
  <c r="BS30" i="6"/>
  <c r="BR30" i="6"/>
  <c r="BQ30" i="6"/>
  <c r="BP30" i="6"/>
  <c r="BO30" i="6"/>
  <c r="BN30" i="6"/>
  <c r="Z32" i="6"/>
  <c r="T32" i="6"/>
  <c r="E32" i="6"/>
  <c r="F29" i="6"/>
  <c r="BM25" i="6"/>
  <c r="BM26" i="6"/>
  <c r="BM27" i="6"/>
  <c r="CB27" i="6" s="1"/>
  <c r="CO27" i="6" s="1"/>
  <c r="BM28" i="6"/>
  <c r="BM24" i="6"/>
  <c r="BM29" i="6" s="1"/>
  <c r="CB29" i="6" s="1"/>
  <c r="CO29" i="6" s="1"/>
  <c r="AX25" i="6"/>
  <c r="AX26" i="6"/>
  <c r="AX27" i="6"/>
  <c r="AX28" i="6"/>
  <c r="AI28" i="6"/>
  <c r="AI27" i="6"/>
  <c r="AI26" i="6"/>
  <c r="AI24" i="6"/>
  <c r="AI29" i="6" s="1"/>
  <c r="AW25" i="6"/>
  <c r="AV25" i="6"/>
  <c r="AU25" i="6"/>
  <c r="AT25" i="6"/>
  <c r="E25" i="6"/>
  <c r="U25" i="6"/>
  <c r="V25" i="6"/>
  <c r="W25" i="6"/>
  <c r="X25" i="6"/>
  <c r="Y25" i="6"/>
  <c r="Z25" i="6"/>
  <c r="AA25" i="6"/>
  <c r="AB25" i="6"/>
  <c r="AC25" i="6"/>
  <c r="AD25" i="6"/>
  <c r="AE25" i="6"/>
  <c r="AF25" i="6"/>
  <c r="AG25" i="6"/>
  <c r="AH25" i="6"/>
  <c r="CB25" i="6"/>
  <c r="E26" i="6"/>
  <c r="T26" i="6"/>
  <c r="CB26" i="6"/>
  <c r="CO26" i="6" s="1"/>
  <c r="E27" i="6"/>
  <c r="T27" i="6"/>
  <c r="E28" i="6"/>
  <c r="T28" i="6"/>
  <c r="CB28" i="6"/>
  <c r="CO28" i="6" s="1"/>
  <c r="T24" i="6"/>
  <c r="T29" i="6" s="1"/>
  <c r="BN16" i="6"/>
  <c r="BO16" i="6"/>
  <c r="BO29" i="6" s="1"/>
  <c r="BP16" i="6"/>
  <c r="BP29" i="6" s="1"/>
  <c r="BQ16" i="6"/>
  <c r="BQ29" i="6" s="1"/>
  <c r="BR16" i="6"/>
  <c r="BR29" i="6" s="1"/>
  <c r="BS16" i="6"/>
  <c r="BS29" i="6" s="1"/>
  <c r="BT16" i="6"/>
  <c r="BT29" i="6" s="1"/>
  <c r="BU16" i="6"/>
  <c r="BU29" i="6" s="1"/>
  <c r="BV16" i="6"/>
  <c r="BV29" i="6" s="1"/>
  <c r="BW16" i="6"/>
  <c r="BW29" i="6" s="1"/>
  <c r="BX16" i="6"/>
  <c r="BX29" i="6" s="1"/>
  <c r="BY16" i="6"/>
  <c r="BY29" i="6" s="1"/>
  <c r="BZ16" i="6"/>
  <c r="BZ29" i="6" s="1"/>
  <c r="CA16" i="6"/>
  <c r="CA29" i="6" s="1"/>
  <c r="BM23" i="6"/>
  <c r="BM22" i="6"/>
  <c r="CB22" i="6" s="1"/>
  <c r="CO22" i="6" s="1"/>
  <c r="BM21" i="6"/>
  <c r="CB21" i="6" s="1"/>
  <c r="CO21" i="6" s="1"/>
  <c r="BM20" i="6"/>
  <c r="CB20" i="6" s="1"/>
  <c r="CO20" i="6" s="1"/>
  <c r="BM19" i="6"/>
  <c r="BM18" i="6"/>
  <c r="BM17" i="6"/>
  <c r="CB17" i="6" s="1"/>
  <c r="CO17" i="6" s="1"/>
  <c r="AY16" i="6"/>
  <c r="AZ16" i="6"/>
  <c r="AZ29" i="6" s="1"/>
  <c r="BA16" i="6"/>
  <c r="BA29" i="6" s="1"/>
  <c r="BB16" i="6"/>
  <c r="BB29" i="6" s="1"/>
  <c r="BC16" i="6"/>
  <c r="BC29" i="6" s="1"/>
  <c r="BD16" i="6"/>
  <c r="BD29" i="6" s="1"/>
  <c r="BE16" i="6"/>
  <c r="BE29" i="6" s="1"/>
  <c r="BF16" i="6"/>
  <c r="BF29" i="6" s="1"/>
  <c r="BG16" i="6"/>
  <c r="BG29" i="6" s="1"/>
  <c r="BH16" i="6"/>
  <c r="BH29" i="6" s="1"/>
  <c r="BI16" i="6"/>
  <c r="BI29" i="6" s="1"/>
  <c r="BJ16" i="6"/>
  <c r="BJ29" i="6" s="1"/>
  <c r="BK16" i="6"/>
  <c r="BK29" i="6" s="1"/>
  <c r="BL16" i="6"/>
  <c r="BL29" i="6" s="1"/>
  <c r="AX23" i="6"/>
  <c r="AX22" i="6"/>
  <c r="AX33" i="6" s="1"/>
  <c r="AX21" i="6"/>
  <c r="AX20" i="6"/>
  <c r="AX19" i="6"/>
  <c r="AX18" i="6"/>
  <c r="AX30" i="6" s="1"/>
  <c r="AX17" i="6"/>
  <c r="AJ16" i="6"/>
  <c r="AK16" i="6"/>
  <c r="AK29" i="6" s="1"/>
  <c r="AL16" i="6"/>
  <c r="AL29" i="6" s="1"/>
  <c r="AM16" i="6"/>
  <c r="AM29" i="6" s="1"/>
  <c r="AN16" i="6"/>
  <c r="AN29" i="6" s="1"/>
  <c r="AO16" i="6"/>
  <c r="AO29" i="6" s="1"/>
  <c r="AP16" i="6"/>
  <c r="AP29" i="6" s="1"/>
  <c r="AQ16" i="6"/>
  <c r="AQ29" i="6" s="1"/>
  <c r="AR16" i="6"/>
  <c r="AR29" i="6" s="1"/>
  <c r="AS16" i="6"/>
  <c r="AS29" i="6" s="1"/>
  <c r="AT16" i="6"/>
  <c r="AT29" i="6" s="1"/>
  <c r="AU16" i="6"/>
  <c r="AU29" i="6" s="1"/>
  <c r="AV16" i="6"/>
  <c r="AV29" i="6" s="1"/>
  <c r="AW16" i="6"/>
  <c r="AW29" i="6" s="1"/>
  <c r="AI23" i="6"/>
  <c r="AI22" i="6"/>
  <c r="AI33" i="6" s="1"/>
  <c r="AI21" i="6"/>
  <c r="AI20" i="6"/>
  <c r="AI19" i="6"/>
  <c r="AI31" i="6" s="1"/>
  <c r="AI18" i="6"/>
  <c r="AI30" i="6" s="1"/>
  <c r="AI17" i="6"/>
  <c r="U16" i="6"/>
  <c r="V16" i="6"/>
  <c r="V29" i="6" s="1"/>
  <c r="W16" i="6"/>
  <c r="W29" i="6" s="1"/>
  <c r="X16" i="6"/>
  <c r="X29" i="6" s="1"/>
  <c r="Y16" i="6"/>
  <c r="Y29" i="6" s="1"/>
  <c r="Z16" i="6"/>
  <c r="Z29" i="6" s="1"/>
  <c r="AA16" i="6"/>
  <c r="AA29" i="6" s="1"/>
  <c r="AB16" i="6"/>
  <c r="AB29" i="6" s="1"/>
  <c r="AC16" i="6"/>
  <c r="AC29" i="6" s="1"/>
  <c r="AD16" i="6"/>
  <c r="AD29" i="6" s="1"/>
  <c r="AE16" i="6"/>
  <c r="AE29" i="6" s="1"/>
  <c r="AF16" i="6"/>
  <c r="AF29" i="6" s="1"/>
  <c r="AG16" i="6"/>
  <c r="AG29" i="6" s="1"/>
  <c r="AH16" i="6"/>
  <c r="AH29" i="6" s="1"/>
  <c r="T23" i="6"/>
  <c r="T22" i="6"/>
  <c r="T33" i="6" s="1"/>
  <c r="T21" i="6"/>
  <c r="T20" i="6"/>
  <c r="T19" i="6"/>
  <c r="T18" i="6"/>
  <c r="T30" i="6" s="1"/>
  <c r="T17" i="6"/>
  <c r="E23" i="6"/>
  <c r="E22" i="6"/>
  <c r="E33" i="6" s="1"/>
  <c r="E21" i="6"/>
  <c r="E31" i="6" s="1"/>
  <c r="E20" i="6"/>
  <c r="E19" i="6"/>
  <c r="E18" i="6"/>
  <c r="E30" i="6" s="1"/>
  <c r="E17" i="6"/>
  <c r="S16" i="6"/>
  <c r="S29" i="6" s="1"/>
  <c r="R16" i="6"/>
  <c r="R29" i="6" s="1"/>
  <c r="Q16" i="6"/>
  <c r="Q29" i="6" s="1"/>
  <c r="P16" i="6"/>
  <c r="P29" i="6" s="1"/>
  <c r="O16" i="6"/>
  <c r="O29" i="6" s="1"/>
  <c r="N16" i="6"/>
  <c r="N29" i="6" s="1"/>
  <c r="M16" i="6"/>
  <c r="M29" i="6" s="1"/>
  <c r="L16" i="6"/>
  <c r="L29" i="6" s="1"/>
  <c r="K16" i="6"/>
  <c r="K29" i="6" s="1"/>
  <c r="J16" i="6"/>
  <c r="J29" i="6" s="1"/>
  <c r="I16" i="6"/>
  <c r="I29" i="6" s="1"/>
  <c r="H16" i="6"/>
  <c r="H29" i="6" s="1"/>
  <c r="G16" i="6"/>
  <c r="G29" i="6" s="1"/>
  <c r="F16" i="6"/>
  <c r="D16" i="6"/>
  <c r="BO35" i="7"/>
  <c r="BN35" i="7"/>
  <c r="AZ35" i="7"/>
  <c r="AY35" i="7"/>
  <c r="V35" i="7"/>
  <c r="AX35" i="7"/>
  <c r="CH35" i="7" s="1"/>
  <c r="AK35" i="7"/>
  <c r="AJ35" i="7"/>
  <c r="AI27" i="7"/>
  <c r="AI26" i="7"/>
  <c r="T26" i="7"/>
  <c r="E28" i="7"/>
  <c r="E64" i="1" s="1"/>
  <c r="T25" i="6" l="1"/>
  <c r="AI25" i="6"/>
  <c r="E16" i="6"/>
  <c r="CB18" i="6"/>
  <c r="CO18" i="6" s="1"/>
  <c r="BM30" i="6"/>
  <c r="CB19" i="6"/>
  <c r="CO19" i="6" s="1"/>
  <c r="BM31" i="6"/>
  <c r="T16" i="6"/>
  <c r="AX16" i="6"/>
  <c r="AX31" i="6"/>
  <c r="T31" i="6"/>
  <c r="AI16" i="6"/>
  <c r="BM16" i="6"/>
  <c r="CB16" i="6" s="1"/>
  <c r="CO16" i="6" s="1"/>
  <c r="E26" i="7"/>
  <c r="G58" i="1"/>
  <c r="H58" i="1" s="1"/>
  <c r="I58" i="1" s="1"/>
  <c r="J58" i="1" s="1"/>
  <c r="J55" i="1"/>
  <c r="AX43" i="6" l="1"/>
  <c r="CL43" i="6" s="1"/>
  <c r="AX38" i="6"/>
  <c r="AI43" i="6"/>
  <c r="AI38" i="6"/>
  <c r="T38" i="6"/>
  <c r="T43" i="6"/>
  <c r="E43" i="6"/>
  <c r="E38" i="6"/>
  <c r="BM18" i="7"/>
  <c r="CI18" i="7" s="1"/>
  <c r="AX18" i="7"/>
  <c r="CH18" i="7" s="1"/>
  <c r="AI18" i="7"/>
  <c r="T18" i="7"/>
  <c r="E18" i="7"/>
  <c r="BM17" i="7"/>
  <c r="CI17" i="7" s="1"/>
  <c r="CJ17" i="7" s="1"/>
  <c r="BM16" i="7"/>
  <c r="CI16" i="7" s="1"/>
  <c r="CJ16" i="7" s="1"/>
  <c r="BM15" i="7"/>
  <c r="CI15" i="7" s="1"/>
  <c r="CJ15" i="7" s="1"/>
  <c r="BL17" i="7"/>
  <c r="BK17" i="7"/>
  <c r="BJ17" i="7"/>
  <c r="BI17" i="7"/>
  <c r="BH17" i="7"/>
  <c r="BG17" i="7"/>
  <c r="BF17" i="7"/>
  <c r="BE17" i="7"/>
  <c r="AX17" i="7" s="1"/>
  <c r="CH17" i="7" s="1"/>
  <c r="BD17" i="7"/>
  <c r="BC17" i="7"/>
  <c r="BB17" i="7"/>
  <c r="BA17" i="7"/>
  <c r="AZ17" i="7"/>
  <c r="AY17" i="7"/>
  <c r="AX16" i="7"/>
  <c r="CH16" i="7" s="1"/>
  <c r="AX15" i="7"/>
  <c r="CH15" i="7" s="1"/>
  <c r="AI16" i="7"/>
  <c r="AI17" i="7"/>
  <c r="AI15" i="7"/>
  <c r="T17" i="7"/>
  <c r="T16" i="7"/>
  <c r="T15" i="7"/>
  <c r="E16" i="7"/>
  <c r="E17" i="7"/>
  <c r="E15" i="7"/>
  <c r="E13" i="7"/>
  <c r="CJ18" i="7" l="1"/>
  <c r="H32" i="1"/>
  <c r="I32" i="1" s="1"/>
  <c r="J32" i="1" s="1"/>
  <c r="G32" i="1"/>
  <c r="F32" i="1"/>
  <c r="E32" i="1"/>
  <c r="D32" i="1"/>
  <c r="I54" i="1"/>
  <c r="J54" i="1" s="1"/>
  <c r="D19" i="1"/>
  <c r="F15" i="2" l="1"/>
  <c r="G15" i="2"/>
  <c r="H15" i="2"/>
  <c r="I15" i="2"/>
  <c r="J15" i="2"/>
  <c r="K15" i="2"/>
  <c r="L15" i="2"/>
  <c r="M15" i="2"/>
  <c r="N15" i="2"/>
  <c r="O15" i="2"/>
  <c r="P15" i="2"/>
  <c r="Q15" i="2"/>
  <c r="R15" i="2"/>
  <c r="S15" i="2"/>
  <c r="F17" i="2"/>
  <c r="G17" i="2"/>
  <c r="H17" i="2"/>
  <c r="I17" i="2"/>
  <c r="J17" i="2"/>
  <c r="K17" i="2"/>
  <c r="K16" i="2" s="1"/>
  <c r="L17" i="2"/>
  <c r="M17" i="2"/>
  <c r="N17" i="2"/>
  <c r="N16" i="2" s="1"/>
  <c r="O17" i="2"/>
  <c r="P17" i="2"/>
  <c r="Q17" i="2"/>
  <c r="R17" i="2"/>
  <c r="S17" i="2"/>
  <c r="R16" i="2" l="1"/>
  <c r="S16" i="2"/>
  <c r="J16" i="2"/>
  <c r="H16" i="2"/>
  <c r="L16" i="2"/>
  <c r="P16" i="2"/>
  <c r="O16" i="2"/>
  <c r="Q16" i="2"/>
  <c r="M16" i="2"/>
  <c r="I16" i="2"/>
  <c r="G16" i="2"/>
  <c r="F16" i="2"/>
  <c r="CC38" i="6" l="1"/>
  <c r="CD38" i="6" s="1"/>
  <c r="CD43" i="6" s="1"/>
  <c r="F14" i="12"/>
  <c r="F15" i="12"/>
  <c r="F16" i="12"/>
  <c r="F17" i="12"/>
  <c r="F18" i="12"/>
  <c r="F19" i="12"/>
  <c r="F20" i="12"/>
  <c r="F21" i="12"/>
  <c r="F22" i="12"/>
  <c r="F12" i="12"/>
  <c r="G12" i="12" s="1"/>
  <c r="H12" i="12" s="1"/>
  <c r="I12" i="12" s="1"/>
  <c r="J12" i="12" s="1"/>
  <c r="E13" i="12"/>
  <c r="F13" i="12" s="1"/>
  <c r="G13" i="12" s="1"/>
  <c r="H13" i="12" s="1"/>
  <c r="I13" i="12" s="1"/>
  <c r="J13" i="12" s="1"/>
  <c r="F11" i="12"/>
  <c r="G11" i="12" s="1"/>
  <c r="H11" i="12" s="1"/>
  <c r="I11" i="12" s="1"/>
  <c r="J11" i="12" s="1"/>
  <c r="J9" i="12"/>
  <c r="D46" i="2"/>
  <c r="D45" i="2"/>
  <c r="D44" i="2"/>
  <c r="E11" i="1"/>
  <c r="F11" i="1" s="1"/>
  <c r="E9" i="1"/>
  <c r="E10" i="1"/>
  <c r="F10" i="1" s="1"/>
  <c r="L85" i="2"/>
  <c r="BM33" i="6"/>
  <c r="R32" i="6"/>
  <c r="J32" i="6"/>
  <c r="H32" i="6"/>
  <c r="G32" i="6"/>
  <c r="F32" i="6"/>
  <c r="R31" i="6"/>
  <c r="Q31" i="6"/>
  <c r="P31" i="6"/>
  <c r="J31" i="6"/>
  <c r="F31" i="6"/>
  <c r="R30" i="6"/>
  <c r="Q30" i="6"/>
  <c r="K30" i="6"/>
  <c r="J30" i="6"/>
  <c r="I30" i="6"/>
  <c r="H30" i="6"/>
  <c r="G30" i="6"/>
  <c r="F30" i="6"/>
  <c r="S7" i="6"/>
  <c r="R7" i="6"/>
  <c r="Q7" i="6"/>
  <c r="P7" i="6"/>
  <c r="O7" i="6"/>
  <c r="N7" i="6"/>
  <c r="M7" i="6"/>
  <c r="L7" i="6"/>
  <c r="K7" i="6"/>
  <c r="J7" i="6"/>
  <c r="I7" i="6"/>
  <c r="H7" i="6"/>
  <c r="G7" i="6"/>
  <c r="F7" i="6"/>
  <c r="BM40" i="7"/>
  <c r="J16" i="1"/>
  <c r="CB91" i="2"/>
  <c r="CB92" i="2"/>
  <c r="CB93" i="2"/>
  <c r="CB94" i="2"/>
  <c r="CB95" i="2"/>
  <c r="CB96" i="2"/>
  <c r="T82" i="2"/>
  <c r="BM89" i="2"/>
  <c r="BM82" i="2"/>
  <c r="AX89" i="2"/>
  <c r="AX82" i="2"/>
  <c r="AX90" i="2"/>
  <c r="AI82" i="2"/>
  <c r="AI89" i="2"/>
  <c r="T89" i="2"/>
  <c r="CB89" i="2"/>
  <c r="E82" i="2"/>
  <c r="E89" i="2"/>
  <c r="G20" i="13"/>
  <c r="BM64" i="2"/>
  <c r="AX64" i="2"/>
  <c r="AI64" i="2"/>
  <c r="T64" i="2"/>
  <c r="E64" i="2"/>
  <c r="H11" i="13"/>
  <c r="I11" i="13" s="1"/>
  <c r="G13" i="13"/>
  <c r="A3" i="13"/>
  <c r="A3" i="12"/>
  <c r="A3" i="11"/>
  <c r="A3" i="10"/>
  <c r="A3" i="9"/>
  <c r="A3" i="8"/>
  <c r="A3" i="7"/>
  <c r="A3" i="6"/>
  <c r="A3" i="5"/>
  <c r="A3" i="4"/>
  <c r="A3" i="3"/>
  <c r="A4" i="2"/>
  <c r="J45" i="7"/>
  <c r="CB64" i="2"/>
  <c r="AX24" i="6"/>
  <c r="AX29" i="6" s="1"/>
  <c r="H41" i="1" s="1"/>
  <c r="E24" i="6"/>
  <c r="E29" i="6" s="1"/>
  <c r="E25" i="5"/>
  <c r="F25" i="5"/>
  <c r="G25" i="5"/>
  <c r="H25" i="5"/>
  <c r="I25" i="5"/>
  <c r="E21" i="5"/>
  <c r="F21" i="5"/>
  <c r="G21" i="5"/>
  <c r="H21" i="5"/>
  <c r="I21" i="5"/>
  <c r="BM105" i="2"/>
  <c r="I23" i="1" s="1"/>
  <c r="J23" i="1" s="1"/>
  <c r="AX105" i="2"/>
  <c r="H23" i="1" s="1"/>
  <c r="AI105" i="2"/>
  <c r="G23" i="1" s="1"/>
  <c r="T105" i="2"/>
  <c r="F23" i="1" s="1"/>
  <c r="E105" i="2"/>
  <c r="E23" i="1" s="1"/>
  <c r="I61" i="1"/>
  <c r="H61" i="1"/>
  <c r="G61" i="1"/>
  <c r="F61" i="1"/>
  <c r="E61" i="1"/>
  <c r="I60" i="1"/>
  <c r="H60" i="1"/>
  <c r="G60" i="1"/>
  <c r="F60" i="1"/>
  <c r="E60" i="1"/>
  <c r="I45" i="1"/>
  <c r="J45" i="1" s="1"/>
  <c r="H45" i="1"/>
  <c r="G45" i="1"/>
  <c r="F42" i="1"/>
  <c r="F44" i="1"/>
  <c r="F45" i="1"/>
  <c r="E45" i="1"/>
  <c r="I41" i="1"/>
  <c r="J41" i="1" s="1"/>
  <c r="G41" i="1"/>
  <c r="F41" i="1"/>
  <c r="E41" i="1"/>
  <c r="D45" i="1"/>
  <c r="I34" i="1"/>
  <c r="J34" i="1" s="1"/>
  <c r="H34" i="1"/>
  <c r="G34" i="1"/>
  <c r="F34" i="1"/>
  <c r="E34" i="1"/>
  <c r="J76" i="1"/>
  <c r="J75" i="1"/>
  <c r="E70" i="1"/>
  <c r="J59" i="1"/>
  <c r="J36" i="1"/>
  <c r="J33" i="1"/>
  <c r="J31" i="1"/>
  <c r="J30" i="1"/>
  <c r="E54" i="13"/>
  <c r="E52" i="13" s="1"/>
  <c r="E47" i="13"/>
  <c r="E43" i="13"/>
  <c r="E38" i="13"/>
  <c r="E33" i="13"/>
  <c r="E24" i="13"/>
  <c r="E8" i="13"/>
  <c r="J10" i="12"/>
  <c r="J7" i="12"/>
  <c r="J28" i="11"/>
  <c r="J27" i="11"/>
  <c r="J24" i="11"/>
  <c r="J22" i="11"/>
  <c r="I20" i="11"/>
  <c r="H20" i="11"/>
  <c r="G20" i="11"/>
  <c r="F20" i="11"/>
  <c r="E20" i="11"/>
  <c r="J14" i="11"/>
  <c r="E26" i="1"/>
  <c r="E6" i="11"/>
  <c r="I51" i="10"/>
  <c r="I49" i="10"/>
  <c r="I47" i="10"/>
  <c r="A47" i="10"/>
  <c r="I43" i="10"/>
  <c r="I37" i="10"/>
  <c r="A33" i="10"/>
  <c r="A35" i="10" s="1"/>
  <c r="A37" i="10" s="1"/>
  <c r="A39" i="10" s="1"/>
  <c r="A41" i="10" s="1"/>
  <c r="I31" i="10"/>
  <c r="H29" i="10"/>
  <c r="G29" i="10"/>
  <c r="F29" i="10"/>
  <c r="E29" i="10"/>
  <c r="D29" i="10"/>
  <c r="D6" i="10" s="1"/>
  <c r="I23" i="10"/>
  <c r="I21" i="10"/>
  <c r="A21" i="10"/>
  <c r="A23" i="10"/>
  <c r="A25" i="10" s="1"/>
  <c r="A27" i="10" s="1"/>
  <c r="H17" i="10"/>
  <c r="H6" i="10" s="1"/>
  <c r="G17" i="10"/>
  <c r="G6" i="10"/>
  <c r="F17" i="10"/>
  <c r="I17" i="10" s="1"/>
  <c r="E17" i="10"/>
  <c r="D17" i="10"/>
  <c r="I16" i="10"/>
  <c r="I15" i="10"/>
  <c r="I14" i="10"/>
  <c r="I13" i="10"/>
  <c r="I12" i="10"/>
  <c r="I11" i="10"/>
  <c r="I10" i="10"/>
  <c r="I9" i="10"/>
  <c r="I8" i="10"/>
  <c r="I7" i="10"/>
  <c r="I5" i="10"/>
  <c r="H5" i="10"/>
  <c r="G5" i="10"/>
  <c r="F5" i="10"/>
  <c r="E5" i="10"/>
  <c r="D5" i="10"/>
  <c r="C5" i="10"/>
  <c r="E6" i="10"/>
  <c r="E23" i="13"/>
  <c r="F26" i="1"/>
  <c r="J16" i="9"/>
  <c r="J13" i="9"/>
  <c r="J7" i="9" s="1"/>
  <c r="I7" i="9"/>
  <c r="H7" i="9"/>
  <c r="G7" i="9"/>
  <c r="F7" i="9"/>
  <c r="E7" i="9"/>
  <c r="N46" i="8"/>
  <c r="E46" i="8"/>
  <c r="G12" i="8"/>
  <c r="H12" i="8"/>
  <c r="I12" i="8"/>
  <c r="J12" i="8"/>
  <c r="L12" i="8"/>
  <c r="M12" i="8"/>
  <c r="P20" i="8"/>
  <c r="Q20" i="8"/>
  <c r="R20" i="8"/>
  <c r="S20" i="8"/>
  <c r="T20" i="8"/>
  <c r="O20" i="8"/>
  <c r="P18" i="8"/>
  <c r="Q18" i="8"/>
  <c r="R18" i="8"/>
  <c r="S18" i="8"/>
  <c r="O18" i="8"/>
  <c r="P16" i="8"/>
  <c r="Q16" i="8"/>
  <c r="R16" i="8"/>
  <c r="S16" i="8"/>
  <c r="T16" i="8"/>
  <c r="O16" i="8"/>
  <c r="P14" i="8"/>
  <c r="Q14" i="8"/>
  <c r="R14" i="8"/>
  <c r="S14" i="8"/>
  <c r="T14" i="8"/>
  <c r="O14" i="8"/>
  <c r="P12" i="8"/>
  <c r="S12" i="8"/>
  <c r="G20" i="8"/>
  <c r="H20" i="8"/>
  <c r="I20" i="8"/>
  <c r="J20" i="8"/>
  <c r="K20" i="8"/>
  <c r="L20" i="8"/>
  <c r="M20" i="8"/>
  <c r="F20" i="8"/>
  <c r="I18" i="8"/>
  <c r="J18" i="8"/>
  <c r="K18" i="8"/>
  <c r="L18" i="8"/>
  <c r="M18" i="8"/>
  <c r="G16" i="8"/>
  <c r="H16" i="8"/>
  <c r="I16" i="8"/>
  <c r="J16" i="8"/>
  <c r="K16" i="8"/>
  <c r="L16" i="8"/>
  <c r="M16" i="8"/>
  <c r="F16" i="8"/>
  <c r="G14" i="8"/>
  <c r="H14" i="8"/>
  <c r="I14" i="8"/>
  <c r="J14" i="8"/>
  <c r="K14" i="8"/>
  <c r="L14" i="8"/>
  <c r="M14" i="8"/>
  <c r="F14" i="8"/>
  <c r="N44" i="8"/>
  <c r="E44" i="8"/>
  <c r="N42" i="8"/>
  <c r="E42" i="8"/>
  <c r="N40" i="8"/>
  <c r="N36" i="8"/>
  <c r="E36" i="8"/>
  <c r="N34" i="8"/>
  <c r="N33" i="8"/>
  <c r="E33" i="8"/>
  <c r="N32" i="8"/>
  <c r="D32" i="8" s="1"/>
  <c r="E32" i="8"/>
  <c r="N31" i="8"/>
  <c r="E31" i="8"/>
  <c r="D31" i="8" s="1"/>
  <c r="N29" i="8"/>
  <c r="E29" i="8"/>
  <c r="N28" i="8"/>
  <c r="E28" i="8"/>
  <c r="D28" i="8" s="1"/>
  <c r="N27" i="8"/>
  <c r="E27" i="8"/>
  <c r="N26" i="8"/>
  <c r="E26" i="8"/>
  <c r="N25" i="8"/>
  <c r="E25" i="8"/>
  <c r="D25" i="8" s="1"/>
  <c r="N24" i="8"/>
  <c r="E24" i="8"/>
  <c r="D24" i="8" s="1"/>
  <c r="U21" i="8"/>
  <c r="U19" i="8"/>
  <c r="U10" i="8"/>
  <c r="CB53" i="7"/>
  <c r="BM53" i="7"/>
  <c r="AX53" i="7"/>
  <c r="AI53" i="7"/>
  <c r="T53" i="7"/>
  <c r="E53" i="7"/>
  <c r="CB51" i="7"/>
  <c r="CB50" i="7"/>
  <c r="CB48" i="7"/>
  <c r="CA47" i="7"/>
  <c r="BZ47" i="7"/>
  <c r="BY47" i="7"/>
  <c r="BX47" i="7"/>
  <c r="BT47" i="7"/>
  <c r="BS47" i="7"/>
  <c r="BR47" i="7"/>
  <c r="BQ47" i="7"/>
  <c r="BP47" i="7"/>
  <c r="BO47" i="7"/>
  <c r="BN47" i="7"/>
  <c r="BL47" i="7"/>
  <c r="BK47" i="7"/>
  <c r="BJ47" i="7"/>
  <c r="BI47" i="7"/>
  <c r="BE47" i="7"/>
  <c r="BD47" i="7"/>
  <c r="BC47" i="7"/>
  <c r="BB47" i="7"/>
  <c r="BA47" i="7"/>
  <c r="AX47" i="7" s="1"/>
  <c r="AZ47" i="7"/>
  <c r="AY47" i="7"/>
  <c r="AW47" i="7"/>
  <c r="AV47" i="7"/>
  <c r="AU47" i="7"/>
  <c r="AT47" i="7"/>
  <c r="AP47" i="7"/>
  <c r="AO47" i="7"/>
  <c r="AN47" i="7"/>
  <c r="AM47" i="7"/>
  <c r="AL47" i="7"/>
  <c r="AK47" i="7"/>
  <c r="AJ47" i="7"/>
  <c r="AH47" i="7"/>
  <c r="AG47" i="7"/>
  <c r="AF47" i="7"/>
  <c r="AB47" i="7"/>
  <c r="AA47" i="7"/>
  <c r="Z47" i="7"/>
  <c r="Y47" i="7"/>
  <c r="X47" i="7"/>
  <c r="W47" i="7"/>
  <c r="V47" i="7"/>
  <c r="R47" i="7"/>
  <c r="Q47" i="7"/>
  <c r="P47" i="7"/>
  <c r="L47" i="7"/>
  <c r="K47" i="7"/>
  <c r="J47" i="7"/>
  <c r="I47" i="7"/>
  <c r="H47" i="7"/>
  <c r="G47" i="7"/>
  <c r="F47" i="7"/>
  <c r="BM46" i="7"/>
  <c r="CB46" i="7" s="1"/>
  <c r="AX46" i="7"/>
  <c r="AI46" i="7"/>
  <c r="T46" i="7"/>
  <c r="E46" i="7"/>
  <c r="CA45" i="7"/>
  <c r="BZ45" i="7"/>
  <c r="BY45" i="7"/>
  <c r="BX45" i="7"/>
  <c r="BT45" i="7"/>
  <c r="BS45" i="7"/>
  <c r="BR45" i="7"/>
  <c r="BQ45" i="7"/>
  <c r="BP45" i="7"/>
  <c r="BO45" i="7"/>
  <c r="BN45" i="7"/>
  <c r="BL45" i="7"/>
  <c r="BK45" i="7"/>
  <c r="BJ45" i="7"/>
  <c r="BI45" i="7"/>
  <c r="BE45" i="7"/>
  <c r="BD45" i="7"/>
  <c r="BC45" i="7"/>
  <c r="BB45" i="7"/>
  <c r="BA45" i="7"/>
  <c r="AZ45" i="7"/>
  <c r="AY45" i="7"/>
  <c r="AW45" i="7"/>
  <c r="AV45" i="7"/>
  <c r="AU45" i="7"/>
  <c r="AT45" i="7"/>
  <c r="AP45" i="7"/>
  <c r="AO45" i="7"/>
  <c r="AN45" i="7"/>
  <c r="AM45" i="7"/>
  <c r="AL45" i="7"/>
  <c r="AK45" i="7"/>
  <c r="AJ45" i="7"/>
  <c r="AG45" i="7"/>
  <c r="AF45" i="7"/>
  <c r="AE45" i="7"/>
  <c r="AA45" i="7"/>
  <c r="Z45" i="7"/>
  <c r="Y45" i="7"/>
  <c r="X45" i="7"/>
  <c r="W45" i="7"/>
  <c r="T45" i="7" s="1"/>
  <c r="F48" i="1" s="1"/>
  <c r="V45" i="7"/>
  <c r="U45" i="7"/>
  <c r="R45" i="7"/>
  <c r="Q45" i="7"/>
  <c r="P45" i="7"/>
  <c r="L45" i="7"/>
  <c r="K45" i="7"/>
  <c r="I45" i="7"/>
  <c r="H45" i="7"/>
  <c r="G45" i="7"/>
  <c r="F45" i="7"/>
  <c r="BM43" i="7"/>
  <c r="CB43" i="7" s="1"/>
  <c r="AX43" i="7"/>
  <c r="AI43" i="7"/>
  <c r="T43" i="7"/>
  <c r="E43" i="7"/>
  <c r="CB42" i="7"/>
  <c r="CB41" i="7"/>
  <c r="I50" i="1"/>
  <c r="J50" i="1" s="1"/>
  <c r="AX40" i="7"/>
  <c r="H50" i="1" s="1"/>
  <c r="AI40" i="7"/>
  <c r="G50" i="1"/>
  <c r="T40" i="7"/>
  <c r="F50" i="1" s="1"/>
  <c r="E40" i="7"/>
  <c r="E50" i="1"/>
  <c r="CB39" i="7"/>
  <c r="CB38" i="7"/>
  <c r="CB37" i="7"/>
  <c r="BM35" i="7"/>
  <c r="CI35" i="7" s="1"/>
  <c r="CJ35" i="7" s="1"/>
  <c r="H67" i="1"/>
  <c r="AI35" i="7"/>
  <c r="G67" i="1" s="1"/>
  <c r="T35" i="7"/>
  <c r="F67" i="1" s="1"/>
  <c r="E67" i="1"/>
  <c r="H66" i="1"/>
  <c r="G66" i="1"/>
  <c r="F66" i="1"/>
  <c r="E66" i="1"/>
  <c r="H65" i="1"/>
  <c r="G65" i="1"/>
  <c r="F65" i="1"/>
  <c r="E65" i="1"/>
  <c r="BM28" i="7"/>
  <c r="AX28" i="7"/>
  <c r="H64" i="1" s="1"/>
  <c r="AI28" i="7"/>
  <c r="G64" i="1" s="1"/>
  <c r="T28" i="7"/>
  <c r="F64" i="1" s="1"/>
  <c r="BM27" i="7"/>
  <c r="CB27" i="7" s="1"/>
  <c r="AX27" i="7"/>
  <c r="T27" i="7"/>
  <c r="E27" i="7"/>
  <c r="CB26" i="7"/>
  <c r="BM21" i="7"/>
  <c r="CB21" i="7"/>
  <c r="AX21" i="7"/>
  <c r="AI21" i="7"/>
  <c r="T21" i="7"/>
  <c r="E21" i="7"/>
  <c r="BM19" i="7"/>
  <c r="CI19" i="7" s="1"/>
  <c r="CJ19" i="7" s="1"/>
  <c r="AX19" i="7"/>
  <c r="CH19" i="7" s="1"/>
  <c r="AI19" i="7"/>
  <c r="T19" i="7"/>
  <c r="CB18" i="7"/>
  <c r="CB17" i="7"/>
  <c r="CB16" i="7"/>
  <c r="CB15" i="7"/>
  <c r="BM13" i="7"/>
  <c r="CB13" i="7" s="1"/>
  <c r="AX13" i="7"/>
  <c r="AI13" i="7"/>
  <c r="T13" i="7"/>
  <c r="BM12" i="7"/>
  <c r="CI12" i="7" s="1"/>
  <c r="CJ12" i="7" s="1"/>
  <c r="AX12" i="7"/>
  <c r="CH12" i="7" s="1"/>
  <c r="AI12" i="7"/>
  <c r="T12" i="7"/>
  <c r="E12" i="7"/>
  <c r="BM10" i="7"/>
  <c r="I51" i="1" s="1"/>
  <c r="J51" i="1" s="1"/>
  <c r="AX10" i="7"/>
  <c r="H51" i="1" s="1"/>
  <c r="AI10" i="7"/>
  <c r="G51" i="1" s="1"/>
  <c r="T10" i="7"/>
  <c r="F51" i="1" s="1"/>
  <c r="E10" i="7"/>
  <c r="E51" i="1" s="1"/>
  <c r="BM9" i="7"/>
  <c r="AX9" i="7"/>
  <c r="H52" i="1" s="1"/>
  <c r="AI9" i="7"/>
  <c r="G52" i="1" s="1"/>
  <c r="T9" i="7"/>
  <c r="F52" i="1" s="1"/>
  <c r="E9" i="7"/>
  <c r="E52" i="1" s="1"/>
  <c r="BM8" i="7"/>
  <c r="CB8" i="7" s="1"/>
  <c r="AX8" i="7"/>
  <c r="AI8" i="7"/>
  <c r="T8" i="7"/>
  <c r="E8" i="7"/>
  <c r="BM7" i="7"/>
  <c r="I17" i="5" s="1"/>
  <c r="J17" i="5" s="1"/>
  <c r="AX7" i="7"/>
  <c r="H17" i="5" s="1"/>
  <c r="AI7" i="7"/>
  <c r="G17" i="5" s="1"/>
  <c r="T7" i="7"/>
  <c r="F17" i="5" s="1"/>
  <c r="E7" i="7"/>
  <c r="CB46" i="6"/>
  <c r="CO46" i="6" s="1"/>
  <c r="CB45" i="6"/>
  <c r="CB44" i="6"/>
  <c r="CO44" i="6" s="1"/>
  <c r="H62" i="1"/>
  <c r="G62" i="1"/>
  <c r="F62" i="1"/>
  <c r="E62" i="1"/>
  <c r="CB38" i="6"/>
  <c r="CO38" i="6" s="1"/>
  <c r="CB37" i="6"/>
  <c r="CO37" i="6" s="1"/>
  <c r="CB36" i="6"/>
  <c r="CO36" i="6" s="1"/>
  <c r="BM35" i="6"/>
  <c r="AX35" i="6"/>
  <c r="AI35" i="6"/>
  <c r="T35" i="6"/>
  <c r="E35" i="6"/>
  <c r="CB33" i="6"/>
  <c r="CO33" i="6" s="1"/>
  <c r="BK32" i="6"/>
  <c r="BI32" i="6"/>
  <c r="BC32" i="6"/>
  <c r="BA32" i="6"/>
  <c r="AZ32" i="6"/>
  <c r="AY32" i="6"/>
  <c r="H44" i="1"/>
  <c r="AV32" i="6"/>
  <c r="AT32" i="6"/>
  <c r="AN32" i="6"/>
  <c r="AL32" i="6"/>
  <c r="AK32" i="6"/>
  <c r="AJ32" i="6"/>
  <c r="G44" i="1"/>
  <c r="AG32" i="6"/>
  <c r="AE32" i="6"/>
  <c r="Y32" i="6"/>
  <c r="W32" i="6"/>
  <c r="V32" i="6"/>
  <c r="U32" i="6"/>
  <c r="E44" i="1"/>
  <c r="D44" i="1"/>
  <c r="BJ31" i="6"/>
  <c r="BC31" i="6"/>
  <c r="AY31" i="6"/>
  <c r="H43" i="1"/>
  <c r="AV31" i="6"/>
  <c r="AU31" i="6"/>
  <c r="AN31" i="6"/>
  <c r="AJ31" i="6"/>
  <c r="G43" i="1"/>
  <c r="AG31" i="6"/>
  <c r="AF31" i="6"/>
  <c r="AE31" i="6"/>
  <c r="Y31" i="6"/>
  <c r="U31" i="6"/>
  <c r="F43" i="1"/>
  <c r="E43" i="1"/>
  <c r="D43" i="1"/>
  <c r="BK30" i="6"/>
  <c r="BJ30" i="6"/>
  <c r="BI30" i="6"/>
  <c r="BD30" i="6"/>
  <c r="BC30" i="6"/>
  <c r="BB30" i="6"/>
  <c r="BA30" i="6"/>
  <c r="AZ30" i="6"/>
  <c r="AY30" i="6"/>
  <c r="H42" i="1"/>
  <c r="AV30" i="6"/>
  <c r="AU30" i="6"/>
  <c r="AT30" i="6"/>
  <c r="AO30" i="6"/>
  <c r="AN30" i="6"/>
  <c r="AM30" i="6"/>
  <c r="AL30" i="6"/>
  <c r="AK30" i="6"/>
  <c r="AJ30" i="6"/>
  <c r="G42" i="1"/>
  <c r="AG30" i="6"/>
  <c r="AF30" i="6"/>
  <c r="AE30" i="6"/>
  <c r="Z30" i="6"/>
  <c r="Y30" i="6"/>
  <c r="X30" i="6"/>
  <c r="W30" i="6"/>
  <c r="V30" i="6"/>
  <c r="U30" i="6"/>
  <c r="E42" i="1"/>
  <c r="D42" i="1"/>
  <c r="D41" i="1"/>
  <c r="CB24" i="6"/>
  <c r="CO24" i="6" s="1"/>
  <c r="BN15" i="6"/>
  <c r="BM15" i="6" s="1"/>
  <c r="BM13" i="6"/>
  <c r="CB13" i="6" s="1"/>
  <c r="CO13" i="6" s="1"/>
  <c r="AX13" i="6"/>
  <c r="AI13" i="6"/>
  <c r="T13" i="6"/>
  <c r="E13" i="6"/>
  <c r="BM11" i="6"/>
  <c r="CB11" i="6" s="1"/>
  <c r="CO11" i="6" s="1"/>
  <c r="AX11" i="6"/>
  <c r="AI11" i="6"/>
  <c r="T11" i="6"/>
  <c r="E11" i="6"/>
  <c r="BM9" i="6"/>
  <c r="CB9" i="6" s="1"/>
  <c r="CO9" i="6" s="1"/>
  <c r="AX9" i="6"/>
  <c r="AI9" i="6"/>
  <c r="T9" i="6"/>
  <c r="E9" i="6"/>
  <c r="E7" i="6" s="1"/>
  <c r="CA7" i="6"/>
  <c r="BZ7" i="6"/>
  <c r="BY7" i="6"/>
  <c r="BX7" i="6"/>
  <c r="BW7" i="6"/>
  <c r="BV7" i="6"/>
  <c r="BU7" i="6"/>
  <c r="BT7" i="6"/>
  <c r="BS7" i="6"/>
  <c r="BR7" i="6"/>
  <c r="BQ7" i="6"/>
  <c r="BP7" i="6"/>
  <c r="BO7" i="6"/>
  <c r="BN7" i="6"/>
  <c r="BL7" i="6"/>
  <c r="BK7" i="6"/>
  <c r="BJ7" i="6"/>
  <c r="BI7" i="6"/>
  <c r="BH7" i="6"/>
  <c r="BG7" i="6"/>
  <c r="BF7" i="6"/>
  <c r="BE7" i="6"/>
  <c r="BD7" i="6"/>
  <c r="BC7" i="6"/>
  <c r="BB7" i="6"/>
  <c r="BA7" i="6"/>
  <c r="AZ7" i="6"/>
  <c r="AY7" i="6"/>
  <c r="AW7" i="6"/>
  <c r="AV7" i="6"/>
  <c r="AU7" i="6"/>
  <c r="AT7" i="6"/>
  <c r="AS7" i="6"/>
  <c r="AR7" i="6"/>
  <c r="AQ7" i="6"/>
  <c r="AP7" i="6"/>
  <c r="AO7" i="6"/>
  <c r="AN7" i="6"/>
  <c r="AM7" i="6"/>
  <c r="AL7" i="6"/>
  <c r="AK7" i="6"/>
  <c r="AJ7" i="6"/>
  <c r="AH7" i="6"/>
  <c r="AG7" i="6"/>
  <c r="AF7" i="6"/>
  <c r="AE7" i="6"/>
  <c r="AD7" i="6"/>
  <c r="AC7" i="6"/>
  <c r="AB7" i="6"/>
  <c r="AA7" i="6"/>
  <c r="Z7" i="6"/>
  <c r="Y7" i="6"/>
  <c r="X7" i="6"/>
  <c r="W7" i="6"/>
  <c r="V7" i="6"/>
  <c r="U7" i="6"/>
  <c r="J27" i="5"/>
  <c r="J23" i="5"/>
  <c r="J21" i="5"/>
  <c r="J19" i="5"/>
  <c r="K19" i="5" s="1"/>
  <c r="L19" i="5" s="1"/>
  <c r="M19" i="5" s="1"/>
  <c r="N19" i="5" s="1"/>
  <c r="J18" i="5"/>
  <c r="J14" i="5"/>
  <c r="J13" i="5"/>
  <c r="J12" i="5"/>
  <c r="J11" i="5"/>
  <c r="I8" i="5"/>
  <c r="H8" i="5"/>
  <c r="G8" i="5"/>
  <c r="F8" i="5"/>
  <c r="J7" i="5"/>
  <c r="J17" i="4"/>
  <c r="K17" i="4"/>
  <c r="J16" i="4"/>
  <c r="K16" i="4" s="1"/>
  <c r="J15" i="4"/>
  <c r="K15" i="4"/>
  <c r="J13" i="4"/>
  <c r="K13" i="4" s="1"/>
  <c r="J12" i="4"/>
  <c r="K12" i="4"/>
  <c r="K10" i="4"/>
  <c r="J10" i="4"/>
  <c r="K9" i="4"/>
  <c r="D29" i="8"/>
  <c r="T47" i="7"/>
  <c r="E41" i="8"/>
  <c r="CB30" i="6"/>
  <c r="CO30" i="6" s="1"/>
  <c r="I42" i="1"/>
  <c r="J42" i="1" s="1"/>
  <c r="CB31" i="6"/>
  <c r="CO31" i="6" s="1"/>
  <c r="I43" i="1"/>
  <c r="J43" i="1" s="1"/>
  <c r="CB44" i="7"/>
  <c r="I52" i="1"/>
  <c r="J52" i="1" s="1"/>
  <c r="CB9" i="7"/>
  <c r="I62" i="1"/>
  <c r="J62" i="1" s="1"/>
  <c r="CB35" i="7"/>
  <c r="CK35" i="7" s="1"/>
  <c r="I67" i="1"/>
  <c r="J67" i="1" s="1"/>
  <c r="CB32" i="6"/>
  <c r="CO32" i="6" s="1"/>
  <c r="I44" i="1"/>
  <c r="J44" i="1" s="1"/>
  <c r="CB33" i="7"/>
  <c r="I65" i="1"/>
  <c r="J65" i="1" s="1"/>
  <c r="CB34" i="7"/>
  <c r="I66" i="1"/>
  <c r="J66" i="1" s="1"/>
  <c r="CB40" i="7"/>
  <c r="D27" i="8"/>
  <c r="N41" i="8"/>
  <c r="CB15" i="6"/>
  <c r="CO15" i="6" s="1"/>
  <c r="CB20" i="3"/>
  <c r="CB19" i="3"/>
  <c r="CB18" i="3"/>
  <c r="CB17" i="3"/>
  <c r="CB16" i="3"/>
  <c r="BM15" i="3"/>
  <c r="CB15" i="3" s="1"/>
  <c r="AX15" i="3"/>
  <c r="AI15" i="3"/>
  <c r="T15" i="3"/>
  <c r="E15" i="3"/>
  <c r="CB13" i="3"/>
  <c r="CB12" i="3"/>
  <c r="CB11" i="3"/>
  <c r="CB10" i="3"/>
  <c r="CB9" i="3"/>
  <c r="BM106" i="2"/>
  <c r="AX106" i="2"/>
  <c r="AI106" i="2"/>
  <c r="T106" i="2"/>
  <c r="E106" i="2"/>
  <c r="CB105" i="2"/>
  <c r="CB103" i="2"/>
  <c r="CB102" i="2"/>
  <c r="BM100" i="2"/>
  <c r="BM99" i="2" s="1"/>
  <c r="AX100" i="2"/>
  <c r="AX99" i="2" s="1"/>
  <c r="AX98" i="2" s="1"/>
  <c r="AI100" i="2"/>
  <c r="AI99" i="2" s="1"/>
  <c r="AI98" i="2" s="1"/>
  <c r="T100" i="2"/>
  <c r="T99" i="2" s="1"/>
  <c r="T98" i="2" s="1"/>
  <c r="BM97" i="2"/>
  <c r="CB97" i="2" s="1"/>
  <c r="AX97" i="2"/>
  <c r="AI97" i="2"/>
  <c r="T97" i="2"/>
  <c r="E97" i="2"/>
  <c r="BM90" i="2"/>
  <c r="AI90" i="2"/>
  <c r="T90" i="2"/>
  <c r="E90" i="2"/>
  <c r="BM88" i="2"/>
  <c r="CB88" i="2" s="1"/>
  <c r="AX88" i="2"/>
  <c r="AI88" i="2"/>
  <c r="T88" i="2"/>
  <c r="BM87" i="2"/>
  <c r="CB87" i="2" s="1"/>
  <c r="AX87" i="2"/>
  <c r="AI87" i="2"/>
  <c r="T87" i="2"/>
  <c r="E87" i="2"/>
  <c r="BM86" i="2"/>
  <c r="AX86" i="2"/>
  <c r="AI86" i="2"/>
  <c r="T86" i="2"/>
  <c r="E86" i="2"/>
  <c r="CA85" i="2"/>
  <c r="BZ85" i="2"/>
  <c r="BY85" i="2"/>
  <c r="BY83" i="2" s="1"/>
  <c r="K38" i="8" s="1"/>
  <c r="BX85" i="2"/>
  <c r="BX84" i="2" s="1"/>
  <c r="J39" i="8" s="1"/>
  <c r="BW85" i="2"/>
  <c r="BV85" i="2"/>
  <c r="BU85" i="2"/>
  <c r="BT85" i="2"/>
  <c r="BS85" i="2"/>
  <c r="BR85" i="2"/>
  <c r="BQ85" i="2"/>
  <c r="BQ83" i="2" s="1"/>
  <c r="R38" i="8" s="1"/>
  <c r="BP85" i="2"/>
  <c r="BP84" i="2" s="1"/>
  <c r="Q39" i="8" s="1"/>
  <c r="BO85" i="2"/>
  <c r="BN85" i="2"/>
  <c r="BL85" i="2"/>
  <c r="BK85" i="2"/>
  <c r="BK83" i="2" s="1"/>
  <c r="BJ85" i="2"/>
  <c r="BI85" i="2"/>
  <c r="BH85" i="2"/>
  <c r="BH84" i="2" s="1"/>
  <c r="BG85" i="2"/>
  <c r="BF85" i="2"/>
  <c r="BE85" i="2"/>
  <c r="BD85" i="2"/>
  <c r="BC85" i="2"/>
  <c r="BC83" i="2" s="1"/>
  <c r="BB85" i="2"/>
  <c r="BA85" i="2"/>
  <c r="AZ85" i="2"/>
  <c r="AZ83" i="2" s="1"/>
  <c r="AY85" i="2"/>
  <c r="AW85" i="2"/>
  <c r="AV85" i="2"/>
  <c r="AU85" i="2"/>
  <c r="AT85" i="2"/>
  <c r="AS85" i="2"/>
  <c r="AR85" i="2"/>
  <c r="AQ85" i="2"/>
  <c r="AQ83" i="2" s="1"/>
  <c r="AP85" i="2"/>
  <c r="AP83" i="2" s="1"/>
  <c r="AO85" i="2"/>
  <c r="AN85" i="2"/>
  <c r="AM85" i="2"/>
  <c r="AL85" i="2"/>
  <c r="AK85" i="2"/>
  <c r="AJ85" i="2"/>
  <c r="AH85" i="2"/>
  <c r="AH84" i="2" s="1"/>
  <c r="AG85" i="2"/>
  <c r="AG83" i="2" s="1"/>
  <c r="AF85" i="2"/>
  <c r="AE85" i="2"/>
  <c r="AD85" i="2"/>
  <c r="AC85" i="2"/>
  <c r="AB85" i="2"/>
  <c r="AA85" i="2"/>
  <c r="Z85" i="2"/>
  <c r="Z83" i="2" s="1"/>
  <c r="Y85" i="2"/>
  <c r="Y84" i="2" s="1"/>
  <c r="X85" i="2"/>
  <c r="W85" i="2"/>
  <c r="V85" i="2"/>
  <c r="U85" i="2"/>
  <c r="U84" i="2" s="1"/>
  <c r="S85" i="2"/>
  <c r="R85" i="2"/>
  <c r="Q85" i="2"/>
  <c r="Q83" i="2" s="1"/>
  <c r="P85" i="2"/>
  <c r="P84" i="2" s="1"/>
  <c r="O85" i="2"/>
  <c r="N85" i="2"/>
  <c r="M85" i="2"/>
  <c r="K85" i="2"/>
  <c r="I85" i="2"/>
  <c r="H85" i="2"/>
  <c r="G85" i="2"/>
  <c r="G83" i="2" s="1"/>
  <c r="F85" i="2"/>
  <c r="BM80" i="2"/>
  <c r="CB80" i="2" s="1"/>
  <c r="AX80" i="2"/>
  <c r="AI80" i="2"/>
  <c r="T80" i="2"/>
  <c r="E80" i="2"/>
  <c r="BM79" i="2"/>
  <c r="CH79" i="2" s="1"/>
  <c r="AX79" i="2"/>
  <c r="CG79" i="2" s="1"/>
  <c r="CI79" i="2" s="1"/>
  <c r="AI79" i="2"/>
  <c r="T79" i="2"/>
  <c r="E79" i="2"/>
  <c r="BM78" i="2"/>
  <c r="AX78" i="2"/>
  <c r="CG78" i="2" s="1"/>
  <c r="AI78" i="2"/>
  <c r="T78" i="2"/>
  <c r="E78" i="2"/>
  <c r="CB78" i="2" s="1"/>
  <c r="CJ78" i="2" s="1"/>
  <c r="CA77" i="2"/>
  <c r="E43" i="8" s="1"/>
  <c r="BZ77" i="2"/>
  <c r="BY77" i="2"/>
  <c r="BX77" i="2"/>
  <c r="BW77" i="2"/>
  <c r="BV77" i="2"/>
  <c r="BU77" i="2"/>
  <c r="BT77" i="2"/>
  <c r="BS77" i="2"/>
  <c r="BR77" i="2"/>
  <c r="BQ77" i="2"/>
  <c r="BP77" i="2"/>
  <c r="BO77" i="2"/>
  <c r="BN77" i="2"/>
  <c r="BL77" i="2"/>
  <c r="BK77" i="2"/>
  <c r="BJ77" i="2"/>
  <c r="BI77" i="2"/>
  <c r="BH77" i="2"/>
  <c r="BG77" i="2"/>
  <c r="BF77" i="2"/>
  <c r="BE77" i="2"/>
  <c r="BD77" i="2"/>
  <c r="BC77" i="2"/>
  <c r="BB77" i="2"/>
  <c r="BA77" i="2"/>
  <c r="AZ77" i="2"/>
  <c r="AY77" i="2"/>
  <c r="AW77" i="2"/>
  <c r="AV77" i="2"/>
  <c r="AU77" i="2"/>
  <c r="AT77" i="2"/>
  <c r="AS77" i="2"/>
  <c r="AR77" i="2"/>
  <c r="AQ77" i="2"/>
  <c r="AP77" i="2"/>
  <c r="AO77" i="2"/>
  <c r="AN77" i="2"/>
  <c r="AM77" i="2"/>
  <c r="AL77" i="2"/>
  <c r="AK77" i="2"/>
  <c r="AJ77" i="2"/>
  <c r="AH77" i="2"/>
  <c r="AG77" i="2"/>
  <c r="AF77" i="2"/>
  <c r="AE77" i="2"/>
  <c r="AD77" i="2"/>
  <c r="AC77" i="2"/>
  <c r="AB77" i="2"/>
  <c r="AA77" i="2"/>
  <c r="Z77" i="2"/>
  <c r="Y77" i="2"/>
  <c r="X77" i="2"/>
  <c r="W77" i="2"/>
  <c r="V77" i="2"/>
  <c r="U77" i="2"/>
  <c r="S77" i="2"/>
  <c r="R77" i="2"/>
  <c r="Q77" i="2"/>
  <c r="P77" i="2"/>
  <c r="O77" i="2"/>
  <c r="N77" i="2"/>
  <c r="M77" i="2"/>
  <c r="L77" i="2"/>
  <c r="K77" i="2"/>
  <c r="J77" i="2"/>
  <c r="I77" i="2"/>
  <c r="H77" i="2"/>
  <c r="G77" i="2"/>
  <c r="F77" i="2"/>
  <c r="BM74" i="2"/>
  <c r="AX74" i="2"/>
  <c r="CG74" i="2" s="1"/>
  <c r="AI74" i="2"/>
  <c r="T74" i="2"/>
  <c r="E74" i="2"/>
  <c r="BM72" i="2"/>
  <c r="CH72" i="2" s="1"/>
  <c r="CI72" i="2" s="1"/>
  <c r="AX72" i="2"/>
  <c r="CG72" i="2" s="1"/>
  <c r="AI72" i="2"/>
  <c r="T72" i="2"/>
  <c r="E72" i="2"/>
  <c r="BM71" i="2"/>
  <c r="AX71" i="2"/>
  <c r="CG71" i="2" s="1"/>
  <c r="AI71" i="2"/>
  <c r="T71" i="2"/>
  <c r="E71" i="2"/>
  <c r="BM70" i="2"/>
  <c r="AX70" i="2"/>
  <c r="CG70" i="2" s="1"/>
  <c r="AI70" i="2"/>
  <c r="AI69" i="2" s="1"/>
  <c r="T70" i="2"/>
  <c r="E70" i="2"/>
  <c r="CA69" i="2"/>
  <c r="M35" i="8" s="1"/>
  <c r="BZ69" i="2"/>
  <c r="L35" i="8" s="1"/>
  <c r="BY69" i="2"/>
  <c r="K35" i="8" s="1"/>
  <c r="BX69" i="2"/>
  <c r="J35" i="8" s="1"/>
  <c r="BW69" i="2"/>
  <c r="I35" i="8" s="1"/>
  <c r="BV69" i="2"/>
  <c r="H35" i="8" s="1"/>
  <c r="BU69" i="2"/>
  <c r="G35" i="8" s="1"/>
  <c r="BT69" i="2"/>
  <c r="F35" i="8" s="1"/>
  <c r="BS69" i="2"/>
  <c r="T35" i="8" s="1"/>
  <c r="BR69" i="2"/>
  <c r="S35" i="8" s="1"/>
  <c r="BQ69" i="2"/>
  <c r="R35" i="8" s="1"/>
  <c r="BP69" i="2"/>
  <c r="Q35" i="8" s="1"/>
  <c r="BO69" i="2"/>
  <c r="P35" i="8" s="1"/>
  <c r="BN69" i="2"/>
  <c r="O35" i="8" s="1"/>
  <c r="BL69" i="2"/>
  <c r="BK69" i="2"/>
  <c r="BJ69" i="2"/>
  <c r="BI69" i="2"/>
  <c r="BH69" i="2"/>
  <c r="BG69" i="2"/>
  <c r="BF69" i="2"/>
  <c r="BE69" i="2"/>
  <c r="BD69" i="2"/>
  <c r="BC69" i="2"/>
  <c r="BB69" i="2"/>
  <c r="BA69" i="2"/>
  <c r="AZ69" i="2"/>
  <c r="AY69" i="2"/>
  <c r="AW69" i="2"/>
  <c r="AV69" i="2"/>
  <c r="AU69" i="2"/>
  <c r="AT69" i="2"/>
  <c r="AS69" i="2"/>
  <c r="AR69" i="2"/>
  <c r="AQ69" i="2"/>
  <c r="AP69" i="2"/>
  <c r="AO69" i="2"/>
  <c r="AN69" i="2"/>
  <c r="AM69" i="2"/>
  <c r="AL69" i="2"/>
  <c r="AK69" i="2"/>
  <c r="AJ69" i="2"/>
  <c r="AH69" i="2"/>
  <c r="AG69" i="2"/>
  <c r="AF69" i="2"/>
  <c r="AE69" i="2"/>
  <c r="AD69" i="2"/>
  <c r="AC69" i="2"/>
  <c r="AB69" i="2"/>
  <c r="AA69" i="2"/>
  <c r="Z69" i="2"/>
  <c r="Y69" i="2"/>
  <c r="X69" i="2"/>
  <c r="W69" i="2"/>
  <c r="V69" i="2"/>
  <c r="U69" i="2"/>
  <c r="S69" i="2"/>
  <c r="R69" i="2"/>
  <c r="Q69" i="2"/>
  <c r="P69" i="2"/>
  <c r="O69" i="2"/>
  <c r="N69" i="2"/>
  <c r="M69" i="2"/>
  <c r="L69" i="2"/>
  <c r="K69" i="2"/>
  <c r="J69" i="2"/>
  <c r="I69" i="2"/>
  <c r="H69" i="2"/>
  <c r="G69" i="2"/>
  <c r="F69" i="2"/>
  <c r="BM66" i="2"/>
  <c r="AX66" i="2"/>
  <c r="CG66" i="2" s="1"/>
  <c r="E66" i="2"/>
  <c r="BM59" i="2"/>
  <c r="CB59" i="2" s="1"/>
  <c r="AX59" i="2"/>
  <c r="AI59" i="2"/>
  <c r="T59" i="2"/>
  <c r="E59" i="2"/>
  <c r="CA49" i="2"/>
  <c r="BZ49" i="2"/>
  <c r="BS49" i="2"/>
  <c r="BQ49" i="2"/>
  <c r="BP49" i="2"/>
  <c r="BL49" i="2"/>
  <c r="BK49" i="2"/>
  <c r="BD49" i="2"/>
  <c r="BB49" i="2"/>
  <c r="BA49" i="2"/>
  <c r="AW49" i="2"/>
  <c r="AV49" i="2"/>
  <c r="AO49" i="2"/>
  <c r="AM49" i="2"/>
  <c r="AL49" i="2"/>
  <c r="AH49" i="2"/>
  <c r="AG49" i="2"/>
  <c r="Z49" i="2"/>
  <c r="X49" i="2"/>
  <c r="W49" i="2"/>
  <c r="S49" i="2"/>
  <c r="R49" i="2"/>
  <c r="K49" i="2"/>
  <c r="I49" i="2"/>
  <c r="H49" i="2"/>
  <c r="BM47" i="2"/>
  <c r="CH47" i="2" s="1"/>
  <c r="CI47" i="2" s="1"/>
  <c r="AX47" i="2"/>
  <c r="CG47" i="2" s="1"/>
  <c r="AI47" i="2"/>
  <c r="T47" i="2"/>
  <c r="E47" i="2"/>
  <c r="CA46" i="2"/>
  <c r="BZ46" i="2"/>
  <c r="BY46" i="2"/>
  <c r="BX46" i="2"/>
  <c r="BW46" i="2"/>
  <c r="BV46" i="2"/>
  <c r="BR46" i="2"/>
  <c r="BQ46" i="2"/>
  <c r="BP46" i="2"/>
  <c r="BO46" i="2"/>
  <c r="BL46" i="2"/>
  <c r="BK46" i="2"/>
  <c r="BJ46" i="2"/>
  <c r="BI46" i="2"/>
  <c r="BH46" i="2"/>
  <c r="BG46" i="2"/>
  <c r="BC46" i="2"/>
  <c r="BB46" i="2"/>
  <c r="BA46" i="2"/>
  <c r="AW46" i="2"/>
  <c r="AV46" i="2"/>
  <c r="AU46" i="2"/>
  <c r="AT46" i="2"/>
  <c r="AS46" i="2"/>
  <c r="AR46" i="2"/>
  <c r="AN46" i="2"/>
  <c r="AM46" i="2"/>
  <c r="AL46" i="2"/>
  <c r="AK46" i="2"/>
  <c r="AH46" i="2"/>
  <c r="AG46" i="2"/>
  <c r="AF46" i="2"/>
  <c r="AE46" i="2"/>
  <c r="AD46" i="2"/>
  <c r="AC46" i="2"/>
  <c r="Y46" i="2"/>
  <c r="X46" i="2"/>
  <c r="W46" i="2"/>
  <c r="V46" i="2"/>
  <c r="S46" i="2"/>
  <c r="R46" i="2"/>
  <c r="Q46" i="2"/>
  <c r="P46" i="2"/>
  <c r="O46" i="2"/>
  <c r="N46" i="2"/>
  <c r="J46" i="2"/>
  <c r="I46" i="2"/>
  <c r="H46" i="2"/>
  <c r="G46" i="2"/>
  <c r="BM44" i="2"/>
  <c r="CH44" i="2" s="1"/>
  <c r="CI44" i="2" s="1"/>
  <c r="AX44" i="2"/>
  <c r="CG44" i="2" s="1"/>
  <c r="AI44" i="2"/>
  <c r="T44" i="2"/>
  <c r="E44" i="2"/>
  <c r="BM40" i="2"/>
  <c r="AX40" i="2"/>
  <c r="CG40" i="2" s="1"/>
  <c r="AI40" i="2"/>
  <c r="T40" i="2"/>
  <c r="E40" i="2"/>
  <c r="M21" i="8"/>
  <c r="L21" i="8"/>
  <c r="K21" i="8"/>
  <c r="J21" i="8"/>
  <c r="I21" i="8"/>
  <c r="H21" i="8"/>
  <c r="G21" i="8"/>
  <c r="F21" i="8"/>
  <c r="T21" i="8"/>
  <c r="S21" i="8"/>
  <c r="R21" i="8"/>
  <c r="Q21" i="8"/>
  <c r="P21" i="8"/>
  <c r="O21" i="8"/>
  <c r="AX38" i="2"/>
  <c r="CG38" i="2" s="1"/>
  <c r="T38" i="2"/>
  <c r="BM36" i="2"/>
  <c r="AX36" i="2"/>
  <c r="CG36" i="2" s="1"/>
  <c r="AI36" i="2"/>
  <c r="T36" i="2"/>
  <c r="E36" i="2"/>
  <c r="M19" i="8"/>
  <c r="K19" i="8"/>
  <c r="J19" i="8"/>
  <c r="I19" i="8"/>
  <c r="R19" i="8"/>
  <c r="Q19" i="8"/>
  <c r="P19" i="8"/>
  <c r="BI32" i="2"/>
  <c r="BA32" i="2"/>
  <c r="AW32" i="2"/>
  <c r="AU32" i="2"/>
  <c r="AU12" i="2" s="1"/>
  <c r="AS32" i="2"/>
  <c r="AM32" i="2"/>
  <c r="AM12" i="2" s="1"/>
  <c r="AK32" i="2"/>
  <c r="AH32" i="2"/>
  <c r="AH12" i="2" s="1"/>
  <c r="AF32" i="2"/>
  <c r="AD32" i="2"/>
  <c r="AD12" i="2" s="1"/>
  <c r="Z32" i="2"/>
  <c r="Z12" i="2" s="1"/>
  <c r="X32" i="2"/>
  <c r="X12" i="2" s="1"/>
  <c r="S32" i="2"/>
  <c r="S12" i="2" s="1"/>
  <c r="Q32" i="2"/>
  <c r="Q12" i="2" s="1"/>
  <c r="O32" i="2"/>
  <c r="O12" i="2" s="1"/>
  <c r="M32" i="2"/>
  <c r="M12" i="2" s="1"/>
  <c r="K32" i="2"/>
  <c r="I32" i="2"/>
  <c r="I12" i="2" s="1"/>
  <c r="G32" i="2"/>
  <c r="G12" i="2" s="1"/>
  <c r="BT30" i="2"/>
  <c r="BG32" i="2"/>
  <c r="BG12" i="2" s="1"/>
  <c r="BE32" i="2"/>
  <c r="BE12" i="2" s="1"/>
  <c r="AQ32" i="2"/>
  <c r="AO32" i="2"/>
  <c r="E33" i="2"/>
  <c r="BX32" i="2"/>
  <c r="BX12" i="2" s="1"/>
  <c r="BP32" i="2"/>
  <c r="BP12" i="2" s="1"/>
  <c r="BK32" i="2"/>
  <c r="BC32" i="2"/>
  <c r="BC12" i="2" s="1"/>
  <c r="AY32" i="2"/>
  <c r="AY12" i="2" s="1"/>
  <c r="AL32" i="2"/>
  <c r="AL12" i="2" s="1"/>
  <c r="V32" i="2"/>
  <c r="V12" i="2" s="1"/>
  <c r="CA30" i="2"/>
  <c r="BZ30" i="2"/>
  <c r="BY30" i="2"/>
  <c r="BY31" i="2" s="1"/>
  <c r="BX30" i="2"/>
  <c r="BW30" i="2"/>
  <c r="BU30" i="2"/>
  <c r="BS30" i="2"/>
  <c r="BR30" i="2"/>
  <c r="BQ30" i="2"/>
  <c r="BP30" i="2"/>
  <c r="BO30" i="2"/>
  <c r="BN30" i="2"/>
  <c r="BL30" i="2"/>
  <c r="BK30" i="2"/>
  <c r="BJ30" i="2"/>
  <c r="BI30" i="2"/>
  <c r="BH30" i="2"/>
  <c r="BC30" i="2"/>
  <c r="BB30" i="2"/>
  <c r="BB31" i="2" s="1"/>
  <c r="BA30" i="2"/>
  <c r="AZ30" i="2"/>
  <c r="AY30" i="2"/>
  <c r="AW30" i="2"/>
  <c r="AV30" i="2"/>
  <c r="AU30" i="2"/>
  <c r="AT30" i="2"/>
  <c r="AS30" i="2"/>
  <c r="AQ30" i="2"/>
  <c r="AO30" i="2"/>
  <c r="AN30" i="2"/>
  <c r="AM30" i="2"/>
  <c r="AL30" i="2"/>
  <c r="AK30" i="2"/>
  <c r="AJ30" i="2"/>
  <c r="AH30" i="2"/>
  <c r="AG30" i="2"/>
  <c r="AF30" i="2"/>
  <c r="AE30" i="2"/>
  <c r="AD30" i="2"/>
  <c r="AD31" i="2" s="1"/>
  <c r="AC30" i="2"/>
  <c r="AA30" i="2"/>
  <c r="Z30" i="2"/>
  <c r="Y30" i="2"/>
  <c r="X30" i="2"/>
  <c r="W30" i="2"/>
  <c r="V30" i="2"/>
  <c r="U30" i="2"/>
  <c r="S30" i="2"/>
  <c r="R30" i="2"/>
  <c r="Q30" i="2"/>
  <c r="P30" i="2"/>
  <c r="P31" i="2" s="1"/>
  <c r="O30" i="2"/>
  <c r="N30" i="2"/>
  <c r="M30" i="2"/>
  <c r="L30" i="2"/>
  <c r="K30" i="2"/>
  <c r="J30" i="2"/>
  <c r="I30" i="2"/>
  <c r="H30" i="2"/>
  <c r="G30" i="2"/>
  <c r="F30" i="2"/>
  <c r="BM27" i="2"/>
  <c r="CB27" i="2" s="1"/>
  <c r="AX27" i="2"/>
  <c r="AI27" i="2"/>
  <c r="T27" i="2"/>
  <c r="E27" i="2"/>
  <c r="M17" i="8"/>
  <c r="L17" i="8"/>
  <c r="K17" i="8"/>
  <c r="J17" i="8"/>
  <c r="I17" i="8"/>
  <c r="H17" i="8"/>
  <c r="G17" i="8"/>
  <c r="F17" i="8"/>
  <c r="T17" i="8"/>
  <c r="S17" i="8"/>
  <c r="R17" i="8"/>
  <c r="Q17" i="8"/>
  <c r="P17" i="8"/>
  <c r="O17" i="8"/>
  <c r="E26" i="2"/>
  <c r="BM24" i="2"/>
  <c r="AX24" i="2"/>
  <c r="CG24" i="2" s="1"/>
  <c r="AI24" i="2"/>
  <c r="T24" i="2"/>
  <c r="E24" i="2"/>
  <c r="M13" i="8"/>
  <c r="L13" i="8"/>
  <c r="I13" i="8"/>
  <c r="G13" i="8"/>
  <c r="P13" i="8"/>
  <c r="E23" i="2"/>
  <c r="K12" i="8"/>
  <c r="Q12" i="8"/>
  <c r="E21" i="2"/>
  <c r="E22" i="2" s="1"/>
  <c r="L15" i="8"/>
  <c r="K15" i="8"/>
  <c r="J15" i="8"/>
  <c r="H15" i="8"/>
  <c r="F15" i="8"/>
  <c r="T15" i="8"/>
  <c r="S15" i="8"/>
  <c r="Q15" i="8"/>
  <c r="O15" i="8"/>
  <c r="BI17" i="2"/>
  <c r="BG17" i="2"/>
  <c r="AT17" i="2"/>
  <c r="AT11" i="2" s="1"/>
  <c r="AR17" i="2"/>
  <c r="AR11" i="2" s="1"/>
  <c r="AL17" i="2"/>
  <c r="AL11" i="2" s="1"/>
  <c r="AE17" i="2"/>
  <c r="AE11" i="2" s="1"/>
  <c r="AC17" i="2"/>
  <c r="AC11" i="2" s="1"/>
  <c r="E20" i="2"/>
  <c r="BM18" i="2"/>
  <c r="AX18" i="2"/>
  <c r="CG18" i="2" s="1"/>
  <c r="AI18" i="2"/>
  <c r="T18" i="2"/>
  <c r="E18" i="2"/>
  <c r="BF17" i="2"/>
  <c r="AN17" i="2"/>
  <c r="AB17" i="2"/>
  <c r="AB11" i="2" s="1"/>
  <c r="S11" i="2"/>
  <c r="R11" i="2"/>
  <c r="Q11" i="2"/>
  <c r="P11" i="2"/>
  <c r="O11" i="2"/>
  <c r="N11" i="2"/>
  <c r="M11" i="2"/>
  <c r="K11" i="2"/>
  <c r="J11" i="2"/>
  <c r="I11" i="2"/>
  <c r="H11" i="2"/>
  <c r="G11" i="2"/>
  <c r="F11" i="2"/>
  <c r="CA15" i="2"/>
  <c r="BZ15" i="2"/>
  <c r="BX15" i="2"/>
  <c r="BW15" i="2"/>
  <c r="BV15" i="2"/>
  <c r="BU15" i="2"/>
  <c r="BR15" i="2"/>
  <c r="BQ15" i="2"/>
  <c r="BO15" i="2"/>
  <c r="BL15" i="2"/>
  <c r="BK15" i="2"/>
  <c r="BI15" i="2"/>
  <c r="BH15" i="2"/>
  <c r="BG15" i="2"/>
  <c r="BG16" i="2" s="1"/>
  <c r="BF15" i="2"/>
  <c r="BC15" i="2"/>
  <c r="AZ15" i="2"/>
  <c r="AW15" i="2"/>
  <c r="AV15" i="2"/>
  <c r="AT15" i="2"/>
  <c r="AS15" i="2"/>
  <c r="AR15" i="2"/>
  <c r="AR16" i="2" s="1"/>
  <c r="AQ15" i="2"/>
  <c r="AN15" i="2"/>
  <c r="AL15" i="2"/>
  <c r="AK15" i="2"/>
  <c r="AJ15" i="2"/>
  <c r="AH15" i="2"/>
  <c r="AG15" i="2"/>
  <c r="AE15" i="2"/>
  <c r="AE16" i="2" s="1"/>
  <c r="AD15" i="2"/>
  <c r="AC15" i="2"/>
  <c r="AB15" i="2"/>
  <c r="Y15" i="2"/>
  <c r="V15" i="2"/>
  <c r="BI12" i="2"/>
  <c r="BA12" i="2"/>
  <c r="AW12" i="2"/>
  <c r="AQ12" i="2"/>
  <c r="AO12" i="2"/>
  <c r="AK12" i="2"/>
  <c r="BF11" i="2"/>
  <c r="L11" i="2"/>
  <c r="E25" i="2"/>
  <c r="AL31" i="2"/>
  <c r="AP30" i="2"/>
  <c r="AR30" i="2"/>
  <c r="CB90" i="2"/>
  <c r="AI85" i="2"/>
  <c r="M84" i="2"/>
  <c r="M83" i="2"/>
  <c r="Q84" i="2"/>
  <c r="H83" i="2"/>
  <c r="H84" i="2"/>
  <c r="N83" i="2"/>
  <c r="N84" i="2"/>
  <c r="R83" i="2"/>
  <c r="R84" i="2"/>
  <c r="I83" i="2"/>
  <c r="I84" i="2"/>
  <c r="O84" i="2"/>
  <c r="O83" i="2"/>
  <c r="S84" i="2"/>
  <c r="S83" i="2"/>
  <c r="P83" i="2"/>
  <c r="AZ84" i="2"/>
  <c r="BD83" i="2"/>
  <c r="BD84" i="2"/>
  <c r="BL83" i="2"/>
  <c r="BL84" i="2"/>
  <c r="BA83" i="2"/>
  <c r="BA84" i="2"/>
  <c r="BE83" i="2"/>
  <c r="BE84" i="2"/>
  <c r="BI83" i="2"/>
  <c r="BI84" i="2"/>
  <c r="BB83" i="2"/>
  <c r="BB84" i="2"/>
  <c r="BF83" i="2"/>
  <c r="BF84" i="2"/>
  <c r="BJ83" i="2"/>
  <c r="BJ84" i="2"/>
  <c r="BC84" i="2"/>
  <c r="AM83" i="2"/>
  <c r="AM84" i="2"/>
  <c r="AU83" i="2"/>
  <c r="AU84" i="2"/>
  <c r="AJ83" i="2"/>
  <c r="AJ84" i="2"/>
  <c r="AN83" i="2"/>
  <c r="AN84" i="2"/>
  <c r="AR83" i="2"/>
  <c r="AR84" i="2"/>
  <c r="AV83" i="2"/>
  <c r="AV84" i="2"/>
  <c r="AI83" i="2"/>
  <c r="G27" i="1" s="1"/>
  <c r="AK84" i="2"/>
  <c r="AK83" i="2"/>
  <c r="AO84" i="2"/>
  <c r="AO83" i="2"/>
  <c r="AS84" i="2"/>
  <c r="AS83" i="2"/>
  <c r="AW84" i="2"/>
  <c r="AW83" i="2"/>
  <c r="AD84" i="2"/>
  <c r="AD83" i="2"/>
  <c r="W84" i="2"/>
  <c r="W83" i="2"/>
  <c r="AA83" i="2"/>
  <c r="AA84" i="2"/>
  <c r="AE83" i="2"/>
  <c r="AE84" i="2"/>
  <c r="X84" i="2"/>
  <c r="X83" i="2"/>
  <c r="AB83" i="2"/>
  <c r="AB84" i="2"/>
  <c r="AF84" i="2"/>
  <c r="AF83" i="2"/>
  <c r="U83" i="2"/>
  <c r="AG84" i="2"/>
  <c r="Y83" i="2"/>
  <c r="V83" i="2"/>
  <c r="V84" i="2"/>
  <c r="L83" i="2"/>
  <c r="L84" i="2"/>
  <c r="BN83" i="2"/>
  <c r="O38" i="8" s="1"/>
  <c r="BN84" i="2"/>
  <c r="BR83" i="2"/>
  <c r="S38" i="8" s="1"/>
  <c r="BR84" i="2"/>
  <c r="BV83" i="2"/>
  <c r="H38" i="8" s="1"/>
  <c r="BV84" i="2"/>
  <c r="BZ83" i="2"/>
  <c r="L38" i="8" s="1"/>
  <c r="BZ84" i="2"/>
  <c r="BO84" i="2"/>
  <c r="P39" i="8" s="1"/>
  <c r="BO83" i="2"/>
  <c r="BS84" i="2"/>
  <c r="T39" i="8" s="1"/>
  <c r="BS83" i="2"/>
  <c r="T38" i="8" s="1"/>
  <c r="BW84" i="2"/>
  <c r="I39" i="8" s="1"/>
  <c r="BW83" i="2"/>
  <c r="I38" i="8" s="1"/>
  <c r="CA84" i="2"/>
  <c r="M39" i="8" s="1"/>
  <c r="CA83" i="2"/>
  <c r="M38" i="8" s="1"/>
  <c r="BP83" i="2"/>
  <c r="Q38" i="8" s="1"/>
  <c r="BX83" i="2"/>
  <c r="J38" i="8" s="1"/>
  <c r="BU83" i="2"/>
  <c r="G38" i="8" s="1"/>
  <c r="BU84" i="2"/>
  <c r="G39" i="8" s="1"/>
  <c r="W32" i="2"/>
  <c r="AE32" i="2"/>
  <c r="AE12" i="2" s="1"/>
  <c r="AN32" i="2"/>
  <c r="AN12" i="2" s="1"/>
  <c r="AV32" i="2"/>
  <c r="AV12" i="2" s="1"/>
  <c r="E77" i="2"/>
  <c r="AX20" i="2"/>
  <c r="CG20" i="2" s="1"/>
  <c r="BG30" i="2"/>
  <c r="AX42" i="2"/>
  <c r="CG42" i="2" s="1"/>
  <c r="Y32" i="2"/>
  <c r="Y12" i="2"/>
  <c r="AC32" i="2"/>
  <c r="AC12" i="2"/>
  <c r="T85" i="2"/>
  <c r="T84" i="2" s="1"/>
  <c r="T29" i="2"/>
  <c r="AI29" i="2"/>
  <c r="AI28" i="2" s="1"/>
  <c r="O13" i="8"/>
  <c r="O12" i="8"/>
  <c r="F13" i="8"/>
  <c r="F12" i="8"/>
  <c r="E12" i="8" s="1"/>
  <c r="AD17" i="2"/>
  <c r="AD11" i="2" s="1"/>
  <c r="AQ17" i="2"/>
  <c r="AQ11" i="2" s="1"/>
  <c r="AQ10" i="2" s="1"/>
  <c r="H18" i="8"/>
  <c r="W15" i="2"/>
  <c r="AM15" i="2"/>
  <c r="E19" i="2"/>
  <c r="AI20" i="2"/>
  <c r="AV17" i="2"/>
  <c r="AV11" i="2" s="1"/>
  <c r="AZ17" i="2"/>
  <c r="AZ11" i="2" s="1"/>
  <c r="BI16" i="2"/>
  <c r="BM20" i="2"/>
  <c r="R15" i="8"/>
  <c r="BU17" i="2"/>
  <c r="BU11" i="2" s="1"/>
  <c r="G15" i="8"/>
  <c r="Z17" i="2"/>
  <c r="AU17" i="2"/>
  <c r="AU11" i="2" s="1"/>
  <c r="BR17" i="2"/>
  <c r="BR11" i="2" s="1"/>
  <c r="S13" i="8"/>
  <c r="BX17" i="2"/>
  <c r="BX11" i="2" s="1"/>
  <c r="J13" i="8"/>
  <c r="AK31" i="2"/>
  <c r="T19" i="8"/>
  <c r="T18" i="8"/>
  <c r="N18" i="8" s="1"/>
  <c r="E42" i="2"/>
  <c r="BM42" i="2"/>
  <c r="CH42" i="2" s="1"/>
  <c r="CI42" i="2" s="1"/>
  <c r="R13" i="8"/>
  <c r="R12" i="8"/>
  <c r="AK17" i="2"/>
  <c r="AS17" i="2"/>
  <c r="AS11" i="2" s="1"/>
  <c r="F18" i="8"/>
  <c r="AI38" i="2"/>
  <c r="AI37" i="2" s="1"/>
  <c r="T42" i="2"/>
  <c r="AA15" i="2"/>
  <c r="AA16" i="2" s="1"/>
  <c r="AP15" i="2"/>
  <c r="BB15" i="2"/>
  <c r="T20" i="2"/>
  <c r="AG17" i="2"/>
  <c r="AG11" i="2" s="1"/>
  <c r="BK17" i="2"/>
  <c r="BO17" i="2"/>
  <c r="BO11" i="2" s="1"/>
  <c r="P15" i="8"/>
  <c r="BW17" i="2"/>
  <c r="BW11" i="2" s="1"/>
  <c r="I15" i="8"/>
  <c r="CA17" i="2"/>
  <c r="CA11" i="2" s="1"/>
  <c r="M15" i="8"/>
  <c r="X17" i="2"/>
  <c r="X11" i="2" s="1"/>
  <c r="AF17" i="2"/>
  <c r="AF11" i="2" s="1"/>
  <c r="AO17" i="2"/>
  <c r="AO11" i="2" s="1"/>
  <c r="T13" i="8"/>
  <c r="T12" i="8"/>
  <c r="AW17" i="2"/>
  <c r="AW11" i="2" s="1"/>
  <c r="BL17" i="2"/>
  <c r="BL11" i="2" s="1"/>
  <c r="BV17" i="2"/>
  <c r="BV11" i="2" s="1"/>
  <c r="H13" i="8"/>
  <c r="AM31" i="2"/>
  <c r="AU31" i="2"/>
  <c r="BE30" i="2"/>
  <c r="BV30" i="2"/>
  <c r="G19" i="8"/>
  <c r="G18" i="8"/>
  <c r="BN32" i="2"/>
  <c r="BN12" i="2" s="1"/>
  <c r="O19" i="8"/>
  <c r="BR32" i="2"/>
  <c r="BR12" i="2" s="1"/>
  <c r="S19" i="8"/>
  <c r="BZ32" i="2"/>
  <c r="BZ12" i="2" s="1"/>
  <c r="L19" i="8"/>
  <c r="AI42" i="2"/>
  <c r="AX69" i="2"/>
  <c r="N43" i="8"/>
  <c r="P38" i="8"/>
  <c r="CB106" i="2"/>
  <c r="I21" i="1"/>
  <c r="O39" i="8"/>
  <c r="S39" i="8"/>
  <c r="H39" i="8"/>
  <c r="L39" i="8"/>
  <c r="U17" i="2"/>
  <c r="U15" i="2"/>
  <c r="BJ15" i="2"/>
  <c r="BP15" i="2"/>
  <c r="K13" i="8"/>
  <c r="BY15" i="2"/>
  <c r="V17" i="2"/>
  <c r="V11" i="2" s="1"/>
  <c r="AH17" i="2"/>
  <c r="AH11" i="2" s="1"/>
  <c r="BD15" i="2"/>
  <c r="BS15" i="2"/>
  <c r="AX33" i="2"/>
  <c r="CG33" i="2" s="1"/>
  <c r="BD30" i="2"/>
  <c r="BF32" i="2"/>
  <c r="BF12" i="2" s="1"/>
  <c r="BF10" i="2" s="1"/>
  <c r="BF30" i="2"/>
  <c r="BF31" i="2" s="1"/>
  <c r="F32" i="2"/>
  <c r="F31" i="2" s="1"/>
  <c r="H32" i="2"/>
  <c r="H12" i="2" s="1"/>
  <c r="J32" i="2"/>
  <c r="J12" i="2" s="1"/>
  <c r="L32" i="2"/>
  <c r="L12" i="2" s="1"/>
  <c r="N32" i="2"/>
  <c r="N12" i="2" s="1"/>
  <c r="P32" i="2"/>
  <c r="P12" i="2" s="1"/>
  <c r="R32" i="2"/>
  <c r="R12" i="2" s="1"/>
  <c r="AG32" i="2"/>
  <c r="AG12" i="2" s="1"/>
  <c r="AT32" i="2"/>
  <c r="AT12" i="2" s="1"/>
  <c r="BA17" i="2"/>
  <c r="BA15" i="2"/>
  <c r="T26" i="2"/>
  <c r="T25" i="2" s="1"/>
  <c r="T28" i="2"/>
  <c r="AB32" i="2"/>
  <c r="AB12" i="2" s="1"/>
  <c r="AB30" i="2"/>
  <c r="AX49" i="2"/>
  <c r="AI66" i="2"/>
  <c r="T77" i="2"/>
  <c r="AI77" i="2"/>
  <c r="BF16" i="2"/>
  <c r="BB17" i="2"/>
  <c r="BB11" i="2" s="1"/>
  <c r="BE17" i="2"/>
  <c r="BE11" i="2" s="1"/>
  <c r="BT17" i="2"/>
  <c r="BT11" i="2" s="1"/>
  <c r="BH17" i="2"/>
  <c r="BH11" i="2" s="1"/>
  <c r="AX26" i="2"/>
  <c r="CG26" i="2" s="1"/>
  <c r="BC17" i="2"/>
  <c r="BC11" i="2" s="1"/>
  <c r="BM26" i="2"/>
  <c r="BZ17" i="2"/>
  <c r="BM29" i="2"/>
  <c r="G31" i="2"/>
  <c r="I31" i="2"/>
  <c r="M31" i="2"/>
  <c r="O31" i="2"/>
  <c r="Q31" i="2"/>
  <c r="X31" i="2"/>
  <c r="BN31" i="2"/>
  <c r="BR31" i="2"/>
  <c r="BZ31" i="2"/>
  <c r="AL16" i="2"/>
  <c r="AN31" i="2"/>
  <c r="AV31" i="2"/>
  <c r="AV16" i="2"/>
  <c r="BG11" i="2"/>
  <c r="BI11" i="2"/>
  <c r="BI10" i="2" s="1"/>
  <c r="V16" i="2"/>
  <c r="X15" i="2"/>
  <c r="Z15" i="2"/>
  <c r="Z16" i="2" s="1"/>
  <c r="AF15" i="2"/>
  <c r="AF16" i="2" s="1"/>
  <c r="AO15" i="2"/>
  <c r="AO16" i="2" s="1"/>
  <c r="AS16" i="2"/>
  <c r="AU15" i="2"/>
  <c r="AU16" i="2" s="1"/>
  <c r="AY15" i="2"/>
  <c r="BE15" i="2"/>
  <c r="BN15" i="2"/>
  <c r="BT15" i="2"/>
  <c r="E17" i="2"/>
  <c r="E11" i="2" s="1"/>
  <c r="AX19" i="2"/>
  <c r="CG19" i="2" s="1"/>
  <c r="W17" i="2"/>
  <c r="W11" i="2" s="1"/>
  <c r="Y17" i="2"/>
  <c r="AA17" i="2"/>
  <c r="AA11" i="2" s="1"/>
  <c r="AM17" i="2"/>
  <c r="AM11" i="2" s="1"/>
  <c r="AP17" i="2"/>
  <c r="AP16" i="2" s="1"/>
  <c r="AX21" i="2"/>
  <c r="CG21" i="2" s="1"/>
  <c r="BD17" i="2"/>
  <c r="BD16" i="2" s="1"/>
  <c r="BJ17" i="2"/>
  <c r="BJ11" i="2" s="1"/>
  <c r="AI26" i="2"/>
  <c r="AI25" i="2" s="1"/>
  <c r="AX29" i="2"/>
  <c r="AC31" i="2"/>
  <c r="AE31" i="2"/>
  <c r="BX31" i="2"/>
  <c r="U32" i="2"/>
  <c r="U12" i="2" s="1"/>
  <c r="AJ32" i="2"/>
  <c r="AJ31" i="2" s="1"/>
  <c r="T35" i="2"/>
  <c r="T33" i="2"/>
  <c r="AZ32" i="2"/>
  <c r="AZ12" i="2" s="1"/>
  <c r="BB32" i="2"/>
  <c r="BB12" i="2" s="1"/>
  <c r="BH32" i="2"/>
  <c r="BH12" i="2" s="1"/>
  <c r="BJ32" i="2"/>
  <c r="BJ12" i="2" s="1"/>
  <c r="BL32" i="2"/>
  <c r="BL12" i="2" s="1"/>
  <c r="BO32" i="2"/>
  <c r="BO12" i="2" s="1"/>
  <c r="BQ32" i="2"/>
  <c r="BQ12" i="2" s="1"/>
  <c r="BW32" i="2"/>
  <c r="BW12" i="2" s="1"/>
  <c r="BY32" i="2"/>
  <c r="BY12" i="2" s="1"/>
  <c r="CA32" i="2"/>
  <c r="CA12" i="2" s="1"/>
  <c r="T37" i="2"/>
  <c r="AP32" i="2"/>
  <c r="AP12" i="2" s="1"/>
  <c r="AR32" i="2"/>
  <c r="AR12" i="2" s="1"/>
  <c r="BS32" i="2"/>
  <c r="BS12" i="2" s="1"/>
  <c r="BU32" i="2"/>
  <c r="BU12" i="2" s="1"/>
  <c r="E35" i="2"/>
  <c r="E34" i="2" s="1"/>
  <c r="E38" i="2"/>
  <c r="E37" i="2" s="1"/>
  <c r="BM38" i="2"/>
  <c r="E41" i="2"/>
  <c r="E49" i="2"/>
  <c r="E48" i="2" s="1"/>
  <c r="T66" i="2"/>
  <c r="CB100" i="2"/>
  <c r="BY17" i="2"/>
  <c r="T23" i="2"/>
  <c r="Z11" i="2"/>
  <c r="AX23" i="2"/>
  <c r="CG23" i="2" s="1"/>
  <c r="AY17" i="2"/>
  <c r="BN17" i="2"/>
  <c r="BN11" i="2" s="1"/>
  <c r="BN10" i="2" s="1"/>
  <c r="O10" i="8" s="1"/>
  <c r="BM23" i="2"/>
  <c r="CH23" i="2" s="1"/>
  <c r="CI23" i="2" s="1"/>
  <c r="AJ17" i="2"/>
  <c r="AI23" i="2"/>
  <c r="BD11" i="2"/>
  <c r="E15" i="2"/>
  <c r="T21" i="2"/>
  <c r="AI21" i="2"/>
  <c r="BM21" i="2"/>
  <c r="AB31" i="2"/>
  <c r="BD32" i="2"/>
  <c r="BD12" i="2" s="1"/>
  <c r="AI35" i="2"/>
  <c r="AA32" i="2"/>
  <c r="AA12" i="2" s="1"/>
  <c r="AO31" i="2"/>
  <c r="AQ31" i="2"/>
  <c r="BG31" i="2"/>
  <c r="AI33" i="2"/>
  <c r="BM33" i="2"/>
  <c r="CB47" i="2"/>
  <c r="CJ47" i="2" s="1"/>
  <c r="CB29" i="2"/>
  <c r="CJ29" i="2" s="1"/>
  <c r="AX35" i="2"/>
  <c r="AP11" i="2"/>
  <c r="BS17" i="2"/>
  <c r="BS16" i="2" s="1"/>
  <c r="BP17" i="2"/>
  <c r="BP11" i="2" s="1"/>
  <c r="Q13" i="8"/>
  <c r="N13" i="8" s="1"/>
  <c r="E18" i="8"/>
  <c r="BM35" i="2"/>
  <c r="CH35" i="2" s="1"/>
  <c r="CI35" i="2" s="1"/>
  <c r="AR31" i="2"/>
  <c r="BV16" i="2"/>
  <c r="BB16" i="2"/>
  <c r="BT32" i="2"/>
  <c r="BT31" i="2" s="1"/>
  <c r="F19" i="8"/>
  <c r="BQ17" i="2"/>
  <c r="BQ11" i="2" s="1"/>
  <c r="BV32" i="2"/>
  <c r="H19" i="8"/>
  <c r="AH16" i="2"/>
  <c r="R31" i="2"/>
  <c r="N31" i="2"/>
  <c r="J31" i="2"/>
  <c r="BO31" i="2"/>
  <c r="AZ31" i="2"/>
  <c r="AM16" i="2"/>
  <c r="BU31" i="2"/>
  <c r="U31" i="2"/>
  <c r="BA16" i="2"/>
  <c r="BA11" i="2"/>
  <c r="BQ31" i="2"/>
  <c r="AA31" i="2"/>
  <c r="BD31" i="2"/>
  <c r="CB23" i="2"/>
  <c r="CJ23" i="2" s="1"/>
  <c r="AY11" i="2"/>
  <c r="U11" i="2"/>
  <c r="BY11" i="2"/>
  <c r="AJ16" i="2"/>
  <c r="AJ11" i="2"/>
  <c r="BT12" i="2"/>
  <c r="E29" i="2"/>
  <c r="E28" i="2" s="1"/>
  <c r="J85" i="2"/>
  <c r="J83" i="2" s="1"/>
  <c r="E88" i="2"/>
  <c r="D60" i="1"/>
  <c r="D67" i="1"/>
  <c r="D64" i="1"/>
  <c r="D52" i="1"/>
  <c r="D48" i="1"/>
  <c r="D51" i="1"/>
  <c r="D62" i="1"/>
  <c r="D23" i="1"/>
  <c r="D10" i="3"/>
  <c r="D17" i="1"/>
  <c r="D27" i="1"/>
  <c r="D65" i="1"/>
  <c r="CK43" i="7" l="1"/>
  <c r="CL43" i="7"/>
  <c r="CK46" i="7"/>
  <c r="CL46" i="7"/>
  <c r="S13" i="4"/>
  <c r="T13" i="4"/>
  <c r="S16" i="4"/>
  <c r="T16" i="4"/>
  <c r="CJ10" i="3"/>
  <c r="CK10" i="3"/>
  <c r="AX15" i="2"/>
  <c r="CG15" i="2" s="1"/>
  <c r="BY16" i="2"/>
  <c r="BP31" i="2"/>
  <c r="BW16" i="2"/>
  <c r="AX77" i="2"/>
  <c r="BY84" i="2"/>
  <c r="K39" i="8" s="1"/>
  <c r="E39" i="8" s="1"/>
  <c r="Z84" i="2"/>
  <c r="BH83" i="2"/>
  <c r="CJ27" i="2"/>
  <c r="CK27" i="2"/>
  <c r="CJ20" i="3"/>
  <c r="CK20" i="3"/>
  <c r="S18" i="5"/>
  <c r="R18" i="5"/>
  <c r="CL21" i="7"/>
  <c r="CK21" i="7"/>
  <c r="CK89" i="2"/>
  <c r="CJ89" i="2"/>
  <c r="AX17" i="2"/>
  <c r="CK100" i="2"/>
  <c r="CJ100" i="2"/>
  <c r="BE16" i="2"/>
  <c r="AX73" i="2"/>
  <c r="CG69" i="2"/>
  <c r="CB20" i="2"/>
  <c r="CJ20" i="2" s="1"/>
  <c r="CH20" i="2"/>
  <c r="CI20" i="2" s="1"/>
  <c r="CK20" i="2" s="1"/>
  <c r="CK90" i="2"/>
  <c r="CJ90" i="2"/>
  <c r="CB36" i="2"/>
  <c r="CJ36" i="2" s="1"/>
  <c r="CH36" i="2"/>
  <c r="CI36" i="2" s="1"/>
  <c r="CK36" i="2" s="1"/>
  <c r="CK47" i="2"/>
  <c r="CJ80" i="2"/>
  <c r="CK80" i="2"/>
  <c r="CK102" i="2"/>
  <c r="CJ102" i="2"/>
  <c r="CK33" i="7"/>
  <c r="CL33" i="7"/>
  <c r="CK44" i="7"/>
  <c r="CL44" i="7"/>
  <c r="S15" i="4"/>
  <c r="T15" i="4"/>
  <c r="O19" i="5"/>
  <c r="P19" i="5" s="1"/>
  <c r="Q19" i="5" s="1"/>
  <c r="S19" i="5" s="1"/>
  <c r="R19" i="5"/>
  <c r="CL35" i="7"/>
  <c r="AI45" i="7"/>
  <c r="G48" i="1" s="1"/>
  <c r="BM45" i="7"/>
  <c r="E47" i="7"/>
  <c r="BM47" i="7"/>
  <c r="CB47" i="7" s="1"/>
  <c r="D44" i="8"/>
  <c r="S7" i="12"/>
  <c r="R7" i="12"/>
  <c r="CK79" i="2"/>
  <c r="BV31" i="2"/>
  <c r="CB33" i="2"/>
  <c r="CJ33" i="2" s="1"/>
  <c r="CH33" i="2"/>
  <c r="CI33" i="2" s="1"/>
  <c r="CK33" i="2" s="1"/>
  <c r="CK23" i="2"/>
  <c r="AW10" i="2"/>
  <c r="CB66" i="2"/>
  <c r="CJ66" i="2" s="1"/>
  <c r="CH66" i="2"/>
  <c r="CI66" i="2" s="1"/>
  <c r="CB71" i="2"/>
  <c r="CJ71" i="2" s="1"/>
  <c r="CH71" i="2"/>
  <c r="CI71" i="2" s="1"/>
  <c r="CB8" i="3"/>
  <c r="CJ9" i="3"/>
  <c r="CK9" i="3"/>
  <c r="S9" i="4"/>
  <c r="T9" i="4"/>
  <c r="S21" i="5"/>
  <c r="R21" i="5"/>
  <c r="CL13" i="7"/>
  <c r="CK13" i="7"/>
  <c r="CB19" i="7"/>
  <c r="CK19" i="7" s="1"/>
  <c r="CL26" i="7"/>
  <c r="CK26" i="7"/>
  <c r="CL37" i="7"/>
  <c r="CK37" i="7"/>
  <c r="J20" i="11"/>
  <c r="CK96" i="2"/>
  <c r="CJ96" i="2"/>
  <c r="S9" i="12"/>
  <c r="R9" i="12"/>
  <c r="CK15" i="3"/>
  <c r="CJ15" i="3"/>
  <c r="R23" i="5"/>
  <c r="S23" i="5"/>
  <c r="CK15" i="7"/>
  <c r="CL15" i="7"/>
  <c r="CL19" i="7"/>
  <c r="CL38" i="7"/>
  <c r="CK38" i="7"/>
  <c r="AI47" i="7"/>
  <c r="CJ95" i="2"/>
  <c r="CK95" i="2"/>
  <c r="R11" i="12"/>
  <c r="S11" i="12"/>
  <c r="AX28" i="2"/>
  <c r="CG28" i="2" s="1"/>
  <c r="CG29" i="2"/>
  <c r="AX48" i="2"/>
  <c r="CG48" i="2" s="1"/>
  <c r="CG49" i="2"/>
  <c r="CK44" i="2"/>
  <c r="CK105" i="2"/>
  <c r="CJ105" i="2"/>
  <c r="AI17" i="2"/>
  <c r="AI11" i="2" s="1"/>
  <c r="CB44" i="2"/>
  <c r="CJ44" i="2" s="1"/>
  <c r="BM28" i="2"/>
  <c r="CH29" i="2"/>
  <c r="CI29" i="2" s="1"/>
  <c r="CK29" i="2" s="1"/>
  <c r="T41" i="2"/>
  <c r="BQ84" i="2"/>
  <c r="R39" i="8" s="1"/>
  <c r="AQ84" i="2"/>
  <c r="CB24" i="2"/>
  <c r="CJ24" i="2" s="1"/>
  <c r="CH24" i="2"/>
  <c r="CI24" i="2" s="1"/>
  <c r="CK24" i="2" s="1"/>
  <c r="CB74" i="2"/>
  <c r="CJ74" i="2" s="1"/>
  <c r="CH74" i="2"/>
  <c r="CI74" i="2" s="1"/>
  <c r="CJ97" i="2"/>
  <c r="CK97" i="2"/>
  <c r="CJ11" i="3"/>
  <c r="CK11" i="3"/>
  <c r="CJ16" i="3"/>
  <c r="CK16" i="3"/>
  <c r="CL40" i="7"/>
  <c r="CK40" i="7"/>
  <c r="S11" i="5"/>
  <c r="R11" i="5"/>
  <c r="CK16" i="7"/>
  <c r="CL16" i="7"/>
  <c r="CL41" i="7"/>
  <c r="CK41" i="7"/>
  <c r="CK48" i="7"/>
  <c r="CL48" i="7"/>
  <c r="CJ94" i="2"/>
  <c r="CK94" i="2"/>
  <c r="CK88" i="2"/>
  <c r="CJ88" i="2"/>
  <c r="AI32" i="2"/>
  <c r="AI12" i="2" s="1"/>
  <c r="BM37" i="2"/>
  <c r="CH38" i="2"/>
  <c r="CI38" i="2" s="1"/>
  <c r="BM41" i="2"/>
  <c r="AH83" i="2"/>
  <c r="CB18" i="2"/>
  <c r="CJ18" i="2" s="1"/>
  <c r="CH18" i="2"/>
  <c r="CI18" i="2" s="1"/>
  <c r="CB70" i="2"/>
  <c r="CJ70" i="2" s="1"/>
  <c r="CH70" i="2"/>
  <c r="CI70" i="2" s="1"/>
  <c r="CJ12" i="3"/>
  <c r="CK12" i="3"/>
  <c r="CK17" i="3"/>
  <c r="CJ17" i="3"/>
  <c r="CB10" i="7"/>
  <c r="T12" i="4"/>
  <c r="S12" i="4"/>
  <c r="S17" i="4"/>
  <c r="T17" i="4"/>
  <c r="S12" i="5"/>
  <c r="R12" i="5"/>
  <c r="AX7" i="6"/>
  <c r="CB12" i="7"/>
  <c r="CK12" i="7" s="1"/>
  <c r="CK17" i="7"/>
  <c r="CL17" i="7"/>
  <c r="CK42" i="7"/>
  <c r="CL42" i="7"/>
  <c r="AX45" i="7"/>
  <c r="H48" i="1" s="1"/>
  <c r="D26" i="8"/>
  <c r="CJ93" i="2"/>
  <c r="CK93" i="2"/>
  <c r="R12" i="12"/>
  <c r="S12" i="12"/>
  <c r="CB21" i="2"/>
  <c r="CJ21" i="2" s="1"/>
  <c r="CH21" i="2"/>
  <c r="CI21" i="2" s="1"/>
  <c r="CK21" i="2" s="1"/>
  <c r="E85" i="2"/>
  <c r="CB42" i="2"/>
  <c r="CJ42" i="2" s="1"/>
  <c r="BM25" i="2"/>
  <c r="CH26" i="2"/>
  <c r="CI26" i="2" s="1"/>
  <c r="AT16" i="2"/>
  <c r="CK106" i="2"/>
  <c r="CJ106" i="2"/>
  <c r="G84" i="2"/>
  <c r="CB40" i="2"/>
  <c r="CJ40" i="2" s="1"/>
  <c r="CH40" i="2"/>
  <c r="CI40" i="2" s="1"/>
  <c r="CJ13" i="3"/>
  <c r="CK13" i="3"/>
  <c r="CK18" i="3"/>
  <c r="CJ18" i="3"/>
  <c r="R13" i="5"/>
  <c r="S13" i="5"/>
  <c r="T7" i="6"/>
  <c r="CK8" i="7"/>
  <c r="CL8" i="7"/>
  <c r="CL12" i="7"/>
  <c r="CK18" i="7"/>
  <c r="CL18" i="7"/>
  <c r="CK27" i="7"/>
  <c r="CL27" i="7"/>
  <c r="E45" i="7"/>
  <c r="E48" i="1" s="1"/>
  <c r="D42" i="8"/>
  <c r="CK92" i="2"/>
  <c r="CJ92" i="2"/>
  <c r="BW31" i="2"/>
  <c r="AX34" i="2"/>
  <c r="CG34" i="2" s="1"/>
  <c r="CG35" i="2"/>
  <c r="AX37" i="2"/>
  <c r="CG37" i="2" s="1"/>
  <c r="AD16" i="2"/>
  <c r="Z31" i="2"/>
  <c r="CJ59" i="2"/>
  <c r="CK59" i="2"/>
  <c r="T69" i="2"/>
  <c r="BM77" i="2"/>
  <c r="CH77" i="2" s="1"/>
  <c r="CI77" i="2" s="1"/>
  <c r="CH78" i="2"/>
  <c r="CI78" i="2" s="1"/>
  <c r="CK78" i="2" s="1"/>
  <c r="CJ87" i="2"/>
  <c r="CK87" i="2"/>
  <c r="CM19" i="3"/>
  <c r="CJ19" i="3"/>
  <c r="CK19" i="3"/>
  <c r="CK34" i="7"/>
  <c r="CL34" i="7"/>
  <c r="CK9" i="7"/>
  <c r="CL9" i="7"/>
  <c r="R7" i="5"/>
  <c r="S7" i="5"/>
  <c r="S14" i="5"/>
  <c r="R14" i="5"/>
  <c r="CJ64" i="2"/>
  <c r="CK64" i="2"/>
  <c r="CJ91" i="2"/>
  <c r="CK91" i="2"/>
  <c r="F9" i="1"/>
  <c r="F8" i="1" s="1"/>
  <c r="F13" i="1" s="1"/>
  <c r="M9" i="1"/>
  <c r="J60" i="1"/>
  <c r="S13" i="12"/>
  <c r="R13" i="12"/>
  <c r="CB35" i="6"/>
  <c r="CO35" i="6" s="1"/>
  <c r="J25" i="5"/>
  <c r="AX85" i="2"/>
  <c r="N14" i="8"/>
  <c r="BV12" i="2"/>
  <c r="BV10" i="2" s="1"/>
  <c r="H10" i="8" s="1"/>
  <c r="BC16" i="2"/>
  <c r="U16" i="2"/>
  <c r="T22" i="2"/>
  <c r="BJ16" i="2"/>
  <c r="CB77" i="2"/>
  <c r="CJ77" i="2" s="1"/>
  <c r="BL16" i="2"/>
  <c r="AI19" i="2"/>
  <c r="E30" i="2"/>
  <c r="L31" i="2"/>
  <c r="T30" i="2"/>
  <c r="Y31" i="2"/>
  <c r="AI30" i="2"/>
  <c r="AI31" i="2" s="1"/>
  <c r="AX30" i="2"/>
  <c r="CG30" i="2" s="1"/>
  <c r="CB79" i="2"/>
  <c r="CJ79" i="2" s="1"/>
  <c r="AI84" i="2"/>
  <c r="BP16" i="2"/>
  <c r="BM32" i="2"/>
  <c r="CH32" i="2" s="1"/>
  <c r="BY10" i="2"/>
  <c r="K10" i="8" s="1"/>
  <c r="AI22" i="2"/>
  <c r="AP10" i="2"/>
  <c r="T34" i="2"/>
  <c r="AY16" i="2"/>
  <c r="AI15" i="2"/>
  <c r="BI31" i="2"/>
  <c r="E46" i="2"/>
  <c r="E45" i="2" s="1"/>
  <c r="T46" i="2"/>
  <c r="T45" i="2" s="1"/>
  <c r="AI46" i="2"/>
  <c r="AI45" i="2" s="1"/>
  <c r="AX46" i="2"/>
  <c r="BM46" i="2"/>
  <c r="CH46" i="2" s="1"/>
  <c r="CI46" i="2" s="1"/>
  <c r="T49" i="2"/>
  <c r="T48" i="2" s="1"/>
  <c r="AI49" i="2"/>
  <c r="AI48" i="2" s="1"/>
  <c r="BM49" i="2"/>
  <c r="J21" i="1"/>
  <c r="AZ16" i="2"/>
  <c r="AK11" i="2"/>
  <c r="AK10" i="2" s="1"/>
  <c r="AK16" i="2"/>
  <c r="AN11" i="2"/>
  <c r="AN16" i="2"/>
  <c r="AI73" i="2"/>
  <c r="H20" i="1" s="1"/>
  <c r="CB72" i="2"/>
  <c r="CJ72" i="2" s="1"/>
  <c r="BM69" i="2"/>
  <c r="F83" i="2"/>
  <c r="F84" i="2"/>
  <c r="K84" i="2"/>
  <c r="K83" i="2"/>
  <c r="AC83" i="2"/>
  <c r="AC84" i="2"/>
  <c r="AL84" i="2"/>
  <c r="AL83" i="2"/>
  <c r="AT84" i="2"/>
  <c r="AT83" i="2"/>
  <c r="AY83" i="2"/>
  <c r="AY84" i="2"/>
  <c r="BG83" i="2"/>
  <c r="BG84" i="2"/>
  <c r="BT83" i="2"/>
  <c r="F38" i="8" s="1"/>
  <c r="BT84" i="2"/>
  <c r="F39" i="8" s="1"/>
  <c r="CB86" i="2"/>
  <c r="BM85" i="2"/>
  <c r="E7" i="13"/>
  <c r="U10" i="2"/>
  <c r="T17" i="2"/>
  <c r="T11" i="2" s="1"/>
  <c r="AP31" i="2"/>
  <c r="BM34" i="2"/>
  <c r="BZ11" i="2"/>
  <c r="BZ16" i="2"/>
  <c r="N19" i="8"/>
  <c r="K12" i="2"/>
  <c r="K31" i="2"/>
  <c r="AF31" i="2"/>
  <c r="AF12" i="2"/>
  <c r="AF10" i="2" s="1"/>
  <c r="AS12" i="2"/>
  <c r="AS31" i="2"/>
  <c r="F21" i="1"/>
  <c r="AI16" i="2"/>
  <c r="Y16" i="2"/>
  <c r="Y11" i="2"/>
  <c r="Y10" i="2" s="1"/>
  <c r="BK16" i="2"/>
  <c r="BK11" i="2"/>
  <c r="W12" i="2"/>
  <c r="W31" i="2"/>
  <c r="CB46" i="2"/>
  <c r="CJ46" i="2" s="1"/>
  <c r="BM45" i="2"/>
  <c r="BS11" i="2"/>
  <c r="T32" i="2"/>
  <c r="AW16" i="2"/>
  <c r="BP10" i="2"/>
  <c r="Q10" i="8" s="1"/>
  <c r="T83" i="2"/>
  <c r="F27" i="1" s="1"/>
  <c r="AX25" i="2"/>
  <c r="CG25" i="2" s="1"/>
  <c r="CB35" i="2"/>
  <c r="CJ35" i="2" s="1"/>
  <c r="AJ12" i="2"/>
  <c r="AJ10" i="2" s="1"/>
  <c r="H31" i="2"/>
  <c r="BS31" i="2"/>
  <c r="E19" i="8"/>
  <c r="BU16" i="2"/>
  <c r="CB38" i="2"/>
  <c r="CJ38" i="2" s="1"/>
  <c r="AI34" i="2"/>
  <c r="E16" i="2"/>
  <c r="BT16" i="2"/>
  <c r="AX22" i="2"/>
  <c r="CG22" i="2" s="1"/>
  <c r="AQ16" i="2"/>
  <c r="CB26" i="2"/>
  <c r="CJ26" i="2" s="1"/>
  <c r="AP84" i="2"/>
  <c r="BK84" i="2"/>
  <c r="BK12" i="2"/>
  <c r="BK31" i="2"/>
  <c r="BQ10" i="2"/>
  <c r="R10" i="8" s="1"/>
  <c r="BD10" i="2"/>
  <c r="E32" i="2"/>
  <c r="AG31" i="2"/>
  <c r="AT31" i="2"/>
  <c r="BM30" i="2"/>
  <c r="CH30" i="2" s="1"/>
  <c r="CI30" i="2" s="1"/>
  <c r="AU10" i="2"/>
  <c r="AC16" i="2"/>
  <c r="E17" i="8"/>
  <c r="V31" i="2"/>
  <c r="AY31" i="2"/>
  <c r="N21" i="8"/>
  <c r="AX41" i="2"/>
  <c r="CG41" i="2" s="1"/>
  <c r="E21" i="1"/>
  <c r="G21" i="1"/>
  <c r="D41" i="8"/>
  <c r="AI7" i="6"/>
  <c r="E20" i="8"/>
  <c r="N16" i="8"/>
  <c r="E17" i="9"/>
  <c r="E14" i="9"/>
  <c r="I14" i="9"/>
  <c r="I17" i="9"/>
  <c r="E32" i="10"/>
  <c r="E48" i="10"/>
  <c r="E38" i="10"/>
  <c r="E22" i="10"/>
  <c r="E44" i="10"/>
  <c r="E24" i="10"/>
  <c r="E18" i="10"/>
  <c r="H48" i="10"/>
  <c r="H38" i="10"/>
  <c r="H22" i="10"/>
  <c r="H44" i="10"/>
  <c r="H24" i="10"/>
  <c r="H32" i="10"/>
  <c r="D30" i="10"/>
  <c r="H30" i="10"/>
  <c r="AS10" i="2"/>
  <c r="T15" i="2"/>
  <c r="E69" i="2"/>
  <c r="H21" i="1"/>
  <c r="BM7" i="6"/>
  <c r="CB7" i="6" s="1"/>
  <c r="CO7" i="6" s="1"/>
  <c r="F17" i="9"/>
  <c r="F14" i="9"/>
  <c r="I29" i="10"/>
  <c r="H18" i="10"/>
  <c r="E30" i="10"/>
  <c r="AI41" i="2"/>
  <c r="AO10" i="2"/>
  <c r="N17" i="8"/>
  <c r="BA31" i="2"/>
  <c r="E21" i="8"/>
  <c r="BM98" i="2"/>
  <c r="CB99" i="2"/>
  <c r="G17" i="9"/>
  <c r="G14" i="9"/>
  <c r="J14" i="9"/>
  <c r="D44" i="10"/>
  <c r="D32" i="10"/>
  <c r="D24" i="10"/>
  <c r="D38" i="10"/>
  <c r="D22" i="10"/>
  <c r="D48" i="10"/>
  <c r="G44" i="10"/>
  <c r="G24" i="10"/>
  <c r="G32" i="10"/>
  <c r="G48" i="10"/>
  <c r="G38" i="10"/>
  <c r="G22" i="10"/>
  <c r="H14" i="9"/>
  <c r="H17" i="9"/>
  <c r="J17" i="9"/>
  <c r="I6" i="10"/>
  <c r="I32" i="10" s="1"/>
  <c r="F6" i="10"/>
  <c r="D18" i="10"/>
  <c r="G18" i="10"/>
  <c r="G30" i="10"/>
  <c r="J61" i="1"/>
  <c r="O47" i="8"/>
  <c r="BN110" i="2"/>
  <c r="BP110" i="2"/>
  <c r="BP111" i="2" s="1"/>
  <c r="Q47" i="8"/>
  <c r="S47" i="8"/>
  <c r="BR110" i="2"/>
  <c r="BR111" i="2" s="1"/>
  <c r="BT110" i="2"/>
  <c r="BT111" i="2" s="1"/>
  <c r="F47" i="8"/>
  <c r="H47" i="8"/>
  <c r="BV110" i="2"/>
  <c r="BV111" i="2" s="1"/>
  <c r="J47" i="8"/>
  <c r="BX110" i="2"/>
  <c r="BX111" i="2" s="1"/>
  <c r="BZ110" i="2"/>
  <c r="BZ111" i="2" s="1"/>
  <c r="L47" i="8"/>
  <c r="P47" i="8"/>
  <c r="BO110" i="2"/>
  <c r="BO111" i="2" s="1"/>
  <c r="R47" i="8"/>
  <c r="BQ110" i="2"/>
  <c r="BQ111" i="2" s="1"/>
  <c r="T47" i="8"/>
  <c r="BS110" i="2"/>
  <c r="BS111" i="2" s="1"/>
  <c r="G47" i="8"/>
  <c r="BU110" i="2"/>
  <c r="BU111" i="2" s="1"/>
  <c r="I47" i="8"/>
  <c r="BW110" i="2"/>
  <c r="BW111" i="2" s="1"/>
  <c r="K47" i="8"/>
  <c r="BY110" i="2"/>
  <c r="BY111" i="2" s="1"/>
  <c r="M47" i="8"/>
  <c r="CA110" i="2"/>
  <c r="CA111" i="2" s="1"/>
  <c r="CB7" i="7"/>
  <c r="E15" i="8"/>
  <c r="N20" i="8"/>
  <c r="D17" i="8"/>
  <c r="E16" i="8"/>
  <c r="E13" i="8"/>
  <c r="D13" i="8" s="1"/>
  <c r="N15" i="8"/>
  <c r="N35" i="8"/>
  <c r="F6" i="11"/>
  <c r="CB28" i="7"/>
  <c r="I64" i="1"/>
  <c r="D33" i="8"/>
  <c r="I19" i="1" s="1"/>
  <c r="BM73" i="2"/>
  <c r="D18" i="8"/>
  <c r="BS10" i="2"/>
  <c r="T10" i="8" s="1"/>
  <c r="BU10" i="2"/>
  <c r="G10" i="8" s="1"/>
  <c r="BT10" i="2"/>
  <c r="F10" i="8" s="1"/>
  <c r="BM22" i="2"/>
  <c r="BM15" i="2"/>
  <c r="CH15" i="2" s="1"/>
  <c r="CI15" i="2" s="1"/>
  <c r="N12" i="8"/>
  <c r="D12" i="8" s="1"/>
  <c r="BO10" i="2"/>
  <c r="P10" i="8" s="1"/>
  <c r="E14" i="8"/>
  <c r="D14" i="8" s="1"/>
  <c r="AX32" i="2"/>
  <c r="CG32" i="2" s="1"/>
  <c r="CG12" i="2" s="1"/>
  <c r="BA10" i="2"/>
  <c r="BJ31" i="2"/>
  <c r="BH31" i="2"/>
  <c r="BE31" i="2"/>
  <c r="BE10" i="2"/>
  <c r="BC31" i="2"/>
  <c r="BJ10" i="2"/>
  <c r="BH16" i="2"/>
  <c r="BG10" i="2"/>
  <c r="BH10" i="2"/>
  <c r="AV10" i="2"/>
  <c r="AM10" i="2"/>
  <c r="Z10" i="2"/>
  <c r="X10" i="2"/>
  <c r="W16" i="2"/>
  <c r="T19" i="2"/>
  <c r="AG16" i="2"/>
  <c r="AB16" i="2"/>
  <c r="X16" i="2"/>
  <c r="J8" i="5"/>
  <c r="CC8" i="7"/>
  <c r="N39" i="8"/>
  <c r="CC43" i="6"/>
  <c r="CE38" i="6"/>
  <c r="D43" i="8"/>
  <c r="E35" i="8"/>
  <c r="D35" i="8" s="1"/>
  <c r="BM31" i="2"/>
  <c r="CB30" i="2"/>
  <c r="CJ30" i="2" s="1"/>
  <c r="CA10" i="2"/>
  <c r="M10" i="8" s="1"/>
  <c r="BW10" i="2"/>
  <c r="I10" i="8" s="1"/>
  <c r="BX10" i="2"/>
  <c r="J10" i="8" s="1"/>
  <c r="BR10" i="2"/>
  <c r="S10" i="8" s="1"/>
  <c r="BZ10" i="2"/>
  <c r="L10" i="8" s="1"/>
  <c r="BQ16" i="2"/>
  <c r="BN16" i="2"/>
  <c r="BO16" i="2"/>
  <c r="BR16" i="2"/>
  <c r="BM17" i="2"/>
  <c r="CH17" i="2" s="1"/>
  <c r="BM19" i="2"/>
  <c r="BX16" i="2"/>
  <c r="CA16" i="2"/>
  <c r="BC10" i="2"/>
  <c r="BK10" i="2"/>
  <c r="BL10" i="2"/>
  <c r="AZ10" i="2"/>
  <c r="AY10" i="2"/>
  <c r="BB10" i="2"/>
  <c r="AN10" i="2"/>
  <c r="AR10" i="2"/>
  <c r="AL10" i="2"/>
  <c r="AT10" i="2"/>
  <c r="AD10" i="2"/>
  <c r="V10" i="2"/>
  <c r="AG10" i="2"/>
  <c r="AC10" i="2"/>
  <c r="W10" i="2"/>
  <c r="AA10" i="2"/>
  <c r="AH10" i="2"/>
  <c r="AB10" i="2"/>
  <c r="AE10" i="2"/>
  <c r="T16" i="2"/>
  <c r="E83" i="2"/>
  <c r="E27" i="1" s="1"/>
  <c r="E84" i="2"/>
  <c r="J84" i="2"/>
  <c r="F12" i="2"/>
  <c r="L10" i="2"/>
  <c r="G10" i="2"/>
  <c r="I10" i="2"/>
  <c r="K10" i="2"/>
  <c r="N10" i="2"/>
  <c r="P10" i="2"/>
  <c r="R10" i="2"/>
  <c r="F10" i="2"/>
  <c r="H10" i="2"/>
  <c r="J10" i="2"/>
  <c r="M10" i="2"/>
  <c r="O10" i="2"/>
  <c r="Q10" i="2"/>
  <c r="S10" i="2"/>
  <c r="D41" i="2"/>
  <c r="E8" i="1"/>
  <c r="E14" i="1" s="1"/>
  <c r="E73" i="2"/>
  <c r="G10" i="1"/>
  <c r="G11" i="1"/>
  <c r="BM48" i="2" l="1"/>
  <c r="CH49" i="2"/>
  <c r="CI49" i="2" s="1"/>
  <c r="CB31" i="2"/>
  <c r="CJ31" i="2" s="1"/>
  <c r="CH31" i="2"/>
  <c r="CI31" i="2" s="1"/>
  <c r="CK31" i="2" s="1"/>
  <c r="S8" i="5"/>
  <c r="R8" i="5"/>
  <c r="I20" i="1"/>
  <c r="CH73" i="2"/>
  <c r="CI73" i="2" s="1"/>
  <c r="CK73" i="2" s="1"/>
  <c r="CK18" i="2"/>
  <c r="CK66" i="2"/>
  <c r="CK35" i="2"/>
  <c r="T73" i="2"/>
  <c r="F20" i="1" s="1"/>
  <c r="CK26" i="2"/>
  <c r="CL10" i="7"/>
  <c r="CK10" i="7"/>
  <c r="AX11" i="2"/>
  <c r="CG17" i="2"/>
  <c r="CG11" i="2" s="1"/>
  <c r="CG10" i="2" s="1"/>
  <c r="AX16" i="2"/>
  <c r="CG16" i="2" s="1"/>
  <c r="CB98" i="2"/>
  <c r="CJ99" i="2"/>
  <c r="CK99" i="2"/>
  <c r="CB45" i="2"/>
  <c r="CJ45" i="2" s="1"/>
  <c r="CH45" i="2"/>
  <c r="CI45" i="2" s="1"/>
  <c r="CK45" i="2" s="1"/>
  <c r="CK46" i="2"/>
  <c r="CB25" i="2"/>
  <c r="CJ25" i="2" s="1"/>
  <c r="CH25" i="2"/>
  <c r="CI25" i="2" s="1"/>
  <c r="CK25" i="2" s="1"/>
  <c r="CK42" i="2"/>
  <c r="CB19" i="2"/>
  <c r="CJ19" i="2" s="1"/>
  <c r="CH19" i="2"/>
  <c r="CI19" i="2" s="1"/>
  <c r="CK19" i="2" s="1"/>
  <c r="CB22" i="2"/>
  <c r="CJ22" i="2" s="1"/>
  <c r="CH22" i="2"/>
  <c r="CI22" i="2" s="1"/>
  <c r="CK22" i="2" s="1"/>
  <c r="CK28" i="7"/>
  <c r="CL28" i="7"/>
  <c r="I24" i="10"/>
  <c r="AX45" i="2"/>
  <c r="CG45" i="2" s="1"/>
  <c r="CG46" i="2"/>
  <c r="CK40" i="2"/>
  <c r="CB41" i="2"/>
  <c r="CJ41" i="2" s="1"/>
  <c r="CH41" i="2"/>
  <c r="CI41" i="2" s="1"/>
  <c r="CK41" i="2" s="1"/>
  <c r="CK74" i="2"/>
  <c r="CB28" i="2"/>
  <c r="CJ28" i="2" s="1"/>
  <c r="CH28" i="2"/>
  <c r="CI28" i="2" s="1"/>
  <c r="CK28" i="2" s="1"/>
  <c r="CK47" i="7"/>
  <c r="CL47" i="7"/>
  <c r="CB73" i="2"/>
  <c r="CJ73" i="2" s="1"/>
  <c r="CI17" i="2"/>
  <c r="CH11" i="2"/>
  <c r="CI11" i="2" s="1"/>
  <c r="CL7" i="7"/>
  <c r="CK7" i="7"/>
  <c r="CK86" i="2"/>
  <c r="CJ86" i="2"/>
  <c r="CK38" i="2"/>
  <c r="CK30" i="2"/>
  <c r="CB69" i="2"/>
  <c r="CJ69" i="2" s="1"/>
  <c r="CH69" i="2"/>
  <c r="CI69" i="2" s="1"/>
  <c r="CK69" i="2" s="1"/>
  <c r="CB49" i="2"/>
  <c r="CJ49" i="2" s="1"/>
  <c r="CK77" i="2"/>
  <c r="CB37" i="2"/>
  <c r="CJ37" i="2" s="1"/>
  <c r="CH37" i="2"/>
  <c r="CI37" i="2" s="1"/>
  <c r="CK37" i="2" s="1"/>
  <c r="AI10" i="2"/>
  <c r="G17" i="1" s="1"/>
  <c r="G18" i="1" s="1"/>
  <c r="CI1" i="3"/>
  <c r="CJ8" i="3"/>
  <c r="CK8" i="3"/>
  <c r="CB45" i="7"/>
  <c r="I48" i="1"/>
  <c r="G20" i="1"/>
  <c r="CB34" i="2"/>
  <c r="CJ34" i="2" s="1"/>
  <c r="CH34" i="2"/>
  <c r="CI34" i="2" s="1"/>
  <c r="CK34" i="2" s="1"/>
  <c r="CI32" i="2"/>
  <c r="CK32" i="2" s="1"/>
  <c r="CH12" i="2"/>
  <c r="CK72" i="2"/>
  <c r="CK70" i="2"/>
  <c r="CK71" i="2"/>
  <c r="M8" i="1"/>
  <c r="G9" i="1"/>
  <c r="H9" i="1" s="1"/>
  <c r="N9" i="1"/>
  <c r="J64" i="1"/>
  <c r="D16" i="8"/>
  <c r="AX83" i="2"/>
  <c r="H27" i="1" s="1"/>
  <c r="AX84" i="2"/>
  <c r="D15" i="8"/>
  <c r="D20" i="8"/>
  <c r="CB32" i="2"/>
  <c r="CJ32" i="2" s="1"/>
  <c r="BM12" i="2"/>
  <c r="CB12" i="2" s="1"/>
  <c r="CJ12" i="2" s="1"/>
  <c r="I48" i="10"/>
  <c r="F44" i="10"/>
  <c r="F24" i="10"/>
  <c r="F32" i="10"/>
  <c r="F48" i="10"/>
  <c r="F38" i="10"/>
  <c r="F22" i="10"/>
  <c r="I18" i="10"/>
  <c r="I44" i="10"/>
  <c r="D21" i="8"/>
  <c r="D19" i="8"/>
  <c r="F30" i="10"/>
  <c r="F18" i="10"/>
  <c r="BM83" i="2"/>
  <c r="BM84" i="2"/>
  <c r="CB85" i="2"/>
  <c r="E12" i="2"/>
  <c r="E10" i="2" s="1"/>
  <c r="E17" i="1" s="1"/>
  <c r="E18" i="1" s="1"/>
  <c r="E31" i="2"/>
  <c r="T31" i="2"/>
  <c r="T12" i="2"/>
  <c r="T10" i="2" s="1"/>
  <c r="F17" i="1" s="1"/>
  <c r="F18" i="1" s="1"/>
  <c r="CB15" i="2"/>
  <c r="CJ15" i="2" s="1"/>
  <c r="N10" i="8"/>
  <c r="I38" i="10"/>
  <c r="I22" i="10"/>
  <c r="I30" i="10"/>
  <c r="E47" i="8"/>
  <c r="E38" i="8" s="1"/>
  <c r="BN111" i="2"/>
  <c r="N47" i="8"/>
  <c r="N38" i="8" s="1"/>
  <c r="D39" i="8"/>
  <c r="E10" i="8"/>
  <c r="G26" i="1"/>
  <c r="G6" i="11"/>
  <c r="D36" i="8"/>
  <c r="D10" i="8"/>
  <c r="AX12" i="2"/>
  <c r="AX31" i="2"/>
  <c r="CG31" i="2" s="1"/>
  <c r="J20" i="1"/>
  <c r="E13" i="1"/>
  <c r="CE43" i="6"/>
  <c r="CF38" i="6"/>
  <c r="CF43" i="6" s="1"/>
  <c r="E15" i="1"/>
  <c r="BM11" i="2"/>
  <c r="CB17" i="2"/>
  <c r="CJ17" i="2" s="1"/>
  <c r="BM16" i="2"/>
  <c r="E20" i="1"/>
  <c r="F14" i="1"/>
  <c r="H11" i="1"/>
  <c r="H10" i="1"/>
  <c r="G8" i="1"/>
  <c r="G13" i="1" s="1"/>
  <c r="F15" i="1"/>
  <c r="CH10" i="2" l="1"/>
  <c r="CI10" i="2" s="1"/>
  <c r="CI12" i="2"/>
  <c r="CK12" i="2" s="1"/>
  <c r="CK17" i="2"/>
  <c r="CJ85" i="2"/>
  <c r="CK85" i="2"/>
  <c r="CJ98" i="2"/>
  <c r="CK98" i="2"/>
  <c r="CK15" i="2"/>
  <c r="K48" i="1"/>
  <c r="J48" i="1"/>
  <c r="L48" i="1" s="1"/>
  <c r="CK49" i="2"/>
  <c r="CB16" i="2"/>
  <c r="CJ16" i="2" s="1"/>
  <c r="CH16" i="2"/>
  <c r="CI16" i="2" s="1"/>
  <c r="CK16" i="2" s="1"/>
  <c r="AX10" i="2"/>
  <c r="H17" i="1" s="1"/>
  <c r="H18" i="1" s="1"/>
  <c r="CL45" i="7"/>
  <c r="CK45" i="7"/>
  <c r="CB48" i="2"/>
  <c r="CJ48" i="2" s="1"/>
  <c r="CH48" i="2"/>
  <c r="CI48" i="2" s="1"/>
  <c r="CK48" i="2" s="1"/>
  <c r="N8" i="1"/>
  <c r="N13" i="1" s="1"/>
  <c r="M15" i="1"/>
  <c r="M14" i="1"/>
  <c r="I9" i="1"/>
  <c r="Q9" i="1"/>
  <c r="M13" i="1"/>
  <c r="CB84" i="2"/>
  <c r="I27" i="1"/>
  <c r="J27" i="1" s="1"/>
  <c r="CB83" i="2"/>
  <c r="D38" i="8"/>
  <c r="I8" i="11"/>
  <c r="H6" i="11"/>
  <c r="H26" i="1"/>
  <c r="BM10" i="2"/>
  <c r="CB11" i="2"/>
  <c r="CJ11" i="2" s="1"/>
  <c r="G14" i="1"/>
  <c r="H8" i="1"/>
  <c r="H13" i="1" s="1"/>
  <c r="I10" i="1"/>
  <c r="G15" i="1"/>
  <c r="I11" i="1"/>
  <c r="CK11" i="2" l="1"/>
  <c r="CK84" i="2"/>
  <c r="CJ84" i="2"/>
  <c r="CJ83" i="2"/>
  <c r="CK83" i="2"/>
  <c r="Q8" i="1"/>
  <c r="T8" i="1" s="1"/>
  <c r="N14" i="1"/>
  <c r="N15" i="1"/>
  <c r="J9" i="1"/>
  <c r="I26" i="1"/>
  <c r="J26" i="1" s="1"/>
  <c r="K9" i="11"/>
  <c r="L9" i="11" s="1"/>
  <c r="M9" i="11" s="1"/>
  <c r="N9" i="11" s="1"/>
  <c r="O9" i="11" s="1"/>
  <c r="I6" i="11"/>
  <c r="J6" i="11" s="1"/>
  <c r="J8" i="11"/>
  <c r="K8" i="11" s="1"/>
  <c r="CB10" i="2"/>
  <c r="CJ10" i="2" s="1"/>
  <c r="I17" i="1"/>
  <c r="H14" i="1"/>
  <c r="J11" i="1"/>
  <c r="H15" i="1"/>
  <c r="J10" i="1"/>
  <c r="I8" i="1"/>
  <c r="I14" i="1" s="1"/>
  <c r="J14" i="1" s="1"/>
  <c r="CK10" i="2" l="1"/>
  <c r="Q13" i="1"/>
  <c r="Q15" i="1"/>
  <c r="Q14" i="1"/>
  <c r="I18" i="1"/>
  <c r="J18" i="1" s="1"/>
  <c r="J17" i="1"/>
  <c r="J8" i="1"/>
  <c r="J13" i="1"/>
  <c r="I15" i="1"/>
  <c r="J15" i="1" s="1"/>
  <c r="K8" i="1" l="1"/>
  <c r="D34" i="1"/>
  <c r="D61" i="1" l="1"/>
  <c r="D50" i="1" l="1"/>
  <c r="D6" i="11" l="1"/>
  <c r="D9" i="11"/>
  <c r="D14" i="11"/>
  <c r="D59" i="1" l="1"/>
  <c r="D34" i="7" l="1"/>
  <c r="D66" i="1" s="1"/>
</calcChain>
</file>

<file path=xl/comments1.xml><?xml version="1.0" encoding="utf-8"?>
<comments xmlns="http://schemas.openxmlformats.org/spreadsheetml/2006/main">
  <authors>
    <author>Author</author>
  </authors>
  <commentList>
    <comment ref="D58" authorId="0" shapeId="0">
      <text>
        <r>
          <rPr>
            <b/>
            <sz val="9"/>
            <color indexed="81"/>
            <rFont val="Tahoma"/>
            <family val="2"/>
          </rPr>
          <t>Út:
Chưa có kq chính xác</t>
        </r>
      </text>
    </comment>
    <comment ref="L58" authorId="0" shapeId="0">
      <text>
        <r>
          <rPr>
            <b/>
            <sz val="9"/>
            <color indexed="81"/>
            <rFont val="Tahoma"/>
            <family val="2"/>
          </rPr>
          <t>Út:
Chưa có kq chính xác</t>
        </r>
      </text>
    </comment>
    <comment ref="M5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không đánh giá mức giảm tỷ lệ hộ nghèo do là năm chuyển giao sang áp dụng chuẩn nghèo đa chiều giai đoạn 2021-2025</t>
        </r>
      </text>
    </comment>
  </commentList>
</comments>
</file>

<file path=xl/comments2.xml><?xml version="1.0" encoding="utf-8"?>
<comments xmlns="http://schemas.openxmlformats.org/spreadsheetml/2006/main">
  <authors>
    <author>Author</author>
  </authors>
  <commentList>
    <comment ref="Z86" authorId="0" shapeId="0">
      <text>
        <r>
          <rPr>
            <b/>
            <sz val="8"/>
            <color indexed="81"/>
            <rFont val="Tahoma"/>
            <family val="2"/>
          </rPr>
          <t>Author:</t>
        </r>
        <r>
          <rPr>
            <sz val="8"/>
            <color indexed="81"/>
            <rFont val="Tahoma"/>
            <family val="2"/>
          </rPr>
          <t xml:space="preserve">
tăng 229,1 ha tư Ic lên IIa</t>
        </r>
      </text>
    </comment>
    <comment ref="AV86" authorId="0" shapeId="0">
      <text>
        <r>
          <rPr>
            <b/>
            <sz val="8"/>
            <color indexed="81"/>
            <rFont val="Tahoma"/>
            <family val="2"/>
          </rPr>
          <t>Author:</t>
        </r>
        <r>
          <rPr>
            <sz val="8"/>
            <color indexed="81"/>
            <rFont val="Tahoma"/>
            <family val="2"/>
          </rPr>
          <t xml:space="preserve">
tăng 473,6 ha từ Ic lên IIa</t>
        </r>
      </text>
    </comment>
    <comment ref="BK86" authorId="0" shapeId="0">
      <text>
        <r>
          <rPr>
            <b/>
            <sz val="8"/>
            <color indexed="81"/>
            <rFont val="Tahoma"/>
            <family val="2"/>
          </rPr>
          <t>Author:</t>
        </r>
        <r>
          <rPr>
            <sz val="8"/>
            <color indexed="81"/>
            <rFont val="Tahoma"/>
            <family val="2"/>
          </rPr>
          <t xml:space="preserve">
tăng 473,6 ha từ Ic lên IIa</t>
        </r>
      </text>
    </comment>
    <comment ref="BT86" authorId="0" shapeId="0">
      <text>
        <r>
          <rPr>
            <b/>
            <sz val="8"/>
            <color indexed="81"/>
            <rFont val="Tahoma"/>
            <family val="2"/>
          </rPr>
          <t>Author:</t>
        </r>
        <r>
          <rPr>
            <sz val="8"/>
            <color indexed="81"/>
            <rFont val="Tahoma"/>
            <family val="2"/>
          </rPr>
          <t xml:space="preserve">
tăng 1000 ha từ Ic lên IIa</t>
        </r>
      </text>
    </comment>
    <comment ref="AK87" authorId="0" shapeId="0">
      <text>
        <r>
          <rPr>
            <b/>
            <sz val="8"/>
            <color indexed="81"/>
            <rFont val="Tahoma"/>
            <family val="2"/>
          </rPr>
          <t>Author:</t>
        </r>
        <r>
          <rPr>
            <sz val="8"/>
            <color indexed="81"/>
            <rFont val="Tahoma"/>
            <family val="2"/>
          </rPr>
          <t xml:space="preserve">
tăng 111,1 ha từ IC lên IIa</t>
        </r>
      </text>
    </comment>
    <comment ref="BG87" authorId="0" shapeId="0">
      <text>
        <r>
          <rPr>
            <b/>
            <sz val="8"/>
            <color indexed="81"/>
            <rFont val="Tahoma"/>
            <family val="2"/>
          </rPr>
          <t>Author:</t>
        </r>
        <r>
          <rPr>
            <sz val="8"/>
            <color indexed="81"/>
            <rFont val="Tahoma"/>
            <family val="2"/>
          </rPr>
          <t xml:space="preserve">
tăng 1050 ha từ Ic lên IIa</t>
        </r>
      </text>
    </comment>
    <comment ref="CD10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Diện tích còn lại là cây gỗ lớn các loại; nhà nc trồng 510,38 ha</t>
        </r>
      </text>
    </comment>
    <comment ref="CD102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DN trồng theo dự án được UBN D tỉnh phê duyệt</t>
        </r>
      </text>
    </comment>
  </commentList>
</comments>
</file>

<file path=xl/comments3.xml><?xml version="1.0" encoding="utf-8"?>
<comments xmlns="http://schemas.openxmlformats.org/spreadsheetml/2006/main">
  <authors>
    <author>Author</author>
  </authors>
  <commentList>
    <comment ref="BT1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Sáp nhaapk trường Tiểu học và THCS </t>
        </r>
      </text>
    </comment>
    <comment ref="BU1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Sáp nhập trưởng Tiểu học và THCS</t>
        </r>
      </text>
    </comment>
    <comment ref="AT24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Sáp nhập trường Tiểu học và THCS Ka Lăng</t>
        </r>
      </text>
    </comment>
    <comment ref="BK24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Sáp nhập trường Tiểu học và THCS Mù Cả
</t>
        </r>
      </text>
    </comment>
    <comment ref="CL31" authorId="0" shapeId="0">
      <text>
        <r>
          <rPr>
            <b/>
            <sz val="9"/>
            <color indexed="81"/>
            <rFont val="Tahoma"/>
            <family val="2"/>
          </rPr>
          <t xml:space="preserve">Huy: Giảm 1 trường </t>
        </r>
        <r>
          <rPr>
            <sz val="9"/>
            <color indexed="81"/>
            <rFont val="Tahoma"/>
            <family val="2"/>
          </rPr>
          <t xml:space="preserve"> do ghép trường TH với THCS Mù Cả
</t>
        </r>
      </text>
    </comment>
    <comment ref="CH32" authorId="0" shapeId="0">
      <text>
        <r>
          <rPr>
            <sz val="9"/>
            <color indexed="81"/>
            <rFont val="Tahoma"/>
            <family val="2"/>
          </rPr>
          <t xml:space="preserve">Huy: trường TH&amp;THCS vàng san do ghép trường nên mất chuẩn
</t>
        </r>
      </text>
    </comment>
    <comment ref="CM3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Công nhận trường Nội trú huyện</t>
        </r>
      </text>
    </comment>
  </commentList>
</comments>
</file>

<file path=xl/sharedStrings.xml><?xml version="1.0" encoding="utf-8"?>
<sst xmlns="http://schemas.openxmlformats.org/spreadsheetml/2006/main" count="1567" uniqueCount="744">
  <si>
    <t>Biểu mẫu số 2</t>
  </si>
  <si>
    <t>STT</t>
  </si>
  <si>
    <t>Chỉ tiêu</t>
  </si>
  <si>
    <t>Đơn vị tính</t>
  </si>
  <si>
    <t>Thực hiện 2016-2020</t>
  </si>
  <si>
    <t>KH 2021</t>
  </si>
  <si>
    <t>Trong đó</t>
  </si>
  <si>
    <t>KH 2022</t>
  </si>
  <si>
    <t>KH 2023</t>
  </si>
  <si>
    <t>KH 2024</t>
  </si>
  <si>
    <t>KH 2025</t>
  </si>
  <si>
    <t>Mục tiêu kế hoạch 5 năm 2021-2025</t>
  </si>
  <si>
    <t>Thị trấn</t>
  </si>
  <si>
    <t>Bum Nưa</t>
  </si>
  <si>
    <t>Vàng San</t>
  </si>
  <si>
    <t>Nậm Khao</t>
  </si>
  <si>
    <t>Mường Tè</t>
  </si>
  <si>
    <t>Can Hồ</t>
  </si>
  <si>
    <t>Pa Vệ Sủ</t>
  </si>
  <si>
    <t>Pa Ủ</t>
  </si>
  <si>
    <t>Bum Tở</t>
  </si>
  <si>
    <t>Tá Bạ</t>
  </si>
  <si>
    <t>Ka Lăng</t>
  </si>
  <si>
    <t>Thu Lũm</t>
  </si>
  <si>
    <t>Mù Cả</t>
  </si>
  <si>
    <t>Tà Tổng</t>
  </si>
  <si>
    <t>I</t>
  </si>
  <si>
    <t>TỐC ĐỘ TĂNG GTSX</t>
  </si>
  <si>
    <t>%</t>
  </si>
  <si>
    <t>II</t>
  </si>
  <si>
    <t>GIÁ TRỊ TĂNG THÊM</t>
  </si>
  <si>
    <t>Tỷ đồng</t>
  </si>
  <si>
    <t>TRỒNG TRỌT</t>
  </si>
  <si>
    <t>Tổng sản lượng lương thực có hạt</t>
  </si>
  <si>
    <t>Tấn</t>
  </si>
  <si>
    <t>Trong đó:  - Thóc</t>
  </si>
  <si>
    <t xml:space="preserve">                - Ngô</t>
  </si>
  <si>
    <t>Một số cây trồng chính</t>
  </si>
  <si>
    <t>2.1</t>
  </si>
  <si>
    <t>Cây lương thực có hạt</t>
  </si>
  <si>
    <t xml:space="preserve"> - Lúa cả năm: + Diện tích</t>
  </si>
  <si>
    <t>Ha</t>
  </si>
  <si>
    <t xml:space="preserve">                     + Năng suất</t>
  </si>
  <si>
    <t>Tạ/ha</t>
  </si>
  <si>
    <t xml:space="preserve">                     + Sản lượng</t>
  </si>
  <si>
    <t xml:space="preserve"> + Lúa Đông Xuân: Diện tích</t>
  </si>
  <si>
    <t xml:space="preserve">                            Năng suất</t>
  </si>
  <si>
    <t xml:space="preserve">                            Sản lượng</t>
  </si>
  <si>
    <t xml:space="preserve"> + Lúa mùa: Diện tích</t>
  </si>
  <si>
    <t xml:space="preserve"> + Lúa nương: Diện tích</t>
  </si>
  <si>
    <t xml:space="preserve"> + Trong đó: Tổng diện tích lúa hàng hóa tập trung</t>
  </si>
  <si>
    <t xml:space="preserve">               + Năng suất</t>
  </si>
  <si>
    <t xml:space="preserve">               + Sản lượng</t>
  </si>
  <si>
    <t xml:space="preserve"> - Ngô cả năm:+ Diện tích</t>
  </si>
  <si>
    <t xml:space="preserve"> + Ngô Xuân Hè: Diện tích</t>
  </si>
  <si>
    <t xml:space="preserve"> + Ngô Thu Đông: Diện tích</t>
  </si>
  <si>
    <t>2.2</t>
  </si>
  <si>
    <t>Cây màu các loại</t>
  </si>
  <si>
    <t xml:space="preserve">                     + Diện tích</t>
  </si>
  <si>
    <t>2.4</t>
  </si>
  <si>
    <t>Cây công nghiệp ngắn ngày</t>
  </si>
  <si>
    <t xml:space="preserve"> - Lạc:             + Diện tích</t>
  </si>
  <si>
    <t xml:space="preserve">                       + Năng suất</t>
  </si>
  <si>
    <t xml:space="preserve">                       + Sản lượng</t>
  </si>
  <si>
    <t xml:space="preserve"> - Đậu tương:   + Diện tích</t>
  </si>
  <si>
    <t xml:space="preserve"> - Mía:             + Diện tích</t>
  </si>
  <si>
    <t>2.5</t>
  </si>
  <si>
    <t>Cây công nghiệp dài ngày</t>
  </si>
  <si>
    <t xml:space="preserve"> - Cây chè: Tổng diện tích</t>
  </si>
  <si>
    <t xml:space="preserve">   Trong đó:   + DT trồng mới</t>
  </si>
  <si>
    <t xml:space="preserve"> + DT chè kinh doanh</t>
  </si>
  <si>
    <t xml:space="preserve">                + Năng suất</t>
  </si>
  <si>
    <t>Ta/ha</t>
  </si>
  <si>
    <t xml:space="preserve">                + SL chè búp tươi</t>
  </si>
  <si>
    <t xml:space="preserve"> - Cây cao su: Tổng diện tích</t>
  </si>
  <si>
    <t xml:space="preserve">                    + DT kinh doanh</t>
  </si>
  <si>
    <t xml:space="preserve">                    + Năng suất</t>
  </si>
  <si>
    <t>Tấn/ha</t>
  </si>
  <si>
    <t xml:space="preserve">                    + Sản lượng</t>
  </si>
  <si>
    <t>2.6</t>
  </si>
  <si>
    <t>Cây thảo quả:  + Diện tích</t>
  </si>
  <si>
    <t xml:space="preserve">                         + Sản lượng</t>
  </si>
  <si>
    <t>2.7</t>
  </si>
  <si>
    <t>Cây ăn quả:   + Diện tích</t>
  </si>
  <si>
    <t>CHĂN NUÔI</t>
  </si>
  <si>
    <t>Tổng đàn gia súc</t>
  </si>
  <si>
    <t>Con</t>
  </si>
  <si>
    <t>Đàn trâu</t>
  </si>
  <si>
    <t>Đàn bò</t>
  </si>
  <si>
    <t>Đàn lợn</t>
  </si>
  <si>
    <t>Tốc độ tăng đàn gia súc</t>
  </si>
  <si>
    <t>Tổng đàn gia cầm</t>
  </si>
  <si>
    <t>Nghìn con</t>
  </si>
  <si>
    <t>Thịt hơi các loại</t>
  </si>
  <si>
    <t>Nghìn tấn</t>
  </si>
  <si>
    <t>III</t>
  </si>
  <si>
    <t>THỦY SẢN</t>
  </si>
  <si>
    <t>Tổng sản lượng thủy sản</t>
  </si>
  <si>
    <t>Trong đó:   - Khai thác</t>
  </si>
  <si>
    <t xml:space="preserve">                 - Nuôi trồng</t>
  </si>
  <si>
    <t xml:space="preserve">DT nuôi trồng thuỷ sản </t>
  </si>
  <si>
    <t>IV</t>
  </si>
  <si>
    <t>LÂM NGHIỆP</t>
  </si>
  <si>
    <t>Tỷ lệ che phủ rừng</t>
  </si>
  <si>
    <t xml:space="preserve"> -</t>
  </si>
  <si>
    <t>Rừng tự nhiên</t>
  </si>
  <si>
    <t>Trong đó: - Rừng sản xuất</t>
  </si>
  <si>
    <t xml:space="preserve">                - Rừng phòng hộ</t>
  </si>
  <si>
    <t xml:space="preserve">                - Rừng đặc dụng</t>
  </si>
  <si>
    <t>Rừng trồng tập trung</t>
  </si>
  <si>
    <t>- Rừng sản xuất</t>
  </si>
  <si>
    <t>- Rừng phòng hộ</t>
  </si>
  <si>
    <t>-</t>
  </si>
  <si>
    <t>Trong đó trồng rừng mới</t>
  </si>
  <si>
    <t xml:space="preserve"> Cây cao su</t>
  </si>
  <si>
    <t>Cây Quế</t>
  </si>
  <si>
    <t>Cây Mắc ca</t>
  </si>
  <si>
    <t>Cây Sa mu</t>
  </si>
  <si>
    <t>V</t>
  </si>
  <si>
    <t>NÔNG THÔN MỚI</t>
  </si>
  <si>
    <t>Tiêu chí bình quân/xã</t>
  </si>
  <si>
    <t>Tiêu chí/xã</t>
  </si>
  <si>
    <t>Số xã đạt chuẩn nông thôn mới (lũy kế)</t>
  </si>
  <si>
    <t>Xã</t>
  </si>
  <si>
    <t>x</t>
  </si>
  <si>
    <t>KẾ HOẠCH NGÀNH NÔNG, LÂM NGHIỆP VÀ THỦY SẢN 5 NĂM 2021-2025</t>
  </si>
  <si>
    <t>Biểu mẫu số 3</t>
  </si>
  <si>
    <t xml:space="preserve"> KẾ HOẠCH NGÀNH CÔNG NGHIỆP 5 NĂM 2021-2025</t>
  </si>
  <si>
    <t>Thực hiện giai đoạn 2016-2020</t>
  </si>
  <si>
    <t>1</t>
  </si>
  <si>
    <t>Giá trị tăng thêm</t>
  </si>
  <si>
    <t>2</t>
  </si>
  <si>
    <t>Sản phẩm chủ yếu</t>
  </si>
  <si>
    <t xml:space="preserve"> - Điện sản xuất và nhập khẩu</t>
  </si>
  <si>
    <t xml:space="preserve"> 1000 Kwh </t>
  </si>
  <si>
    <t xml:space="preserve"> - Điện sản xuất</t>
  </si>
  <si>
    <t xml:space="preserve">  + Điện nhập khẩu</t>
  </si>
  <si>
    <t xml:space="preserve"> - Đá xây dựng</t>
  </si>
  <si>
    <t xml:space="preserve"> - Gạch xây dựng các loại</t>
  </si>
  <si>
    <t xml:space="preserve"> - Nước máy sản xuất</t>
  </si>
  <si>
    <t>Hạ tầng điện lưới</t>
  </si>
  <si>
    <t xml:space="preserve"> - Số xã, phường, thị trấn có điện lưới quốc gia</t>
  </si>
  <si>
    <t>xã</t>
  </si>
  <si>
    <t xml:space="preserve"> - Tỷ lệ xã, phường, thị trấn được sử dụng điện lưới quốc gia</t>
  </si>
  <si>
    <t xml:space="preserve"> - Tỷ lệ hộ được sử dụng điện</t>
  </si>
  <si>
    <t>- Tỷ lệ số hộ nông thôn có điện</t>
  </si>
  <si>
    <t xml:space="preserve"> - Tỷ lệ hộ được sử dụng điện lưới Quốc gia</t>
  </si>
  <si>
    <t xml:space="preserve"> - Tỷ lệ hộ được sử dụng điện từ các nguồn khác</t>
  </si>
  <si>
    <t>Biểu mẫu số 4</t>
  </si>
  <si>
    <t>NĂNG LỰC TĂNG THÊM NGÀNH CÔNG NGHIỆP 5 NĂM 2021-2025</t>
  </si>
  <si>
    <t>Ngành công nghiệp</t>
  </si>
  <si>
    <t>Tổng công suất đến hết năm 2020</t>
  </si>
  <si>
    <t>Tổng công suất đến hết năm 2025</t>
  </si>
  <si>
    <t>Tổng số</t>
  </si>
  <si>
    <t>3</t>
  </si>
  <si>
    <t>4</t>
  </si>
  <si>
    <t>5</t>
  </si>
  <si>
    <t>6</t>
  </si>
  <si>
    <t>7</t>
  </si>
  <si>
    <t>8</t>
  </si>
  <si>
    <t>9</t>
  </si>
  <si>
    <t>10</t>
  </si>
  <si>
    <t>11=4+10</t>
  </si>
  <si>
    <t>Ngành điện</t>
  </si>
  <si>
    <t>MW</t>
  </si>
  <si>
    <t xml:space="preserve"> - Điện sản xuất:</t>
  </si>
  <si>
    <t xml:space="preserve"> - Điện nhập khẩu</t>
  </si>
  <si>
    <t xml:space="preserve"> - Đường dây 35 KV</t>
  </si>
  <si>
    <t>km</t>
  </si>
  <si>
    <t xml:space="preserve"> + Số dự án được đầu tư</t>
  </si>
  <si>
    <t>Công trình</t>
  </si>
  <si>
    <t xml:space="preserve"> + Tổng chiều dài</t>
  </si>
  <si>
    <t xml:space="preserve"> - Đường dây 0,4 KV</t>
  </si>
  <si>
    <t xml:space="preserve"> - Tổng số hộ TĐC được cấp điện</t>
  </si>
  <si>
    <t>Hộ</t>
  </si>
  <si>
    <t>Ngành xi măng</t>
  </si>
  <si>
    <t xml:space="preserve"> Triệu tấn </t>
  </si>
  <si>
    <t>Ngành thép</t>
  </si>
  <si>
    <t>Ngành chế biến khoáng sản</t>
  </si>
  <si>
    <t>Trong đó:</t>
  </si>
  <si>
    <t>- Alumina</t>
  </si>
  <si>
    <t xml:space="preserve"> Nghìn tấn </t>
  </si>
  <si>
    <t xml:space="preserve"> - Tinh quặng apatit</t>
  </si>
  <si>
    <t>Biểu mẫu số 5</t>
  </si>
  <si>
    <t>TÌNH HÌNH THỰC HIỆN KẾ HOẠCH NGÀNH DỊCH VỤ 5 NĂM 2021-2025</t>
  </si>
  <si>
    <t>Mục tiêu
kế hoạch giai đoạn
 2021-2025</t>
  </si>
  <si>
    <t>1.</t>
  </si>
  <si>
    <t>Thương mại</t>
  </si>
  <si>
    <t>- Tổng mức bán lẻ hàng hóa và dịch vụ tiêu dùng xã hội</t>
  </si>
  <si>
    <t>- Tốc độ tăng tổng mức bán lẻ hàng hóa và dịch vụ tiêu dùng xã hội</t>
  </si>
  <si>
    <t xml:space="preserve"> % </t>
  </si>
  <si>
    <t>2.</t>
  </si>
  <si>
    <t>Vận tải</t>
  </si>
  <si>
    <t xml:space="preserve"> - Doanh thu ngành vận tải</t>
  </si>
  <si>
    <t>- Tốc độ tăng khối lượng hàng hoá vận chuyển</t>
  </si>
  <si>
    <t>- Tốc độ tăng khối lượng hàng hoá luân chuyển</t>
  </si>
  <si>
    <t>- Tốc độ tăng khối lượng hành khách vận chuyển</t>
  </si>
  <si>
    <t>- Tốc độ tăng khối lượng hành khách luân chuyển</t>
  </si>
  <si>
    <t>3.</t>
  </si>
  <si>
    <t>Thông tin - Truyền thông</t>
  </si>
  <si>
    <t>3.1</t>
  </si>
  <si>
    <t xml:space="preserve">Bưu chính viễn thông </t>
  </si>
  <si>
    <t>- Số thuê bao điện thoại/100 dân</t>
  </si>
  <si>
    <t>Thuê bao</t>
  </si>
  <si>
    <t xml:space="preserve"> - Số xã có mạng Internet (gồm mạng không dây và cáp quang)</t>
  </si>
  <si>
    <t>xã, thị trấn</t>
  </si>
  <si>
    <t xml:space="preserve"> - Tỷ lệ số xã có mạng internet</t>
  </si>
  <si>
    <t>3.2</t>
  </si>
  <si>
    <t>Phát thanh</t>
  </si>
  <si>
    <t>Tổng số giờ phát sóng</t>
  </si>
  <si>
    <t>Giờ</t>
  </si>
  <si>
    <t xml:space="preserve"> + Đài tỉnh</t>
  </si>
  <si>
    <t xml:space="preserve"> + Đài huyện</t>
  </si>
  <si>
    <t>3.3</t>
  </si>
  <si>
    <t>Truyền hình</t>
  </si>
  <si>
    <t>Tr.đó:  + Đài truyền hình tỉnh</t>
  </si>
  <si>
    <t xml:space="preserve">         + Đài TH huyện, khu vực</t>
  </si>
  <si>
    <t>Biểu mẫu số 6</t>
  </si>
  <si>
    <t>KẾ HOẠCH GIÁO DỤC, ĐÀO TẠO VÀ KHOA HỌC CÔNG NGHỆ 5 NĂM 2021-2025</t>
  </si>
  <si>
    <t>A</t>
  </si>
  <si>
    <t>GIÁO DỤC</t>
  </si>
  <si>
    <t>Tổng số học sinh</t>
  </si>
  <si>
    <t>Giáo dục mầm non</t>
  </si>
  <si>
    <t>- Số học sinh mẫu giáo</t>
  </si>
  <si>
    <t xml:space="preserve">Học sinh </t>
  </si>
  <si>
    <t>Giáo dục tiểu học</t>
  </si>
  <si>
    <t>- Số học sinh tiểu học</t>
  </si>
  <si>
    <t>Giáo dục trung học cơ sở</t>
  </si>
  <si>
    <t>- Số học sinh trung học cơ sở</t>
  </si>
  <si>
    <t>Giáo dục trung học phổ thông</t>
  </si>
  <si>
    <t>- Số học sinh trung học phổ thông</t>
  </si>
  <si>
    <t>Số trường đạt chuẩn quốc gia</t>
  </si>
  <si>
    <t>Trường</t>
  </si>
  <si>
    <t>Trong đó thực hiện mới: 
 + Cấp Mầm non</t>
  </si>
  <si>
    <t xml:space="preserve"> + Cấp Tiểu học</t>
  </si>
  <si>
    <t xml:space="preserve"> + Cấp THCS</t>
  </si>
  <si>
    <t xml:space="preserve"> + Cấp THPT</t>
  </si>
  <si>
    <t xml:space="preserve"> - Tỷ lệ trường đạt chuẩn quốc gia</t>
  </si>
  <si>
    <t>Trong đó: + Cấp Mầm non</t>
  </si>
  <si>
    <t>B</t>
  </si>
  <si>
    <t>ĐÀO TẠO</t>
  </si>
  <si>
    <t>Đại học, cao đẳng</t>
  </si>
  <si>
    <t xml:space="preserve"> Người </t>
  </si>
  <si>
    <t xml:space="preserve"> - Tuyển mới đại học, cao đẳng chính quy</t>
  </si>
  <si>
    <t>Tốc độ tăng tuyển mới cao đẳng chính quy</t>
  </si>
  <si>
    <t xml:space="preserve"> Người/năm</t>
  </si>
  <si>
    <t xml:space="preserve"> - Trong đó: Tuyển mới trung cấp chuyên nghiệp</t>
  </si>
  <si>
    <t>Tốc độ tăng tuyển mới trung cấp chuyên nghiệp</t>
  </si>
  <si>
    <t>- Tuyển mới cao đẳng nghề và trung cấp nghề</t>
  </si>
  <si>
    <t>Tốc độ tăng tuyển mới cao đẳng, trung cấp nghề</t>
  </si>
  <si>
    <t>- Tỷ lệ lao động qua đào tạo</t>
  </si>
  <si>
    <t>Đào tạo sau đại học</t>
  </si>
  <si>
    <t>Trong đó: Số người được cử đi đào tạo tiến sỹ trong năm</t>
  </si>
  <si>
    <t>Tổng số lượt cán bộ công chức, viên chức được cử đi đào tạo, bồi dưỡng trong năm</t>
  </si>
  <si>
    <t>Người</t>
  </si>
  <si>
    <t>Biểu mẫu số 7</t>
  </si>
  <si>
    <t>KẾ HOẠCH CÁC LĨNH VỰC XÃ HỘI 5 NĂM 2021-2025</t>
  </si>
  <si>
    <t>DÂN SỐ</t>
  </si>
  <si>
    <t>Dân số trung bình (năm cuối kỳ)</t>
  </si>
  <si>
    <t>Trong đó: Dân số nông thôn</t>
  </si>
  <si>
    <t>- Mức giảm tỷ lệ sinh (năm cuối kỳ)</t>
  </si>
  <si>
    <t xml:space="preserve"> %o </t>
  </si>
  <si>
    <t>- Tỷ lệ tăng dân số (năm cuối kỳ)</t>
  </si>
  <si>
    <t>LAO ĐỘNG</t>
  </si>
  <si>
    <t>Lực lượng lao động từ 15 tuổi trở lên</t>
  </si>
  <si>
    <t>Lao động từ 15 tuổi trở lên đang làm việc trong nền kinh tế quốc dân</t>
  </si>
  <si>
    <t>Cơ cấu lao động (năm cuối kỳ)</t>
  </si>
  <si>
    <t>- Nông, lâm nghiệp và thuỷ sản</t>
  </si>
  <si>
    <t>- Công nghiệp và xây dựng</t>
  </si>
  <si>
    <t>- Dịch vụ</t>
  </si>
  <si>
    <t>Số lao động được tạo việc làm</t>
  </si>
  <si>
    <t>Tỷ lệ thất nghiệp khu vực thành thị</t>
  </si>
  <si>
    <t>C</t>
  </si>
  <si>
    <t>VĂN HÓA - THỂ THAO</t>
  </si>
  <si>
    <t>Số thư viện</t>
  </si>
  <si>
    <t>Thư viện</t>
  </si>
  <si>
    <t>Báo chí</t>
  </si>
  <si>
    <t xml:space="preserve"> - Số báo phát hành</t>
  </si>
  <si>
    <t>Số</t>
  </si>
  <si>
    <t>- Số lượng phát hành</t>
  </si>
  <si>
    <t>Bản</t>
  </si>
  <si>
    <t>Nhà văn hóa</t>
  </si>
  <si>
    <t>Huyện, Thành phố</t>
  </si>
  <si>
    <t>Nhà VH</t>
  </si>
  <si>
    <t>Xã, phường, thị trấn</t>
  </si>
  <si>
    <t>Thôn, bản</t>
  </si>
  <si>
    <t>Số di tích được tu bổ</t>
  </si>
  <si>
    <t xml:space="preserve"> Di tích </t>
  </si>
  <si>
    <t>Số sân vận động</t>
  </si>
  <si>
    <t>Sân</t>
  </si>
  <si>
    <t>Tỷ lệ hộ gia đình đạt tiêu chuẩn văn hóa</t>
  </si>
  <si>
    <t>Tỷ lệ số thôn, bản, khu phố đạt tiêu chuẩn văn hóa</t>
  </si>
  <si>
    <t>Tỷ lệ cơ quan, đơn vị, trường học đạt tiêu chuẩn văn hóa</t>
  </si>
  <si>
    <t>D</t>
  </si>
  <si>
    <t>Y TẾ (năm cuối kỳ)</t>
  </si>
  <si>
    <t>Số giường bệnh/ 1 vạn dân (không tính giường của trạm y tế xã)</t>
  </si>
  <si>
    <t xml:space="preserve"> Giường </t>
  </si>
  <si>
    <t>Số giường bệnh quốc lập/ 1 vạn dân</t>
  </si>
  <si>
    <t>Số giường bệnh tư/ 1 vạn dân</t>
  </si>
  <si>
    <t>Số bác sỹ/ 1 vạn dân</t>
  </si>
  <si>
    <t xml:space="preserve"> Bác sỹ </t>
  </si>
  <si>
    <t>Tỷ suất chết của người mẹ trong thời gian thai sản trên 100.000 trẻ đẻ sống</t>
  </si>
  <si>
    <t>Tỷ suất chết trẻ em dưới 1 tuổi</t>
  </si>
  <si>
    <t>Tỷ suất chết của trẻ em dưới 5 tuổi</t>
  </si>
  <si>
    <t xml:space="preserve">Tỷ lệ xã đạt tiêu chí quốc gia (theo tiêu chí mới) </t>
  </si>
  <si>
    <t>Tỷ lệ xã có bác sỹ</t>
  </si>
  <si>
    <t>Tỷ lệ người dân tham gia bảo hiểm y tế</t>
  </si>
  <si>
    <t>E</t>
  </si>
  <si>
    <t>BẢO HIỂM</t>
  </si>
  <si>
    <t>số người tham gia BHXH bắt buộc</t>
  </si>
  <si>
    <t>số người tham gia BHXH thất nghiệp</t>
  </si>
  <si>
    <t>TRẺ EM</t>
  </si>
  <si>
    <t>Tỷ lệ xã, phường phù hợp với trẻ em</t>
  </si>
  <si>
    <t>Biểu mẫu số 8</t>
  </si>
  <si>
    <t>MỘT SỐ CHỈ TIÊU CHỦ YẾU VỀ PHÁT TRIỂN KINH TẾ VÙNG 5 NĂM 2021-2025</t>
  </si>
  <si>
    <t>TT</t>
  </si>
  <si>
    <t xml:space="preserve">Chỉ tiêu </t>
  </si>
  <si>
    <t xml:space="preserve">Đơn vị tính </t>
  </si>
  <si>
    <t>Định hướng đến năm 2025</t>
  </si>
  <si>
    <t>Ghi chú</t>
  </si>
  <si>
    <t>Toàn huyện</t>
  </si>
  <si>
    <t>Vùng 1 
(Vùng cao)</t>
  </si>
  <si>
    <t>Trong đó</t>
  </si>
  <si>
    <t>Chỉ tiêu phát triển sản xuất Nông - Lâm nghiệp - Thủy sản</t>
  </si>
  <si>
    <t>a</t>
  </si>
  <si>
    <t>Nông nghiệp</t>
  </si>
  <si>
    <t>Tổng SLLT có hạt</t>
  </si>
  <si>
    <t>Cây lương thực</t>
  </si>
  <si>
    <t>1.1</t>
  </si>
  <si>
    <t>Lúa mùa: Diện tích</t>
  </si>
  <si>
    <t xml:space="preserve">              Sản Lượng</t>
  </si>
  <si>
    <t>1.2</t>
  </si>
  <si>
    <t xml:space="preserve">Lúa đông xuân: Diện tích </t>
  </si>
  <si>
    <t>1.3</t>
  </si>
  <si>
    <t xml:space="preserve">Lúa nương: Diện tích </t>
  </si>
  <si>
    <t>1.4</t>
  </si>
  <si>
    <t>Cây ngô Xuân Hè: Diện tích</t>
  </si>
  <si>
    <t>1.5</t>
  </si>
  <si>
    <t>Cây ngô Thu Đông: Diện tích</t>
  </si>
  <si>
    <t>Cây công nghiệp</t>
  </si>
  <si>
    <t>Cây cao su</t>
  </si>
  <si>
    <t xml:space="preserve"> - Diện tích</t>
  </si>
  <si>
    <t xml:space="preserve"> + Trong đó: Diện tích trồng mới</t>
  </si>
  <si>
    <t xml:space="preserve"> - Tổng số Công ty cao su đang hoạt động trên địa bàn</t>
  </si>
  <si>
    <t>Công ty</t>
  </si>
  <si>
    <t>Không có</t>
  </si>
  <si>
    <t xml:space="preserve"> + Số lao động thường xuyên trong các công ty cao su</t>
  </si>
  <si>
    <t xml:space="preserve"> - Số nhà máy chế biến cao su</t>
  </si>
  <si>
    <t>Nhà máy</t>
  </si>
  <si>
    <t xml:space="preserve"> + Công suất chế biến mủ cao su</t>
  </si>
  <si>
    <t>Tấn/năm</t>
  </si>
  <si>
    <t>Cây ăn quả ôn đới, cây dược liệu</t>
  </si>
  <si>
    <t xml:space="preserve"> - Diện tích cây ăn quả ôn đới</t>
  </si>
  <si>
    <t xml:space="preserve"> + Sản lượng cây ăn quả ôn đới</t>
  </si>
  <si>
    <t>Chăn nuôi</t>
  </si>
  <si>
    <t xml:space="preserve"> - Tổng đàn gia súc</t>
  </si>
  <si>
    <t xml:space="preserve"> - Tốc độ tăng trưởng đàn gia súc</t>
  </si>
  <si>
    <t>b</t>
  </si>
  <si>
    <t>Lâm nghiệp</t>
  </si>
  <si>
    <t>Tổng DT rừng hiện có</t>
  </si>
  <si>
    <t>c</t>
  </si>
  <si>
    <t>Thủy sản</t>
  </si>
  <si>
    <t>Diện tích nuôi trồng thủy sản</t>
  </si>
  <si>
    <t xml:space="preserve"> - Trong đó: Diện tích nuôi trồng thủy sản nước lạnh</t>
  </si>
  <si>
    <t>Sản lượng đánh bắt và nuôi trồng</t>
  </si>
  <si>
    <t xml:space="preserve"> - Trong đó: Sản lượng nuôi trồng thủy sản nước lạnh</t>
  </si>
  <si>
    <t xml:space="preserve">                     Năng suất</t>
  </si>
  <si>
    <t xml:space="preserve">                     Sản lượng</t>
  </si>
  <si>
    <t xml:space="preserve">                  Năng suất</t>
  </si>
  <si>
    <t xml:space="preserve">                  Sản lượng</t>
  </si>
  <si>
    <t>Vùng 2
 (Vùng thấp)</t>
  </si>
  <si>
    <t>DTTN</t>
  </si>
  <si>
    <t>Biểu số 9</t>
  </si>
  <si>
    <t>KẾ HOẠCH VỐN ĐẦU TƯ PHÁT TRIỂN TOÀN XÃ HỘI 5 NĂM 2021-2025 THEO NGUỒN VỐN</t>
  </si>
  <si>
    <t>Đơn vị: Tỷ đồng ( giá hiện hành)</t>
  </si>
  <si>
    <t>Nguồn vốn</t>
  </si>
  <si>
    <t>TỔNG SỐ</t>
  </si>
  <si>
    <t>So với GDP theo chỉ tiêu Đại hội Đảng các cấp</t>
  </si>
  <si>
    <t>Tốc độ tăng</t>
  </si>
  <si>
    <t>So với GRDP theo quy đổi theo Chỉ thị số 22/CT-TTg</t>
  </si>
  <si>
    <t>Vốn đầu tư thuộc ngân sách nhà nước</t>
  </si>
  <si>
    <t>So với tổng số</t>
  </si>
  <si>
    <t>Vốn trái phiếu Chính phủ</t>
  </si>
  <si>
    <t>Vốn tín dụng đầu tư nhà nước</t>
  </si>
  <si>
    <t>Vốn đầu tư của doanh nghiệp nhà nước</t>
  </si>
  <si>
    <t>Vốn đầu tư của dân cư và doanh nghiệp tư nhân</t>
  </si>
  <si>
    <t>Biểu số 10</t>
  </si>
  <si>
    <t xml:space="preserve"> KẾ HOẠCH ĐẦU TƯ NGUỒN NGÂN SÁCH NHÀ NƯỚC VÀ TRÁI PHIẾU CHÍNH PHỦ PHÂN 
THEO NGÀNH, LĨNH VỰC 5 NĂM 2021-2025</t>
  </si>
  <si>
    <t>Đơn vị: Triệu đồng ( giá hiện hành)</t>
  </si>
  <si>
    <t>Ngành, lĩnh vực</t>
  </si>
  <si>
    <t>CÁC KHOẢN CHI CHUNG</t>
  </si>
  <si>
    <t>- Bổ sung các Quỹ xúc tiến thương mại, đầu tư, du lịch và góp vốn cổ phần các tổ chức tài chính quốc tế</t>
  </si>
  <si>
    <t>- Bổ sung vốn cho các doanh nghiệp công ích và doanh nghiệp của khu kinh tế quốc phòng</t>
  </si>
  <si>
    <t>- Bù lãi suất tín dụng đầu tư và tín dụng chính sách xã hội</t>
  </si>
  <si>
    <t>Cho vay giải quyết việc làm</t>
  </si>
  <si>
    <t>- Lợi nhuận để lại đầu tư của Tập đoàn Dầu khí</t>
  </si>
  <si>
    <t>- Cho vay chính sách hộ đồng bào dân tộc thiểu số đặc biệt khó khăn, nhà ở cho người nghèo, cho vay hộ đồng bào nghèo vùng Đồng bằng Sông Cửu Long,...</t>
  </si>
  <si>
    <t>- Vốn điều lệ: Quỹ hợp tác xã</t>
  </si>
  <si>
    <t>- Chi bổ sung dự trữ nhà nước</t>
  </si>
  <si>
    <t>Lĩnh vực kinh tế</t>
  </si>
  <si>
    <t>Tỷ trọng so với tổng số (%)</t>
  </si>
  <si>
    <t>Công nghiệp</t>
  </si>
  <si>
    <t>Nông, lâm nghiệp và thủy sản</t>
  </si>
  <si>
    <t>Giao thông vận tải</t>
  </si>
  <si>
    <t>Thông tin và truyền thông</t>
  </si>
  <si>
    <t>Kho tàng</t>
  </si>
  <si>
    <t>Lĩnh vực xã hội</t>
  </si>
  <si>
    <t>Cấp nước và xử lý rác thải, nước thải</t>
  </si>
  <si>
    <t>Khoa học, công nghệ</t>
  </si>
  <si>
    <t>Tài nguyên và Môi trường</t>
  </si>
  <si>
    <t>Giáo dục và đào tạo</t>
  </si>
  <si>
    <t>Y tế</t>
  </si>
  <si>
    <t>Xã hội</t>
  </si>
  <si>
    <t>Văn hoá</t>
  </si>
  <si>
    <t>Thể thao</t>
  </si>
  <si>
    <t>Quản lý nhà nước</t>
  </si>
  <si>
    <t>Quốc phòng</t>
  </si>
  <si>
    <t>An ninh</t>
  </si>
  <si>
    <t>CÂN ĐỐI NGÂN SÁCH NHÀ NƯỚC 5 NĂM 2021-2025</t>
  </si>
  <si>
    <t>THU NSNN TRÊN ĐỊA BÀN</t>
  </si>
  <si>
    <t>Thu nội địa</t>
  </si>
  <si>
    <t>Tỷ trọng thu nội địa trên tổng thu NSNN</t>
  </si>
  <si>
    <t>Thu từ xuất, nhập khẩu</t>
  </si>
  <si>
    <t>Tỷ trọng thu từ xuất, nhập khẩu trên tổng thu NSNN</t>
  </si>
  <si>
    <t>Thu viện trợ không hoàn lại và quỹ dự trữ tài chính</t>
  </si>
  <si>
    <t>Tỷ trọng thu viện trợ trên tổng thu NSNN</t>
  </si>
  <si>
    <t>Thu bổ sung từ ngân sách cấp trên</t>
  </si>
  <si>
    <t>Tỷ trọng thu bổ sung từ ngân sách cấp trên trên tổng thu NSNN</t>
  </si>
  <si>
    <t>Thu chuyển nguồn</t>
  </si>
  <si>
    <t>Tỷ trọng thu từ chuyển nguồn trên tổng thu NSNN</t>
  </si>
  <si>
    <t>Thu kết dư</t>
  </si>
  <si>
    <t>Tỷ trọng thu từ kết dư trên tổng thu NSNN</t>
  </si>
  <si>
    <t>TỔNG CHI NSNN</t>
  </si>
  <si>
    <t>Chi thường xuyên</t>
  </si>
  <si>
    <t>Tỷ trọng chi thường xuyên so với tổng chi</t>
  </si>
  <si>
    <t>Chi đầu tư phát triển</t>
  </si>
  <si>
    <t>Tỷ trọng chi đầu tư phát triển so với tổng chi</t>
  </si>
  <si>
    <t>Chi bổ sung quỹ dự trữ tài chính</t>
  </si>
  <si>
    <t>Chi dự phòng</t>
  </si>
  <si>
    <t>Chi chương trình mục tiêu</t>
  </si>
  <si>
    <t>Chi quản lý qua ngân sách</t>
  </si>
  <si>
    <t>Chi từ nguồn vốn vay</t>
  </si>
  <si>
    <t>Chi chuyển nguồn</t>
  </si>
  <si>
    <t>Chi từ nguồn huy động đóng góp</t>
  </si>
  <si>
    <t>Chi nộp ngân sách cấp trên</t>
  </si>
  <si>
    <t>TÌNH HÌNH THỰC HIỆN TÌNH HÌNH PHÁT TRIỂN KINH TẾ TẬP THỂ 5 NĂM 2016-2020</t>
  </si>
  <si>
    <t>Hợp tác xã</t>
  </si>
  <si>
    <t>Tổng số hợp tác xã</t>
  </si>
  <si>
    <t>HTX</t>
  </si>
  <si>
    <t>Tổng số thành viên hợp tác xã</t>
  </si>
  <si>
    <t>Tổng số lao động trong hợp tác xã</t>
  </si>
  <si>
    <t>Trong đó: Số lao động là thành viên hợp tác xã</t>
  </si>
  <si>
    <t>Tổ hợp tác</t>
  </si>
  <si>
    <t>Tổng số tổ hợp tác</t>
  </si>
  <si>
    <t>Trong đó: Số tổ hợp tác đăng ký chứng thực</t>
  </si>
  <si>
    <t>Tổng số thành viên tổ hợp tác</t>
  </si>
  <si>
    <t>Thành viên</t>
  </si>
  <si>
    <t>Trong đó: Số thành viên của tổ hợp tác đăng ký chứng thực</t>
  </si>
  <si>
    <t>Tổng số lao động trong tổ hợp tác</t>
  </si>
  <si>
    <t xml:space="preserve"> - Số lao động là thành viên THT</t>
  </si>
  <si>
    <t xml:space="preserve"> - Số lao động là thành viên của tổ hợp tác đăng ký chứng thực</t>
  </si>
  <si>
    <t>Biểu mẫu số 13</t>
  </si>
  <si>
    <t>DANH MỤC CÁC CÔNG TRÌNH TRỌNG ĐIỂM ƯU TIÊN ĐẦU TƯ GIAI ĐOẠN 2021-2025</t>
  </si>
  <si>
    <t>Danh mục dự án</t>
  </si>
  <si>
    <t>Địa điểm</t>
  </si>
  <si>
    <t>Năng lực thiết kế</t>
  </si>
  <si>
    <t>Tổng mức đầu tư dự kiến (Triệu đồng)</t>
  </si>
  <si>
    <t>Ngành Giao thông</t>
  </si>
  <si>
    <t xml:space="preserve"> Nâng cấp đường giao thông Pa Tần - Mường Tè</t>
  </si>
  <si>
    <t>Huyện Mường Tè</t>
  </si>
  <si>
    <t>76 Km</t>
  </si>
  <si>
    <t>Nâng cấp đường Thị trấn - Pắc Ma - Mường Nhé</t>
  </si>
  <si>
    <t>90 km</t>
  </si>
  <si>
    <t>Nâng cấp đường  Pắc Ma - Thu Lũm - U Ma Tu Khòong</t>
  </si>
  <si>
    <t>65 Km</t>
  </si>
  <si>
    <t>Cầu nối trung tâm hành chính huyện</t>
  </si>
  <si>
    <t xml:space="preserve">Thị trấn </t>
  </si>
  <si>
    <t>120m</t>
  </si>
  <si>
    <t>Mặt đường, thoát nước đường đến trung tâm xã Tá Bạ</t>
  </si>
  <si>
    <t>Xã Tá Bạ</t>
  </si>
  <si>
    <t>15,5km</t>
  </si>
  <si>
    <t>Nâng cấp mặt đường, thoát nước đường đến trung tâm xã Pa Ủ</t>
  </si>
  <si>
    <t>Xã Pa Ủ</t>
  </si>
  <si>
    <t>26km</t>
  </si>
  <si>
    <t>Nâng cấp mặt đường, thoát nước đường đến trung tâm xã Pa Vệ Sủ</t>
  </si>
  <si>
    <t>Xã Pa Vệ Sủ</t>
  </si>
  <si>
    <t>23km</t>
  </si>
  <si>
    <t>Nâng cấp mặt đường, thoát nước đường đến trung tâm xã Bum Tở</t>
  </si>
  <si>
    <t>Xã Bum Tở</t>
  </si>
  <si>
    <t>2km</t>
  </si>
  <si>
    <t>Nâng cấp mặt đường, thoát nước đường đến trung tâm xã Vàng San</t>
  </si>
  <si>
    <t>Xã Vàng San</t>
  </si>
  <si>
    <t>9,5km</t>
  </si>
  <si>
    <t>Nâng cấp mặt đường, thoát nước đường Tá Bạ- Lè Giằng</t>
  </si>
  <si>
    <t>19,5km</t>
  </si>
  <si>
    <t>Nâng cấp mặt đường, thoát nước đường Mù Cả - Gò Cứ</t>
  </si>
  <si>
    <t>Xã Mù Cả</t>
  </si>
  <si>
    <t>15 km</t>
  </si>
  <si>
    <t>Nâng cấp mặt đường, thoát nước đường Cao Chải - Nậm Ngà</t>
  </si>
  <si>
    <t>Xã Tà Tổng</t>
  </si>
  <si>
    <t>17,5 km</t>
  </si>
  <si>
    <t>Đường Nậm Ngà - Nậm Trà</t>
  </si>
  <si>
    <t>19 km</t>
  </si>
  <si>
    <t>Đường tuần tra Biên giới</t>
  </si>
  <si>
    <t>55km</t>
  </si>
  <si>
    <t>Ngành Nông nghiệp</t>
  </si>
  <si>
    <t>II.1</t>
  </si>
  <si>
    <t>Công trình thuỷ lợi</t>
  </si>
  <si>
    <t>Nâng cấp thủy lợi Nậm Ma Nọi</t>
  </si>
  <si>
    <t>xã Mường Tè</t>
  </si>
  <si>
    <t>120 ha</t>
  </si>
  <si>
    <t xml:space="preserve"> Cụm thủy lợi Lè Giằng</t>
  </si>
  <si>
    <t>xã  Tá Bạ</t>
  </si>
  <si>
    <t>60 ha</t>
  </si>
  <si>
    <t>Nâng cấp thủy lợi Mò Phì</t>
  </si>
  <si>
    <t>xã Mù Cả</t>
  </si>
  <si>
    <t>Nâng cấp thủy lợi Nậm Hản</t>
  </si>
  <si>
    <t>40 ha</t>
  </si>
  <si>
    <t>Cụm thủy lợi Nậm Ngà</t>
  </si>
  <si>
    <t>xã Tà Tổng</t>
  </si>
  <si>
    <t>50 ha</t>
  </si>
  <si>
    <t>Cụm thủy lợi Pa Ủ</t>
  </si>
  <si>
    <t>xã Pa Ủ</t>
  </si>
  <si>
    <t>Cụm thủy lợi Sín Chải</t>
  </si>
  <si>
    <t>xã Pa Vệ Sủ</t>
  </si>
  <si>
    <t>45 ha</t>
  </si>
  <si>
    <t>Cụm thủy lợi Nậm Xuổng</t>
  </si>
  <si>
    <t>xã Vàng San</t>
  </si>
  <si>
    <t>55 ha</t>
  </si>
  <si>
    <t>II.2</t>
  </si>
  <si>
    <t>Hệ thống nước sạch</t>
  </si>
  <si>
    <t>Hệ thống nước sạch Pắc Ma</t>
  </si>
  <si>
    <t>Hệ thống nước sạch trung tâm Mé Gióng xã Ka Lăng</t>
  </si>
  <si>
    <t>Xã Ka Lăng</t>
  </si>
  <si>
    <t>Hệ thống nước sạch trung tâm Nậm Củm xã Mường Tè</t>
  </si>
  <si>
    <t>Xã Mường Tè</t>
  </si>
  <si>
    <t>Hệ thống nước sạch xã Bum Nưa</t>
  </si>
  <si>
    <t>Xã Bum Nưa</t>
  </si>
  <si>
    <t>II.3</t>
  </si>
  <si>
    <t xml:space="preserve">Công kè chắn lũ bảo vệ sông suối biên giới, khu dân cư </t>
  </si>
  <si>
    <t>Kè sông suối Nà Phầy, Vàng San, Pắc Pạ</t>
  </si>
  <si>
    <t>Kè bảo vệ dân cư và các công trình công cộng suối Nậm Ma khu vực bản Gò Cứ</t>
  </si>
  <si>
    <t>Kè sông suối biên giới mốc 16(2)- 17(1)</t>
  </si>
  <si>
    <t>1,5 km</t>
  </si>
  <si>
    <t>Kè suối Nậm Bum</t>
  </si>
  <si>
    <t>1,9 km</t>
  </si>
  <si>
    <t>Công trình công cộng</t>
  </si>
  <si>
    <t>Nhà hợp khối trung tâm chính trị, hành chính huỵện</t>
  </si>
  <si>
    <t>Thị Trấn</t>
  </si>
  <si>
    <t>5000 m2</t>
  </si>
  <si>
    <t>Cụm trường học (THPT-THCS-TH) thị trấn</t>
  </si>
  <si>
    <t>Nhà thi đấu đa chức năng huyện</t>
  </si>
  <si>
    <t xml:space="preserve"> 100 m2</t>
  </si>
  <si>
    <t>Điện chiếu sáng</t>
  </si>
  <si>
    <t>Xây dựng đường dây, trạm 220 KV (TT Mường Tè - Pắc Ma)</t>
  </si>
  <si>
    <t>1 ct</t>
  </si>
  <si>
    <t>Xây dựng đường dây 110 KV</t>
  </si>
  <si>
    <t>toàn huyện</t>
  </si>
  <si>
    <t>Xây dựng trạm biến áp 110/35KV</t>
  </si>
  <si>
    <t>Xây dựng mạng lưới điện trong xã</t>
  </si>
  <si>
    <t>13 xã</t>
  </si>
  <si>
    <t xml:space="preserve">V </t>
  </si>
  <si>
    <t>Chương trình mục tiêu và các Đề án</t>
  </si>
  <si>
    <t xml:space="preserve"> Chương trình mục tiêu quốc gia về xây dựng nông thôn mới</t>
  </si>
  <si>
    <t>Chương trình giảm nghèo bề vững</t>
  </si>
  <si>
    <t xml:space="preserve"> -Đề án thực hiện NQ 30A</t>
  </si>
  <si>
    <t xml:space="preserve"> -Giảm nghèo các xã ĐBKK</t>
  </si>
  <si>
    <t xml:space="preserve"> 14 xã</t>
  </si>
  <si>
    <t xml:space="preserve"> Đề án dân tộc La Hủ</t>
  </si>
  <si>
    <t>Giá trị sản xuất các ngành, lĩnh vực</t>
  </si>
  <si>
    <t xml:space="preserve"> - Nông, lâm nghiệp và thuỷ sản</t>
  </si>
  <si>
    <t xml:space="preserve"> - Công nghiệp và xây dựng</t>
  </si>
  <si>
    <t xml:space="preserve"> - Dịch vụ</t>
  </si>
  <si>
    <t>Thu nhập bình quân đầu người/năm</t>
  </si>
  <si>
    <t>Bình quân lương thực/đầu người/năm</t>
  </si>
  <si>
    <t>Kg</t>
  </si>
  <si>
    <t xml:space="preserve"> - Tiêu chí bình quân/xã</t>
  </si>
  <si>
    <t>tiêu chí</t>
  </si>
  <si>
    <t>Thu NSNN trên địa bàn</t>
  </si>
  <si>
    <t>Hạ tầng Giao thông - Điện lưới</t>
  </si>
  <si>
    <t xml:space="preserve"> - Tỷ lệ xã có đường ô tô đến trung tâm xã, có mặt đường cứng hóa</t>
  </si>
  <si>
    <t xml:space="preserve"> - Tỷ lệ số bản có đường xe máy, ô tô đi lại thuận lợi</t>
  </si>
  <si>
    <t xml:space="preserve"> - Tỷ lệ hộ được sử dụng điện lưới quốc gia </t>
  </si>
  <si>
    <t>Giáo dục</t>
  </si>
  <si>
    <t xml:space="preserve"> - Giữ vững và nâng cao chất lượng phổ cập giáo dục mầm non cho trẻ 5 tuổi, phổ cập giáo dục tiểu học, phổ cập gáo dục trung học</t>
  </si>
  <si>
    <t>Trong đó: + Cấp mầm non</t>
  </si>
  <si>
    <t xml:space="preserve">                + Cấp Tiểu học</t>
  </si>
  <si>
    <t xml:space="preserve">                + Cấp THCS</t>
  </si>
  <si>
    <t xml:space="preserve">                + Cấp THPT</t>
  </si>
  <si>
    <t xml:space="preserve"> - Tỷ lệ xã đạt tiêu chí quốc gia về y tế</t>
  </si>
  <si>
    <t xml:space="preserve"> - Số bác sỹ/vạn dân</t>
  </si>
  <si>
    <t>1/10000</t>
  </si>
  <si>
    <t xml:space="preserve"> - Tỷ lệ tăng dân số</t>
  </si>
  <si>
    <t xml:space="preserve"> - Tỷ lệ giảm sinh bình quân</t>
  </si>
  <si>
    <t>%o</t>
  </si>
  <si>
    <t>Giảm nghèo</t>
  </si>
  <si>
    <t xml:space="preserve"> - Số lao động được giải quyết việc làm trong năm</t>
  </si>
  <si>
    <t>Người/năm</t>
  </si>
  <si>
    <t xml:space="preserve"> - Số lao động được đào tạo trong năm</t>
  </si>
  <si>
    <t xml:space="preserve"> - Tỷ lệ lao động qua đào tạo</t>
  </si>
  <si>
    <t>Văn hóa</t>
  </si>
  <si>
    <t xml:space="preserve"> - Tỷ lệ hộ gia đình đạt tiêu chuẩn văn hóa</t>
  </si>
  <si>
    <t xml:space="preserve"> - Tỷ lệ thôn, bản, khu phố đạt tiêu chuẩn văn hóa</t>
  </si>
  <si>
    <t xml:space="preserve"> - Tỷ lệ cơ quan, đơn vị, trường học đạt tiêu chuẩn văn hóa</t>
  </si>
  <si>
    <t>- Diện tích nhà ở bình quân sàn/người</t>
  </si>
  <si>
    <t xml:space="preserve"> m2 </t>
  </si>
  <si>
    <t xml:space="preserve"> Trong đó: + Diện tích nhà ở bình quân tại đô thị</t>
  </si>
  <si>
    <t>+ Diện tích nhà ở bình quân tại nông thôn</t>
  </si>
  <si>
    <t xml:space="preserve"> - Trồng  rừng mới</t>
  </si>
  <si>
    <t xml:space="preserve">Dạy nghề (dưới 3 tháng + trung cấp) </t>
  </si>
  <si>
    <t xml:space="preserve"> - Số hợp tác xã thành lập mới</t>
  </si>
  <si>
    <t xml:space="preserve"> - Số hợp tác xã giải thể</t>
  </si>
  <si>
    <t>Triệu viên</t>
  </si>
  <si>
    <t>Rừng trồng</t>
  </si>
  <si>
    <t>Trong đó rừng trồng thành rừng</t>
  </si>
  <si>
    <t xml:space="preserve"> +</t>
  </si>
  <si>
    <t xml:space="preserve"> Người /năm</t>
  </si>
  <si>
    <t>Diện tích tự nhiên</t>
  </si>
  <si>
    <t xml:space="preserve"> - Diện tích cây dược liệu</t>
  </si>
  <si>
    <t>Tốc độ tăng trưởng đàn gia súc</t>
  </si>
  <si>
    <t>Trong đó: Tỷ lệ thôn, bản có đường ô tô đi lại thuận lợi</t>
  </si>
  <si>
    <t>Trong đó:  - Thể nhẹ cân</t>
  </si>
  <si>
    <t xml:space="preserve">                 - Thể thấp còi</t>
  </si>
  <si>
    <t xml:space="preserve"> - Hộ nghèo theo chuẩn nghèo đa chiều</t>
  </si>
  <si>
    <t xml:space="preserve"> - Tỷ lệ thôn, bản, khu phố có nhà văn hóa</t>
  </si>
  <si>
    <t xml:space="preserve"> Tổng số trường học</t>
  </si>
  <si>
    <t xml:space="preserve"> Trường</t>
  </si>
  <si>
    <t xml:space="preserve"> Trong đó: + Trường phổ thông Dân tộc nội trú  tỉnh, huyện</t>
  </si>
  <si>
    <t xml:space="preserve"> - Trường mầm non</t>
  </si>
  <si>
    <t xml:space="preserve"> - Trường phổ thông tiểu học</t>
  </si>
  <si>
    <t xml:space="preserve"> - Trường trung học cơ sở (cấp 2)</t>
  </si>
  <si>
    <t xml:space="preserve"> - Trường trung học phổ thông (cấp 3 + các trường Phổ thông dân tộc nội trú huyện ) </t>
  </si>
  <si>
    <t xml:space="preserve"> - Trung tâm GDNN - GDTX</t>
  </si>
  <si>
    <t xml:space="preserve"> - Trường phổ thông cơ sở (cấp 1; 2)</t>
  </si>
  <si>
    <t>Cây dược liệu</t>
  </si>
  <si>
    <t>- Tỷ lệ học sinh mẫu giáo đến trường</t>
  </si>
  <si>
    <t>- Tỷ lệ tỷ lệ học sinh trong độ tuổi tiểu học đến trường</t>
  </si>
  <si>
    <t>- Tỷ lệ học sinh trong độ tuổi trung học cơ sở đến trường</t>
  </si>
  <si>
    <t>- Tỷ lệ học sinh trong độ tuổi trung học phổ thông đến trường</t>
  </si>
  <si>
    <t>Rừng che phủ</t>
  </si>
  <si>
    <t xml:space="preserve"> - Tỷ lệ hộ nghèo theo chuẩn nghèo đa chiều</t>
  </si>
  <si>
    <t xml:space="preserve"> - Giảm tỷ lệ hộ nghèo theo chuẩn nghèo đa chiều </t>
  </si>
  <si>
    <t>%/năm</t>
  </si>
  <si>
    <t>1000kwh</t>
  </si>
  <si>
    <t>Trồng rừng mới</t>
  </si>
  <si>
    <t>Trồng rừng phòng hộ</t>
  </si>
  <si>
    <t>+</t>
  </si>
  <si>
    <t>++</t>
  </si>
  <si>
    <t>Trồng rừng sản xuất</t>
  </si>
  <si>
    <t xml:space="preserve"> - Tỷ lệ trẻ em dưới 5 tuổi suy dinh dưỡng </t>
  </si>
  <si>
    <t>- Tỷ lệ dân số được quản lý bằng hồ sơ sức khỏe điện tử</t>
  </si>
  <si>
    <t xml:space="preserve">Mục tiêu NQ Đại hội Đảng bộ huyện </t>
  </si>
  <si>
    <t xml:space="preserve">KH 5 năm </t>
  </si>
  <si>
    <t>Thực hiện 5 năm 2021-2025</t>
  </si>
  <si>
    <t>TH 2021</t>
  </si>
  <si>
    <t>TH 2022</t>
  </si>
  <si>
    <t>Ước TH 2023</t>
  </si>
  <si>
    <t>Ước TH 3 năm (2021-2023)</t>
  </si>
  <si>
    <t>Ước TH 2024</t>
  </si>
  <si>
    <t>Ước TH 2025</t>
  </si>
  <si>
    <t>Ước TH giai đoạn 2021-2025</t>
  </si>
  <si>
    <t>So sánh</t>
  </si>
  <si>
    <t xml:space="preserve">Ước TH 3 năm/ KH 2021-2025 </t>
  </si>
  <si>
    <t>Ước TH 5 năm 2021-2025/ KH 2021-2025</t>
  </si>
  <si>
    <t>Thực hiện 5 năm giai đoạn 2021-2025</t>
  </si>
  <si>
    <t>Biểu số 8</t>
  </si>
  <si>
    <t>KH 5 năm</t>
  </si>
  <si>
    <r>
      <t>1000 m</t>
    </r>
    <r>
      <rPr>
        <vertAlign val="superscript"/>
        <sz val="11"/>
        <color theme="1"/>
        <rFont val="Times New Roman"/>
        <family val="1"/>
      </rPr>
      <t>3</t>
    </r>
  </si>
  <si>
    <r>
      <t xml:space="preserve">Tổng diện tích rừng hiện có </t>
    </r>
    <r>
      <rPr>
        <i/>
        <sz val="11"/>
        <color theme="1"/>
        <rFont val="Times New Roman"/>
        <family val="1"/>
      </rPr>
      <t>(Tính cả diện tích rừng trồng chưa thành rừng và rừng cao su)</t>
    </r>
  </si>
  <si>
    <r>
      <t xml:space="preserve">Vốn đầu tư trực tiếp nước ngoài </t>
    </r>
    <r>
      <rPr>
        <b/>
        <vertAlign val="superscript"/>
        <sz val="11"/>
        <rFont val="Times New Roman"/>
        <family val="1"/>
      </rPr>
      <t>(**)</t>
    </r>
  </si>
  <si>
    <t>Tỷ lệ trẻ em dưới 5 tuổi suy dinh dưỡng (cân nặng theo tuổi)</t>
  </si>
  <si>
    <t>Tỷ lệ trẻ em dưới 1 tuổi tiêm đủ 8 loại vaccine</t>
  </si>
  <si>
    <t>Ước TH đến năm 2025</t>
  </si>
  <si>
    <t>Trên 17.400</t>
  </si>
  <si>
    <t>Trên 65,5</t>
  </si>
  <si>
    <t>Trên 33</t>
  </si>
  <si>
    <t>Dưới 19</t>
  </si>
  <si>
    <t>Trên 5</t>
  </si>
  <si>
    <t>Trên 53</t>
  </si>
  <si>
    <t>Trên 80</t>
  </si>
  <si>
    <t>Đạt</t>
  </si>
  <si>
    <t>Mục tiêu NQ HĐND huyện</t>
  </si>
  <si>
    <t>Trên 32</t>
  </si>
  <si>
    <t>Trên 17.800</t>
  </si>
  <si>
    <t>Duy trì 100</t>
  </si>
  <si>
    <t>97% trở lên</t>
  </si>
  <si>
    <t>98% trở lên</t>
  </si>
  <si>
    <t>96% trở lên</t>
  </si>
  <si>
    <t>60% trở lên</t>
  </si>
  <si>
    <t>Trên 55</t>
  </si>
  <si>
    <t>Trên 45</t>
  </si>
  <si>
    <t>Dưới 25</t>
  </si>
  <si>
    <t>Trên 700</t>
  </si>
  <si>
    <t>Trên 600</t>
  </si>
  <si>
    <t>Trên 60</t>
  </si>
  <si>
    <t>Trên 66</t>
  </si>
  <si>
    <t>Trên 97</t>
  </si>
  <si>
    <t>Trên 64</t>
  </si>
  <si>
    <r>
      <t xml:space="preserve">Giá trị sản xuất các ngành </t>
    </r>
    <r>
      <rPr>
        <b/>
        <i/>
        <sz val="10"/>
        <rFont val="Times New Roman"/>
        <family val="1"/>
      </rPr>
      <t>(giá hiện hành)</t>
    </r>
  </si>
  <si>
    <t>Về Môi trường</t>
  </si>
  <si>
    <t>VỀ KINH TẾ</t>
  </si>
  <si>
    <t xml:space="preserve"> CHỈ TIÊU XÃ HỘI - VĂN HÓA</t>
  </si>
  <si>
    <t>VỀ MÔI TRƯỜNG</t>
  </si>
  <si>
    <t>Tỷ lệ dân số đô thị được sử dụng nước sạch</t>
  </si>
  <si>
    <t xml:space="preserve"> Tỷ lệ dân số nông thôn được sử dụng nước hợp vệ sinh</t>
  </si>
  <si>
    <t>TH 2023</t>
  </si>
  <si>
    <t>Vượt</t>
  </si>
  <si>
    <t>Chưa đạt</t>
  </si>
  <si>
    <t>Bình quân 61 tỷ đồng/năm</t>
  </si>
  <si>
    <t>Triệu đồng/người/năm</t>
  </si>
  <si>
    <r>
      <t>Cơ cấu các ngành kinh tế</t>
    </r>
    <r>
      <rPr>
        <b/>
        <i/>
        <sz val="12"/>
        <rFont val="Times New Roman"/>
        <family val="1"/>
      </rPr>
      <t xml:space="preserve"> </t>
    </r>
    <r>
      <rPr>
        <b/>
        <i/>
        <sz val="11"/>
        <rFont val="Times New Roman"/>
        <family val="1"/>
      </rPr>
      <t>(giá hiện hành)</t>
    </r>
  </si>
  <si>
    <t xml:space="preserve"> Số xã đạt chuẩn nông thôn mới</t>
  </si>
  <si>
    <t xml:space="preserve"> - Xã NTM kiểu mẫu</t>
  </si>
  <si>
    <t xml:space="preserve"> - Bản NTM kiểu mẫu</t>
  </si>
  <si>
    <t xml:space="preserve"> - Số xã công nhận đạt chuẩn NTM trong năm</t>
  </si>
  <si>
    <t>- Số xã đạt chuẩn tiêu chí quốc gia về y tế xã</t>
  </si>
  <si>
    <t xml:space="preserve">Phụ lục </t>
  </si>
  <si>
    <t>KẾT QUẢ THỰC HIỆN MỘT SỐ CHỈ TIÊU CHỦ YẾU 
KẾ HOẠCH PHÁT TRIỂN KINH TẾ - XÃ HỘI 5 NĂM 2021-2025</t>
  </si>
  <si>
    <t>Bình quân giải quyết việc làm cho 801 người/năm, vượt mục tiêu Nghị quyết</t>
  </si>
  <si>
    <t>Bình quân đào tạo nghề cho 1.122 người/năm, vượt mục tiêu Nghị quyết</t>
  </si>
  <si>
    <t>Bình quân đạt 58,1 tỷ đổng/năm, chưa đạt mục tiêu Nghị quyết</t>
  </si>
  <si>
    <t>Thực hiện 6 tháng năm 2024</t>
  </si>
  <si>
    <t>Thực hiện năm 2021</t>
  </si>
  <si>
    <t>Thực hiện năm 2022</t>
  </si>
  <si>
    <t>Thực hiện năm 2023</t>
  </si>
  <si>
    <t>Ước thực hiện năm 2024</t>
  </si>
  <si>
    <t>So sánh ước thực hiện 4 năm/ Mục tiêu Nghị quyết Đại hội Đảng bộ</t>
  </si>
  <si>
    <t>VỀ XÂY DỰNG ĐẢNG, HỆ THỐNG CHÍNH TRỊ</t>
  </si>
  <si>
    <t>Kết nạp mới đảng viên</t>
  </si>
  <si>
    <t>Đảng viên/năm</t>
  </si>
  <si>
    <t>Số TCCSĐ hoàn thành tốt nhiệm vụ</t>
  </si>
  <si>
    <t xml:space="preserve"> Trên 85 </t>
  </si>
  <si>
    <t xml:space="preserve"> Đạt </t>
  </si>
  <si>
    <t xml:space="preserve">Đảng viên hoàn thành tốt nhiệm vụ </t>
  </si>
  <si>
    <t xml:space="preserve"> Trên 95 </t>
  </si>
  <si>
    <t>Tổ chức chính quyền, MTTQ và các đoàn thể đạt mức khá và tốt</t>
  </si>
  <si>
    <t xml:space="preserve"> Trên 80 </t>
  </si>
  <si>
    <t>VỀ QUỐC PHÒNG - AN NINH</t>
  </si>
  <si>
    <t>Tỷ lệ xã đạt tiêu chuẩn vững mạnh về QP - AN</t>
  </si>
  <si>
    <t>Tuyển quân</t>
  </si>
  <si>
    <t>Trên 85</t>
  </si>
  <si>
    <t>Trên 95</t>
  </si>
  <si>
    <t>Không đạt</t>
  </si>
  <si>
    <t>(Kèm theo Báo cáo số 545-BC/HU, ngày 02/10/2024 của BTV Huyện ủy)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</si>
</sst>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3" formatCode="_(* #,##0.00_);_(* \(#,##0.00\);_(* &quot;-&quot;??_);_(@_)"/>
    <numFmt numFmtId="164" formatCode="_-* #,##0.00\ _₫_-;\-* #,##0.00\ _₫_-;_-* &quot;-&quot;??\ _₫_-;_-@_-"/>
    <numFmt numFmtId="165" formatCode="_-* #,##0_-;\-* #,##0_-;_-* &quot;-&quot;_-;_-@_-"/>
    <numFmt numFmtId="166" formatCode="_-* #,##0.00_-;\-* #,##0.00_-;_-* &quot;-&quot;??_-;_-@_-"/>
    <numFmt numFmtId="167" formatCode="_-* #,##0.0\ _₫_-;\-* #,##0.0\ _₫_-;_-* &quot;-&quot;??\ _₫_-;_-@_-"/>
    <numFmt numFmtId="168" formatCode="_-* #,##0\ _₫_-;\-* #,##0\ _₫_-;_-* &quot;-&quot;??\ _₫_-;_-@_-"/>
    <numFmt numFmtId="169" formatCode="0.0"/>
    <numFmt numFmtId="170" formatCode="_(* #,##0.0_);_(* \(#,##0.0\);_(* &quot;-&quot;??_);_(@_)"/>
    <numFmt numFmtId="171" formatCode="_-* #,##0.0\ _₫_-;\-* #,##0.0\ _₫_-;_-* &quot;-&quot;?\ _₫_-;_-@_-"/>
    <numFmt numFmtId="172" formatCode="_(* #,##0_);_(* \(#,##0\);_(* &quot;-&quot;??_);_(@_)"/>
    <numFmt numFmtId="173" formatCode="_-* #,##0.0_-;\-* #,##0.0_-;_-* &quot;-&quot;_-;_-@_-"/>
    <numFmt numFmtId="174" formatCode="_-* #,##0.0_-;\-* #,##0.0_-;_-* &quot;-&quot;?_-;_-@_-"/>
    <numFmt numFmtId="175" formatCode="_-* #,##0_-;\-* #,##0_-;_-* &quot;-&quot;?_-;_-@_-"/>
    <numFmt numFmtId="176" formatCode="_-* #,##0.00_-;\-* #,##0.00_-;_-* &quot;-&quot;_-;_-@_-"/>
    <numFmt numFmtId="177" formatCode="_-* #,##0.0000_-;\-* #,##0.0000_-;_-* &quot;-&quot;_-;_-@_-"/>
  </numFmts>
  <fonts count="6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i/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i/>
      <sz val="11"/>
      <color theme="1"/>
      <name val="Calibri"/>
      <family val="2"/>
      <scheme val="minor"/>
    </font>
    <font>
      <b/>
      <i/>
      <sz val="12"/>
      <color theme="1"/>
      <name val="Times New Roman"/>
      <family val="1"/>
    </font>
    <font>
      <b/>
      <i/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b/>
      <sz val="10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sz val="10"/>
      <color rgb="FF002060"/>
      <name val="Calibri"/>
      <family val="2"/>
      <scheme val="minor"/>
    </font>
    <font>
      <i/>
      <sz val="11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sz val="11"/>
      <name val="Calibri"/>
      <family val="2"/>
      <scheme val="minor"/>
    </font>
    <font>
      <b/>
      <i/>
      <sz val="12"/>
      <name val="Times New Roman"/>
      <family val="1"/>
    </font>
    <font>
      <b/>
      <i/>
      <sz val="11"/>
      <color theme="1"/>
      <name val="Times New Roman"/>
      <family val="1"/>
    </font>
    <font>
      <i/>
      <sz val="10"/>
      <color theme="1"/>
      <name val="Times New Roman"/>
      <family val="1"/>
    </font>
    <font>
      <sz val="12"/>
      <name val=".VnTime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name val="Times New Roman"/>
      <family val="1"/>
    </font>
    <font>
      <sz val="11"/>
      <color rgb="FF000000"/>
      <name val="Times New Roman"/>
      <family val="1"/>
    </font>
    <font>
      <i/>
      <sz val="11"/>
      <color rgb="FF000000"/>
      <name val="Times New Roman"/>
      <family val="1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0"/>
      <name val="Times New Roman"/>
      <family val="1"/>
    </font>
    <font>
      <b/>
      <sz val="14"/>
      <color theme="1"/>
      <name val="Times New Roman"/>
      <family val="1"/>
    </font>
    <font>
      <i/>
      <sz val="14"/>
      <color theme="1"/>
      <name val="Times New Roman"/>
      <family val="1"/>
    </font>
    <font>
      <sz val="12"/>
      <color rgb="FF000000"/>
      <name val=".VnTime"/>
      <family val="2"/>
    </font>
    <font>
      <vertAlign val="superscript"/>
      <sz val="11"/>
      <color theme="1"/>
      <name val="Times New Roman"/>
      <family val="1"/>
    </font>
    <font>
      <sz val="11"/>
      <color rgb="FFFF0000"/>
      <name val="Times New Roman"/>
      <family val="1"/>
    </font>
    <font>
      <b/>
      <sz val="11"/>
      <color rgb="FFFF0000"/>
      <name val="Times New Roman"/>
      <family val="1"/>
    </font>
    <font>
      <sz val="11"/>
      <color rgb="FF0000FF"/>
      <name val="Times New Roman"/>
      <family val="1"/>
    </font>
    <font>
      <b/>
      <vertAlign val="superscript"/>
      <sz val="11"/>
      <name val="Times New Roman"/>
      <family val="1"/>
    </font>
    <font>
      <b/>
      <i/>
      <sz val="10"/>
      <name val="Times New Roman"/>
      <family val="1"/>
    </font>
    <font>
      <sz val="10"/>
      <name val="Times New Roman"/>
      <family val="1"/>
    </font>
    <font>
      <b/>
      <i/>
      <sz val="11"/>
      <name val="Times New Roman"/>
      <family val="1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0"/>
      <name val="Calibri"/>
      <family val="2"/>
      <scheme val="minor"/>
    </font>
    <font>
      <sz val="14"/>
      <color theme="0"/>
      <name val="Times New Roman"/>
      <family val="1"/>
    </font>
    <font>
      <i/>
      <sz val="11"/>
      <color theme="0"/>
      <name val="Calibri"/>
      <family val="2"/>
      <scheme val="minor"/>
    </font>
    <font>
      <sz val="11"/>
      <color theme="0"/>
      <name val="Times New Roman"/>
      <family val="1"/>
    </font>
    <font>
      <b/>
      <sz val="13"/>
      <color theme="1"/>
      <name val="Times New Roman"/>
      <family val="1"/>
    </font>
    <font>
      <i/>
      <sz val="13"/>
      <color theme="1"/>
      <name val="Times New Roman"/>
      <family val="1"/>
    </font>
    <font>
      <b/>
      <sz val="11"/>
      <color rgb="FF0000FF"/>
      <name val="Times New Roman"/>
      <family val="1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auto="1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hair">
        <color rgb="FF000000"/>
      </top>
      <bottom style="hair">
        <color rgb="FF000000"/>
      </bottom>
      <diagonal/>
    </border>
    <border>
      <left style="thin">
        <color auto="1"/>
      </left>
      <right style="thin">
        <color auto="1"/>
      </right>
      <top style="hair">
        <color rgb="FF000000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rgb="FF000000"/>
      </left>
      <right style="thin">
        <color rgb="FF000000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</borders>
  <cellStyleXfs count="8">
    <xf numFmtId="0" fontId="0" fillId="0" borderId="0"/>
    <xf numFmtId="164" fontId="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4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42" fillId="0" borderId="0" applyFont="0" applyFill="0" applyBorder="0" applyAlignment="0" applyProtection="0"/>
  </cellStyleXfs>
  <cellXfs count="576">
    <xf numFmtId="0" fontId="0" fillId="0" borderId="0" xfId="0"/>
    <xf numFmtId="0" fontId="6" fillId="0" borderId="0" xfId="0" applyFont="1" applyAlignment="1">
      <alignment wrapText="1"/>
    </xf>
    <xf numFmtId="0" fontId="6" fillId="0" borderId="0" xfId="0" applyFont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right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0" xfId="0" applyFont="1"/>
    <xf numFmtId="0" fontId="10" fillId="0" borderId="0" xfId="0" applyFont="1" applyAlignment="1">
      <alignment vertical="center"/>
    </xf>
    <xf numFmtId="0" fontId="6" fillId="0" borderId="4" xfId="0" applyFont="1" applyBorder="1" applyAlignment="1">
      <alignment wrapText="1"/>
    </xf>
    <xf numFmtId="0" fontId="6" fillId="0" borderId="0" xfId="0" applyFont="1"/>
    <xf numFmtId="0" fontId="6" fillId="0" borderId="3" xfId="0" applyFont="1" applyBorder="1" applyAlignment="1">
      <alignment wrapText="1"/>
    </xf>
    <xf numFmtId="0" fontId="12" fillId="0" borderId="0" xfId="0" applyFont="1"/>
    <xf numFmtId="0" fontId="6" fillId="0" borderId="4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5" fillId="0" borderId="0" xfId="0" applyFont="1"/>
    <xf numFmtId="0" fontId="0" fillId="0" borderId="0" xfId="0" applyFont="1" applyAlignment="1">
      <alignment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2" xfId="0" applyFont="1" applyBorder="1" applyAlignment="1">
      <alignment vertical="center"/>
    </xf>
    <xf numFmtId="0" fontId="14" fillId="0" borderId="3" xfId="0" applyFont="1" applyBorder="1" applyAlignment="1">
      <alignment vertical="center"/>
    </xf>
    <xf numFmtId="168" fontId="14" fillId="0" borderId="3" xfId="1" applyNumberFormat="1" applyFont="1" applyBorder="1" applyAlignment="1">
      <alignment horizontal="right" vertical="center"/>
    </xf>
    <xf numFmtId="167" fontId="14" fillId="0" borderId="3" xfId="1" applyNumberFormat="1" applyFont="1" applyBorder="1" applyAlignment="1">
      <alignment horizontal="right" vertical="center"/>
    </xf>
    <xf numFmtId="0" fontId="14" fillId="0" borderId="3" xfId="0" applyFont="1" applyBorder="1" applyAlignment="1">
      <alignment horizontal="right" vertical="center"/>
    </xf>
    <xf numFmtId="167" fontId="13" fillId="0" borderId="3" xfId="1" applyNumberFormat="1" applyFont="1" applyBorder="1" applyAlignment="1">
      <alignment horizontal="right" vertical="center" wrapText="1"/>
    </xf>
    <xf numFmtId="167" fontId="14" fillId="0" borderId="3" xfId="1" applyNumberFormat="1" applyFont="1" applyBorder="1" applyAlignment="1">
      <alignment horizontal="right" vertical="center" wrapText="1"/>
    </xf>
    <xf numFmtId="167" fontId="9" fillId="0" borderId="3" xfId="1" applyNumberFormat="1" applyFont="1" applyBorder="1" applyAlignment="1">
      <alignment horizontal="right" vertical="center" wrapText="1"/>
    </xf>
    <xf numFmtId="167" fontId="8" fillId="0" borderId="3" xfId="1" applyNumberFormat="1" applyFont="1" applyBorder="1" applyAlignment="1">
      <alignment horizontal="right" vertical="center" wrapText="1"/>
    </xf>
    <xf numFmtId="0" fontId="13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vertical="center" wrapText="1"/>
    </xf>
    <xf numFmtId="0" fontId="13" fillId="0" borderId="2" xfId="0" applyFont="1" applyBorder="1" applyAlignment="1">
      <alignment horizontal="center" vertical="center" wrapText="1"/>
    </xf>
    <xf numFmtId="167" fontId="13" fillId="0" borderId="2" xfId="1" applyNumberFormat="1" applyFont="1" applyBorder="1" applyAlignment="1">
      <alignment vertical="center"/>
    </xf>
    <xf numFmtId="0" fontId="14" fillId="0" borderId="3" xfId="0" applyFont="1" applyBorder="1" applyAlignment="1">
      <alignment horizontal="center" vertical="center"/>
    </xf>
    <xf numFmtId="0" fontId="14" fillId="0" borderId="3" xfId="0" applyFont="1" applyBorder="1" applyAlignment="1">
      <alignment vertical="center" wrapText="1"/>
    </xf>
    <xf numFmtId="0" fontId="14" fillId="0" borderId="3" xfId="0" applyFont="1" applyBorder="1" applyAlignment="1">
      <alignment horizontal="center" vertical="center" wrapText="1"/>
    </xf>
    <xf numFmtId="167" fontId="13" fillId="0" borderId="3" xfId="1" applyNumberFormat="1" applyFont="1" applyBorder="1" applyAlignment="1">
      <alignment vertical="center"/>
    </xf>
    <xf numFmtId="0" fontId="13" fillId="0" borderId="3" xfId="0" applyFont="1" applyBorder="1" applyAlignment="1">
      <alignment vertical="center"/>
    </xf>
    <xf numFmtId="167" fontId="13" fillId="0" borderId="3" xfId="1" applyNumberFormat="1" applyFont="1" applyBorder="1" applyAlignment="1">
      <alignment horizontal="right" vertical="center"/>
    </xf>
    <xf numFmtId="0" fontId="13" fillId="0" borderId="3" xfId="0" applyFont="1" applyBorder="1" applyAlignment="1">
      <alignment horizontal="right" vertical="center"/>
    </xf>
    <xf numFmtId="0" fontId="14" fillId="0" borderId="4" xfId="0" applyFont="1" applyBorder="1" applyAlignment="1">
      <alignment horizontal="center" vertical="center"/>
    </xf>
    <xf numFmtId="0" fontId="14" fillId="0" borderId="4" xfId="0" applyFont="1" applyBorder="1" applyAlignment="1">
      <alignment vertical="center" wrapText="1"/>
    </xf>
    <xf numFmtId="0" fontId="14" fillId="0" borderId="4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 wrapText="1"/>
    </xf>
    <xf numFmtId="167" fontId="16" fillId="0" borderId="0" xfId="1" applyNumberFormat="1" applyFont="1" applyAlignment="1">
      <alignment vertical="center"/>
    </xf>
    <xf numFmtId="0" fontId="16" fillId="0" borderId="0" xfId="0" applyFont="1" applyAlignment="1">
      <alignment vertical="center"/>
    </xf>
    <xf numFmtId="0" fontId="17" fillId="0" borderId="3" xfId="0" applyFont="1" applyBorder="1" applyAlignment="1">
      <alignment horizontal="center" vertical="center"/>
    </xf>
    <xf numFmtId="0" fontId="17" fillId="0" borderId="3" xfId="0" applyFont="1" applyBorder="1" applyAlignment="1">
      <alignment vertical="center" wrapText="1"/>
    </xf>
    <xf numFmtId="0" fontId="17" fillId="0" borderId="3" xfId="0" applyFont="1" applyBorder="1" applyAlignment="1">
      <alignment horizontal="center" vertical="center" wrapText="1"/>
    </xf>
    <xf numFmtId="167" fontId="17" fillId="0" borderId="3" xfId="1" applyNumberFormat="1" applyFont="1" applyBorder="1" applyAlignment="1">
      <alignment horizontal="right" vertical="center"/>
    </xf>
    <xf numFmtId="0" fontId="17" fillId="0" borderId="3" xfId="0" applyFont="1" applyBorder="1" applyAlignment="1">
      <alignment horizontal="right" vertical="center"/>
    </xf>
    <xf numFmtId="0" fontId="11" fillId="0" borderId="0" xfId="0" applyFont="1"/>
    <xf numFmtId="167" fontId="13" fillId="0" borderId="4" xfId="1" applyNumberFormat="1" applyFont="1" applyBorder="1" applyAlignment="1">
      <alignment horizontal="right" vertical="center"/>
    </xf>
    <xf numFmtId="0" fontId="13" fillId="0" borderId="4" xfId="0" applyFont="1" applyBorder="1" applyAlignment="1">
      <alignment horizontal="right" vertical="center"/>
    </xf>
    <xf numFmtId="0" fontId="14" fillId="0" borderId="4" xfId="0" applyFont="1" applyBorder="1" applyAlignment="1">
      <alignment horizontal="right" vertical="center"/>
    </xf>
    <xf numFmtId="168" fontId="14" fillId="0" borderId="3" xfId="1" applyNumberFormat="1" applyFont="1" applyBorder="1" applyAlignment="1">
      <alignment horizontal="right" vertical="center" wrapText="1"/>
    </xf>
    <xf numFmtId="0" fontId="15" fillId="0" borderId="0" xfId="0" applyFont="1" applyAlignment="1">
      <alignment vertical="center"/>
    </xf>
    <xf numFmtId="168" fontId="13" fillId="0" borderId="3" xfId="1" applyNumberFormat="1" applyFont="1" applyBorder="1" applyAlignment="1">
      <alignment horizontal="right" vertical="center" wrapText="1"/>
    </xf>
    <xf numFmtId="167" fontId="18" fillId="0" borderId="0" xfId="1" applyNumberFormat="1" applyFont="1" applyAlignment="1">
      <alignment vertical="center"/>
    </xf>
    <xf numFmtId="0" fontId="18" fillId="0" borderId="0" xfId="0" applyFont="1" applyAlignment="1">
      <alignment vertical="center"/>
    </xf>
    <xf numFmtId="0" fontId="19" fillId="0" borderId="0" xfId="0" applyFont="1"/>
    <xf numFmtId="0" fontId="20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8" fillId="0" borderId="0" xfId="0" applyFont="1" applyAlignment="1">
      <alignment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wrapText="1"/>
    </xf>
    <xf numFmtId="0" fontId="8" fillId="0" borderId="4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wrapText="1"/>
    </xf>
    <xf numFmtId="0" fontId="8" fillId="0" borderId="4" xfId="0" applyFont="1" applyBorder="1" applyAlignment="1">
      <alignment horizontal="center" wrapText="1"/>
    </xf>
    <xf numFmtId="0" fontId="8" fillId="0" borderId="3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21" fillId="0" borderId="3" xfId="0" applyFont="1" applyBorder="1" applyAlignment="1">
      <alignment horizontal="center" vertical="center" wrapText="1"/>
    </xf>
    <xf numFmtId="0" fontId="21" fillId="0" borderId="3" xfId="0" applyFont="1" applyBorder="1" applyAlignment="1">
      <alignment vertical="center" wrapText="1"/>
    </xf>
    <xf numFmtId="0" fontId="21" fillId="0" borderId="4" xfId="0" applyFont="1" applyBorder="1" applyAlignment="1">
      <alignment horizontal="center" vertical="center" wrapText="1"/>
    </xf>
    <xf numFmtId="0" fontId="21" fillId="0" borderId="4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wrapText="1"/>
    </xf>
    <xf numFmtId="167" fontId="9" fillId="0" borderId="2" xfId="1" applyNumberFormat="1" applyFont="1" applyBorder="1" applyAlignment="1">
      <alignment horizontal="right" vertical="center" wrapText="1"/>
    </xf>
    <xf numFmtId="0" fontId="21" fillId="0" borderId="3" xfId="0" applyFont="1" applyBorder="1" applyAlignment="1">
      <alignment wrapText="1"/>
    </xf>
    <xf numFmtId="0" fontId="9" fillId="0" borderId="3" xfId="0" applyFont="1" applyBorder="1" applyAlignment="1">
      <alignment wrapText="1"/>
    </xf>
    <xf numFmtId="164" fontId="21" fillId="0" borderId="3" xfId="1" applyFont="1" applyBorder="1" applyAlignment="1">
      <alignment horizontal="right" vertical="center" wrapText="1"/>
    </xf>
    <xf numFmtId="0" fontId="21" fillId="0" borderId="3" xfId="0" applyFont="1" applyBorder="1" applyAlignment="1">
      <alignment horizontal="right" vertical="center" wrapText="1"/>
    </xf>
    <xf numFmtId="0" fontId="9" fillId="0" borderId="3" xfId="0" applyFont="1" applyBorder="1" applyAlignment="1">
      <alignment horizontal="right" vertical="center" wrapText="1"/>
    </xf>
    <xf numFmtId="0" fontId="8" fillId="0" borderId="0" xfId="0" applyFont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8" fillId="0" borderId="3" xfId="0" applyFont="1" applyBorder="1" applyAlignment="1">
      <alignment horizontal="right" wrapText="1"/>
    </xf>
    <xf numFmtId="0" fontId="8" fillId="0" borderId="4" xfId="0" applyFont="1" applyBorder="1" applyAlignment="1">
      <alignment horizontal="right" wrapText="1"/>
    </xf>
    <xf numFmtId="0" fontId="8" fillId="0" borderId="3" xfId="0" applyFont="1" applyBorder="1" applyAlignment="1">
      <alignment horizontal="right" vertical="center" wrapText="1"/>
    </xf>
    <xf numFmtId="0" fontId="8" fillId="0" borderId="4" xfId="0" applyFont="1" applyBorder="1" applyAlignment="1">
      <alignment horizontal="right" vertical="center" wrapText="1"/>
    </xf>
    <xf numFmtId="0" fontId="9" fillId="0" borderId="2" xfId="0" applyFont="1" applyBorder="1" applyAlignment="1">
      <alignment horizontal="center" wrapText="1"/>
    </xf>
    <xf numFmtId="0" fontId="9" fillId="0" borderId="2" xfId="0" applyFont="1" applyBorder="1" applyAlignment="1">
      <alignment vertical="center" wrapText="1"/>
    </xf>
    <xf numFmtId="164" fontId="8" fillId="0" borderId="3" xfId="1" applyFont="1" applyBorder="1" applyAlignment="1">
      <alignment horizontal="right" vertical="center" wrapText="1"/>
    </xf>
    <xf numFmtId="0" fontId="9" fillId="0" borderId="3" xfId="0" applyFont="1" applyBorder="1" applyAlignment="1">
      <alignment horizontal="center" wrapText="1"/>
    </xf>
    <xf numFmtId="168" fontId="8" fillId="0" borderId="3" xfId="1" applyNumberFormat="1" applyFont="1" applyBorder="1" applyAlignment="1">
      <alignment horizontal="right" wrapText="1"/>
    </xf>
    <xf numFmtId="168" fontId="8" fillId="0" borderId="3" xfId="1" applyNumberFormat="1" applyFont="1" applyBorder="1" applyAlignment="1">
      <alignment horizontal="right" vertical="center" wrapText="1"/>
    </xf>
    <xf numFmtId="0" fontId="22" fillId="0" borderId="0" xfId="0" applyFont="1" applyAlignment="1">
      <alignment vertical="center"/>
    </xf>
    <xf numFmtId="168" fontId="8" fillId="0" borderId="3" xfId="1" applyNumberFormat="1" applyFont="1" applyBorder="1" applyAlignment="1">
      <alignment vertical="center" wrapText="1"/>
    </xf>
    <xf numFmtId="168" fontId="9" fillId="0" borderId="3" xfId="1" applyNumberFormat="1" applyFont="1" applyBorder="1" applyAlignment="1">
      <alignment horizontal="right" wrapText="1"/>
    </xf>
    <xf numFmtId="168" fontId="9" fillId="0" borderId="2" xfId="1" applyNumberFormat="1" applyFont="1" applyBorder="1" applyAlignment="1">
      <alignment horizontal="right" vertical="center" wrapText="1"/>
    </xf>
    <xf numFmtId="0" fontId="6" fillId="0" borderId="3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0" fontId="8" fillId="0" borderId="0" xfId="0" applyFont="1" applyAlignment="1">
      <alignment vertical="center"/>
    </xf>
    <xf numFmtId="168" fontId="8" fillId="0" borderId="0" xfId="1" applyNumberFormat="1" applyFont="1" applyAlignment="1">
      <alignment vertical="center" wrapText="1"/>
    </xf>
    <xf numFmtId="168" fontId="8" fillId="0" borderId="4" xfId="1" applyNumberFormat="1" applyFont="1" applyBorder="1" applyAlignment="1">
      <alignment vertical="center" wrapText="1"/>
    </xf>
    <xf numFmtId="168" fontId="9" fillId="0" borderId="2" xfId="1" applyNumberFormat="1" applyFont="1" applyBorder="1" applyAlignment="1">
      <alignment vertical="center" wrapText="1"/>
    </xf>
    <xf numFmtId="0" fontId="4" fillId="0" borderId="0" xfId="0" applyFont="1" applyAlignment="1">
      <alignment wrapText="1"/>
    </xf>
    <xf numFmtId="168" fontId="9" fillId="0" borderId="3" xfId="1" applyNumberFormat="1" applyFont="1" applyBorder="1" applyAlignment="1">
      <alignment vertical="center" wrapText="1"/>
    </xf>
    <xf numFmtId="0" fontId="8" fillId="0" borderId="2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8" fillId="0" borderId="0" xfId="0" applyFont="1" applyAlignment="1">
      <alignment horizontal="center" vertical="center"/>
    </xf>
    <xf numFmtId="168" fontId="8" fillId="0" borderId="3" xfId="0" applyNumberFormat="1" applyFont="1" applyBorder="1" applyAlignment="1">
      <alignment vertical="center"/>
    </xf>
    <xf numFmtId="0" fontId="8" fillId="0" borderId="3" xfId="0" applyFont="1" applyBorder="1" applyAlignment="1">
      <alignment horizontal="right" vertical="center"/>
    </xf>
    <xf numFmtId="169" fontId="8" fillId="0" borderId="3" xfId="0" applyNumberFormat="1" applyFont="1" applyBorder="1" applyAlignment="1">
      <alignment horizontal="right" vertical="center"/>
    </xf>
    <xf numFmtId="2" fontId="8" fillId="0" borderId="3" xfId="0" applyNumberFormat="1" applyFont="1" applyBorder="1" applyAlignment="1">
      <alignment horizontal="right" vertical="center"/>
    </xf>
    <xf numFmtId="164" fontId="0" fillId="0" borderId="0" xfId="1" applyFont="1"/>
    <xf numFmtId="0" fontId="13" fillId="0" borderId="3" xfId="0" applyFont="1" applyBorder="1" applyAlignment="1">
      <alignment vertical="center" wrapText="1"/>
    </xf>
    <xf numFmtId="168" fontId="25" fillId="0" borderId="3" xfId="1" applyNumberFormat="1" applyFont="1" applyBorder="1" applyAlignment="1">
      <alignment horizontal="right" vertical="center" wrapText="1"/>
    </xf>
    <xf numFmtId="168" fontId="0" fillId="0" borderId="0" xfId="1" applyNumberFormat="1" applyFont="1"/>
    <xf numFmtId="168" fontId="23" fillId="0" borderId="3" xfId="1" applyNumberFormat="1" applyFont="1" applyBorder="1" applyAlignment="1">
      <alignment horizontal="right" vertical="center" wrapText="1"/>
    </xf>
    <xf numFmtId="169" fontId="25" fillId="2" borderId="3" xfId="0" applyNumberFormat="1" applyFont="1" applyFill="1" applyBorder="1" applyAlignment="1">
      <alignment horizontal="right" vertical="center"/>
    </xf>
    <xf numFmtId="0" fontId="29" fillId="0" borderId="3" xfId="0" applyFont="1" applyBorder="1" applyAlignment="1">
      <alignment horizontal="center" vertical="center" wrapText="1"/>
    </xf>
    <xf numFmtId="0" fontId="29" fillId="0" borderId="3" xfId="0" applyFont="1" applyBorder="1" applyAlignment="1">
      <alignment vertical="center"/>
    </xf>
    <xf numFmtId="167" fontId="8" fillId="0" borderId="3" xfId="0" applyNumberFormat="1" applyFont="1" applyBorder="1" applyAlignment="1">
      <alignment vertical="center"/>
    </xf>
    <xf numFmtId="168" fontId="29" fillId="0" borderId="3" xfId="1" applyNumberFormat="1" applyFont="1" applyBorder="1" applyAlignment="1">
      <alignment horizontal="right" vertical="center"/>
    </xf>
    <xf numFmtId="167" fontId="8" fillId="0" borderId="3" xfId="1" applyNumberFormat="1" applyFont="1" applyBorder="1" applyAlignment="1">
      <alignment vertical="center"/>
    </xf>
    <xf numFmtId="168" fontId="0" fillId="0" borderId="0" xfId="0" applyNumberFormat="1"/>
    <xf numFmtId="164" fontId="14" fillId="0" borderId="3" xfId="1" applyNumberFormat="1" applyFont="1" applyBorder="1" applyAlignment="1">
      <alignment horizontal="right" vertical="center" wrapText="1"/>
    </xf>
    <xf numFmtId="0" fontId="0" fillId="0" borderId="0" xfId="0" applyFont="1"/>
    <xf numFmtId="167" fontId="30" fillId="0" borderId="3" xfId="1" applyNumberFormat="1" applyFont="1" applyBorder="1" applyAlignment="1">
      <alignment horizontal="right" vertical="center"/>
    </xf>
    <xf numFmtId="0" fontId="30" fillId="0" borderId="3" xfId="0" applyFont="1" applyBorder="1" applyAlignment="1">
      <alignment horizontal="right" vertical="center"/>
    </xf>
    <xf numFmtId="0" fontId="13" fillId="0" borderId="3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 wrapText="1"/>
    </xf>
    <xf numFmtId="168" fontId="13" fillId="0" borderId="3" xfId="1" applyNumberFormat="1" applyFont="1" applyBorder="1" applyAlignment="1">
      <alignment horizontal="right" vertical="center"/>
    </xf>
    <xf numFmtId="0" fontId="25" fillId="0" borderId="3" xfId="0" applyFont="1" applyFill="1" applyBorder="1" applyAlignment="1">
      <alignment vertical="center" wrapText="1"/>
    </xf>
    <xf numFmtId="172" fontId="25" fillId="0" borderId="11" xfId="0" applyNumberFormat="1" applyFont="1" applyFill="1" applyBorder="1" applyAlignment="1" applyProtection="1">
      <alignment horizontal="right" vertical="center" wrapText="1"/>
      <protection locked="0"/>
    </xf>
    <xf numFmtId="0" fontId="0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168" fontId="13" fillId="0" borderId="3" xfId="1" applyNumberFormat="1" applyFont="1" applyBorder="1" applyAlignment="1">
      <alignment horizontal="right" vertical="center" wrapText="1"/>
    </xf>
    <xf numFmtId="0" fontId="18" fillId="0" borderId="0" xfId="0" applyFont="1" applyAlignment="1">
      <alignment vertical="center"/>
    </xf>
    <xf numFmtId="164" fontId="8" fillId="0" borderId="3" xfId="1" applyFont="1" applyBorder="1" applyAlignment="1">
      <alignment horizontal="right" vertical="center" wrapText="1"/>
    </xf>
    <xf numFmtId="164" fontId="14" fillId="0" borderId="3" xfId="1" applyFont="1" applyBorder="1" applyAlignment="1">
      <alignment horizontal="right" vertical="center" wrapText="1"/>
    </xf>
    <xf numFmtId="168" fontId="6" fillId="0" borderId="0" xfId="0" applyNumberFormat="1" applyFont="1" applyAlignment="1">
      <alignment vertical="center" wrapText="1"/>
    </xf>
    <xf numFmtId="0" fontId="27" fillId="0" borderId="0" xfId="0" applyFont="1"/>
    <xf numFmtId="172" fontId="34" fillId="2" borderId="11" xfId="0" applyNumberFormat="1" applyFont="1" applyFill="1" applyBorder="1" applyAlignment="1" applyProtection="1">
      <alignment horizontal="right" vertical="center" wrapText="1"/>
      <protection locked="0"/>
    </xf>
    <xf numFmtId="172" fontId="25" fillId="2" borderId="11" xfId="0" applyNumberFormat="1" applyFont="1" applyFill="1" applyBorder="1" applyAlignment="1" applyProtection="1">
      <alignment horizontal="right" vertical="center" wrapText="1"/>
      <protection locked="0"/>
    </xf>
    <xf numFmtId="0" fontId="25" fillId="2" borderId="11" xfId="0" applyFont="1" applyFill="1" applyBorder="1" applyAlignment="1" applyProtection="1">
      <alignment horizontal="right" vertical="center" wrapText="1"/>
      <protection locked="0"/>
    </xf>
    <xf numFmtId="0" fontId="35" fillId="0" borderId="11" xfId="0" applyFont="1" applyFill="1" applyBorder="1" applyAlignment="1" applyProtection="1">
      <alignment horizontal="right" vertical="center" wrapText="1"/>
      <protection locked="0"/>
    </xf>
    <xf numFmtId="172" fontId="36" fillId="0" borderId="11" xfId="0" applyNumberFormat="1" applyFont="1" applyFill="1" applyBorder="1" applyAlignment="1" applyProtection="1">
      <alignment horizontal="right" vertical="center" wrapText="1"/>
      <protection locked="0"/>
    </xf>
    <xf numFmtId="172" fontId="35" fillId="0" borderId="11" xfId="0" applyNumberFormat="1" applyFont="1" applyFill="1" applyBorder="1" applyAlignment="1" applyProtection="1">
      <alignment horizontal="right" vertical="center" wrapText="1"/>
      <protection locked="0"/>
    </xf>
    <xf numFmtId="0" fontId="25" fillId="0" borderId="3" xfId="0" applyFont="1" applyBorder="1" applyAlignment="1">
      <alignment horizontal="center" vertical="center" wrapText="1"/>
    </xf>
    <xf numFmtId="0" fontId="25" fillId="0" borderId="3" xfId="0" applyFont="1" applyBorder="1" applyAlignment="1">
      <alignment vertical="center"/>
    </xf>
    <xf numFmtId="0" fontId="24" fillId="0" borderId="0" xfId="0" applyFont="1" applyAlignment="1">
      <alignment vertical="center" wrapText="1"/>
    </xf>
    <xf numFmtId="0" fontId="24" fillId="0" borderId="2" xfId="0" applyFont="1" applyBorder="1" applyAlignment="1">
      <alignment vertical="center" wrapText="1"/>
    </xf>
    <xf numFmtId="168" fontId="26" fillId="0" borderId="0" xfId="1" applyNumberFormat="1" applyFont="1" applyBorder="1" applyAlignment="1">
      <alignment horizontal="right" vertical="center" wrapText="1"/>
    </xf>
    <xf numFmtId="168" fontId="26" fillId="0" borderId="3" xfId="1" applyNumberFormat="1" applyFont="1" applyBorder="1" applyAlignment="1">
      <alignment horizontal="right" vertical="center" wrapText="1"/>
    </xf>
    <xf numFmtId="167" fontId="6" fillId="0" borderId="0" xfId="0" applyNumberFormat="1" applyFont="1" applyAlignment="1">
      <alignment vertical="center" wrapText="1"/>
    </xf>
    <xf numFmtId="164" fontId="6" fillId="0" borderId="0" xfId="0" applyNumberFormat="1" applyFont="1" applyAlignment="1">
      <alignment vertical="center" wrapText="1"/>
    </xf>
    <xf numFmtId="167" fontId="13" fillId="2" borderId="3" xfId="1" applyNumberFormat="1" applyFont="1" applyFill="1" applyBorder="1" applyAlignment="1">
      <alignment horizontal="right" vertical="center" wrapText="1"/>
    </xf>
    <xf numFmtId="167" fontId="14" fillId="2" borderId="3" xfId="1" applyNumberFormat="1" applyFont="1" applyFill="1" applyBorder="1" applyAlignment="1">
      <alignment horizontal="right" vertical="center" wrapText="1"/>
    </xf>
    <xf numFmtId="0" fontId="37" fillId="0" borderId="0" xfId="0" applyFont="1"/>
    <xf numFmtId="168" fontId="38" fillId="0" borderId="0" xfId="0" applyNumberFormat="1" applyFont="1"/>
    <xf numFmtId="0" fontId="38" fillId="0" borderId="0" xfId="0" applyFont="1"/>
    <xf numFmtId="0" fontId="27" fillId="0" borderId="0" xfId="0" applyFont="1" applyAlignment="1">
      <alignment vertical="center"/>
    </xf>
    <xf numFmtId="43" fontId="35" fillId="0" borderId="11" xfId="0" applyNumberFormat="1" applyFont="1" applyFill="1" applyBorder="1" applyAlignment="1" applyProtection="1">
      <alignment horizontal="right" vertical="center"/>
      <protection locked="0"/>
    </xf>
    <xf numFmtId="171" fontId="21" fillId="0" borderId="3" xfId="0" applyNumberFormat="1" applyFont="1" applyBorder="1" applyAlignment="1">
      <alignment horizontal="right" vertical="center" wrapText="1"/>
    </xf>
    <xf numFmtId="164" fontId="14" fillId="0" borderId="3" xfId="1" applyFont="1" applyBorder="1" applyAlignment="1">
      <alignment horizontal="right" vertical="center"/>
    </xf>
    <xf numFmtId="164" fontId="13" fillId="0" borderId="3" xfId="1" applyFont="1" applyBorder="1" applyAlignment="1">
      <alignment horizontal="right" vertical="center" wrapText="1"/>
    </xf>
    <xf numFmtId="167" fontId="25" fillId="0" borderId="3" xfId="1" applyNumberFormat="1" applyFont="1" applyBorder="1" applyAlignment="1">
      <alignment horizontal="right" vertical="center" wrapText="1"/>
    </xf>
    <xf numFmtId="0" fontId="34" fillId="0" borderId="3" xfId="0" applyFont="1" applyBorder="1" applyAlignment="1">
      <alignment horizontal="center" vertical="center" wrapText="1"/>
    </xf>
    <xf numFmtId="169" fontId="34" fillId="0" borderId="3" xfId="0" applyNumberFormat="1" applyFont="1" applyBorder="1" applyAlignment="1">
      <alignment horizontal="right" vertical="center"/>
    </xf>
    <xf numFmtId="0" fontId="25" fillId="0" borderId="3" xfId="0" applyFont="1" applyBorder="1" applyAlignment="1">
      <alignment vertical="center" wrapText="1"/>
    </xf>
    <xf numFmtId="2" fontId="25" fillId="0" borderId="3" xfId="0" applyNumberFormat="1" applyFont="1" applyBorder="1" applyAlignment="1">
      <alignment vertical="center"/>
    </xf>
    <xf numFmtId="168" fontId="25" fillId="2" borderId="3" xfId="1" applyNumberFormat="1" applyFont="1" applyFill="1" applyBorder="1" applyAlignment="1">
      <alignment horizontal="right" vertical="center" wrapText="1"/>
    </xf>
    <xf numFmtId="170" fontId="25" fillId="2" borderId="13" xfId="0" applyNumberFormat="1" applyFont="1" applyFill="1" applyBorder="1" applyAlignment="1" applyProtection="1">
      <alignment horizontal="right" vertical="center" wrapText="1"/>
      <protection locked="0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64" fontId="26" fillId="0" borderId="1" xfId="1" applyFont="1" applyFill="1" applyBorder="1" applyAlignment="1">
      <alignment horizontal="center" vertical="center" wrapText="1"/>
    </xf>
    <xf numFmtId="172" fontId="23" fillId="0" borderId="2" xfId="1" quotePrefix="1" applyNumberFormat="1" applyFont="1" applyFill="1" applyBorder="1" applyAlignment="1">
      <alignment horizontal="right" vertical="center" wrapText="1"/>
    </xf>
    <xf numFmtId="0" fontId="24" fillId="0" borderId="2" xfId="0" applyFont="1" applyFill="1" applyBorder="1" applyAlignment="1">
      <alignment horizontal="center" vertical="center" wrapText="1"/>
    </xf>
    <xf numFmtId="172" fontId="24" fillId="0" borderId="3" xfId="1" applyNumberFormat="1" applyFont="1" applyFill="1" applyBorder="1" applyAlignment="1">
      <alignment horizontal="right" vertical="center" wrapText="1"/>
    </xf>
    <xf numFmtId="0" fontId="24" fillId="0" borderId="3" xfId="0" applyFont="1" applyFill="1" applyBorder="1" applyAlignment="1">
      <alignment horizontal="center" vertical="center" wrapText="1"/>
    </xf>
    <xf numFmtId="164" fontId="39" fillId="0" borderId="1" xfId="1" applyFont="1" applyFill="1" applyBorder="1" applyAlignment="1">
      <alignment horizontal="center" vertical="center" wrapText="1"/>
    </xf>
    <xf numFmtId="172" fontId="26" fillId="0" borderId="1" xfId="1" applyNumberFormat="1" applyFont="1" applyFill="1" applyBorder="1" applyAlignment="1">
      <alignment horizontal="center" vertical="center" wrapText="1"/>
    </xf>
    <xf numFmtId="0" fontId="8" fillId="0" borderId="17" xfId="0" applyFont="1" applyBorder="1" applyAlignment="1">
      <alignment vertical="center"/>
    </xf>
    <xf numFmtId="0" fontId="26" fillId="0" borderId="10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8" fillId="0" borderId="18" xfId="0" applyFont="1" applyBorder="1" applyAlignment="1">
      <alignment vertical="center"/>
    </xf>
    <xf numFmtId="0" fontId="0" fillId="0" borderId="3" xfId="0" applyBorder="1"/>
    <xf numFmtId="0" fontId="4" fillId="0" borderId="3" xfId="0" applyFont="1" applyBorder="1"/>
    <xf numFmtId="0" fontId="10" fillId="0" borderId="3" xfId="0" applyFont="1" applyBorder="1"/>
    <xf numFmtId="0" fontId="4" fillId="0" borderId="3" xfId="0" applyFont="1" applyBorder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0" fontId="4" fillId="0" borderId="2" xfId="0" applyFont="1" applyBorder="1"/>
    <xf numFmtId="0" fontId="12" fillId="0" borderId="3" xfId="0" applyFont="1" applyBorder="1"/>
    <xf numFmtId="0" fontId="0" fillId="0" borderId="4" xfId="0" applyBorder="1"/>
    <xf numFmtId="0" fontId="27" fillId="0" borderId="3" xfId="0" applyFont="1" applyBorder="1"/>
    <xf numFmtId="0" fontId="10" fillId="0" borderId="3" xfId="0" applyFont="1" applyBorder="1" applyAlignment="1">
      <alignment vertical="center"/>
    </xf>
    <xf numFmtId="0" fontId="10" fillId="0" borderId="4" xfId="0" applyFont="1" applyBorder="1" applyAlignment="1">
      <alignment vertical="center"/>
    </xf>
    <xf numFmtId="0" fontId="8" fillId="0" borderId="0" xfId="0" applyFont="1"/>
    <xf numFmtId="0" fontId="8" fillId="0" borderId="3" xfId="0" applyFont="1" applyBorder="1"/>
    <xf numFmtId="0" fontId="9" fillId="0" borderId="3" xfId="0" applyFont="1" applyBorder="1"/>
    <xf numFmtId="0" fontId="21" fillId="0" borderId="3" xfId="0" applyFont="1" applyBorder="1"/>
    <xf numFmtId="0" fontId="9" fillId="0" borderId="3" xfId="0" applyFont="1" applyBorder="1" applyAlignment="1">
      <alignment horizontal="right"/>
    </xf>
    <xf numFmtId="0" fontId="9" fillId="0" borderId="4" xfId="0" applyFont="1" applyBorder="1" applyAlignment="1">
      <alignment horizontal="right"/>
    </xf>
    <xf numFmtId="164" fontId="8" fillId="0" borderId="0" xfId="1" applyFont="1"/>
    <xf numFmtId="0" fontId="0" fillId="0" borderId="3" xfId="0" applyFont="1" applyBorder="1" applyAlignment="1">
      <alignment vertical="center"/>
    </xf>
    <xf numFmtId="0" fontId="0" fillId="0" borderId="4" xfId="0" applyFont="1" applyBorder="1" applyAlignment="1">
      <alignment vertical="center"/>
    </xf>
    <xf numFmtId="0" fontId="8" fillId="0" borderId="4" xfId="0" applyFont="1" applyBorder="1" applyAlignment="1">
      <alignment horizontal="right" vertical="center"/>
    </xf>
    <xf numFmtId="172" fontId="26" fillId="0" borderId="2" xfId="1" quotePrefix="1" applyNumberFormat="1" applyFont="1" applyFill="1" applyBorder="1" applyAlignment="1">
      <alignment horizontal="right" vertical="center" wrapText="1"/>
    </xf>
    <xf numFmtId="0" fontId="25" fillId="0" borderId="2" xfId="0" applyFont="1" applyFill="1" applyBorder="1" applyAlignment="1">
      <alignment horizontal="center" vertical="center" wrapText="1"/>
    </xf>
    <xf numFmtId="172" fontId="25" fillId="0" borderId="3" xfId="1" applyNumberFormat="1" applyFont="1" applyFill="1" applyBorder="1" applyAlignment="1">
      <alignment horizontal="right" vertical="center" wrapText="1"/>
    </xf>
    <xf numFmtId="0" fontId="25" fillId="0" borderId="3" xfId="0" applyFont="1" applyFill="1" applyBorder="1" applyAlignment="1">
      <alignment horizontal="center" vertical="center" wrapText="1"/>
    </xf>
    <xf numFmtId="167" fontId="8" fillId="0" borderId="3" xfId="0" applyNumberFormat="1" applyFont="1" applyBorder="1" applyAlignment="1">
      <alignment vertical="center" wrapText="1"/>
    </xf>
    <xf numFmtId="164" fontId="25" fillId="0" borderId="3" xfId="1" applyFont="1" applyFill="1" applyBorder="1" applyAlignment="1">
      <alignment horizontal="right" vertical="center" wrapText="1"/>
    </xf>
    <xf numFmtId="164" fontId="8" fillId="0" borderId="4" xfId="1" applyFont="1" applyBorder="1" applyAlignment="1">
      <alignment horizontal="right" vertical="center" wrapText="1"/>
    </xf>
    <xf numFmtId="1" fontId="8" fillId="0" borderId="4" xfId="0" applyNumberFormat="1" applyFont="1" applyBorder="1" applyAlignment="1">
      <alignment horizontal="right" vertical="center"/>
    </xf>
    <xf numFmtId="0" fontId="8" fillId="4" borderId="3" xfId="0" applyFont="1" applyFill="1" applyBorder="1" applyAlignment="1">
      <alignment horizontal="right" vertical="center"/>
    </xf>
    <xf numFmtId="0" fontId="9" fillId="0" borderId="9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26" fillId="0" borderId="3" xfId="0" applyFont="1" applyBorder="1" applyAlignment="1">
      <alignment vertical="center" wrapText="1"/>
    </xf>
    <xf numFmtId="168" fontId="9" fillId="0" borderId="3" xfId="1" applyNumberFormat="1" applyFont="1" applyBorder="1" applyAlignment="1">
      <alignment horizontal="right" vertical="center" wrapText="1"/>
    </xf>
    <xf numFmtId="2" fontId="25" fillId="0" borderId="3" xfId="0" applyNumberFormat="1" applyFont="1" applyFill="1" applyBorder="1" applyAlignment="1">
      <alignment horizontal="center" vertical="center" wrapText="1"/>
    </xf>
    <xf numFmtId="0" fontId="26" fillId="0" borderId="3" xfId="0" applyFont="1" applyBorder="1" applyAlignment="1">
      <alignment horizontal="right" vertical="center" wrapText="1"/>
    </xf>
    <xf numFmtId="0" fontId="21" fillId="0" borderId="3" xfId="0" applyFont="1" applyBorder="1" applyAlignment="1">
      <alignment vertical="center"/>
    </xf>
    <xf numFmtId="2" fontId="26" fillId="0" borderId="3" xfId="0" applyNumberFormat="1" applyFont="1" applyFill="1" applyBorder="1" applyAlignment="1">
      <alignment horizontal="center" vertical="center" wrapText="1"/>
    </xf>
    <xf numFmtId="0" fontId="25" fillId="0" borderId="3" xfId="0" applyFont="1" applyBorder="1" applyAlignment="1">
      <alignment horizontal="right" vertical="center" wrapText="1"/>
    </xf>
    <xf numFmtId="173" fontId="8" fillId="0" borderId="3" xfId="4" applyNumberFormat="1" applyFont="1" applyBorder="1" applyAlignment="1">
      <alignment vertical="center"/>
    </xf>
    <xf numFmtId="167" fontId="25" fillId="2" borderId="3" xfId="1" applyNumberFormat="1" applyFont="1" applyFill="1" applyBorder="1" applyAlignment="1">
      <alignment horizontal="right" vertical="center" wrapText="1"/>
    </xf>
    <xf numFmtId="1" fontId="25" fillId="0" borderId="3" xfId="0" applyNumberFormat="1" applyFont="1" applyBorder="1" applyAlignment="1">
      <alignment horizontal="right" vertical="center" wrapText="1"/>
    </xf>
    <xf numFmtId="1" fontId="8" fillId="0" borderId="3" xfId="0" applyNumberFormat="1" applyFont="1" applyBorder="1" applyAlignment="1">
      <alignment horizontal="right" vertical="center" wrapText="1"/>
    </xf>
    <xf numFmtId="169" fontId="8" fillId="0" borderId="3" xfId="0" applyNumberFormat="1" applyFont="1" applyBorder="1" applyAlignment="1">
      <alignment vertical="center"/>
    </xf>
    <xf numFmtId="165" fontId="8" fillId="0" borderId="3" xfId="4" applyFont="1" applyBorder="1" applyAlignment="1">
      <alignment vertical="center"/>
    </xf>
    <xf numFmtId="167" fontId="26" fillId="0" borderId="3" xfId="1" applyNumberFormat="1" applyFont="1" applyBorder="1" applyAlignment="1">
      <alignment horizontal="right" vertical="center" wrapText="1"/>
    </xf>
    <xf numFmtId="167" fontId="26" fillId="0" borderId="3" xfId="0" applyNumberFormat="1" applyFont="1" applyBorder="1" applyAlignment="1">
      <alignment horizontal="right" vertical="center" wrapText="1"/>
    </xf>
    <xf numFmtId="169" fontId="9" fillId="0" borderId="3" xfId="0" applyNumberFormat="1" applyFont="1" applyBorder="1" applyAlignment="1">
      <alignment horizontal="right" vertical="center" wrapText="1"/>
    </xf>
    <xf numFmtId="169" fontId="26" fillId="0" borderId="3" xfId="0" applyNumberFormat="1" applyFont="1" applyBorder="1" applyAlignment="1">
      <alignment horizontal="right" vertical="center" wrapText="1"/>
    </xf>
    <xf numFmtId="1" fontId="26" fillId="0" borderId="3" xfId="0" applyNumberFormat="1" applyFont="1" applyBorder="1" applyAlignment="1">
      <alignment horizontal="right" vertical="center" wrapText="1"/>
    </xf>
    <xf numFmtId="1" fontId="26" fillId="0" borderId="0" xfId="0" applyNumberFormat="1" applyFont="1" applyBorder="1" applyAlignment="1">
      <alignment horizontal="right" vertical="center" wrapText="1"/>
    </xf>
    <xf numFmtId="0" fontId="26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right" vertical="center" wrapText="1"/>
    </xf>
    <xf numFmtId="164" fontId="9" fillId="0" borderId="3" xfId="1" applyNumberFormat="1" applyFont="1" applyBorder="1" applyAlignment="1">
      <alignment horizontal="right" vertical="center" wrapText="1"/>
    </xf>
    <xf numFmtId="164" fontId="26" fillId="0" borderId="11" xfId="0" applyNumberFormat="1" applyFont="1" applyFill="1" applyBorder="1" applyAlignment="1" applyProtection="1">
      <alignment horizontal="right" vertical="center" wrapText="1"/>
      <protection locked="0"/>
    </xf>
    <xf numFmtId="164" fontId="26" fillId="2" borderId="11" xfId="0" applyNumberFormat="1" applyFont="1" applyFill="1" applyBorder="1" applyAlignment="1" applyProtection="1">
      <alignment horizontal="right" vertical="center" wrapText="1"/>
      <protection locked="0"/>
    </xf>
    <xf numFmtId="164" fontId="26" fillId="0" borderId="3" xfId="1" applyNumberFormat="1" applyFont="1" applyBorder="1" applyAlignment="1">
      <alignment horizontal="right" vertical="center" wrapText="1"/>
    </xf>
    <xf numFmtId="168" fontId="26" fillId="2" borderId="3" xfId="1" applyNumberFormat="1" applyFont="1" applyFill="1" applyBorder="1" applyAlignment="1">
      <alignment horizontal="right" vertical="center" wrapText="1"/>
    </xf>
    <xf numFmtId="164" fontId="25" fillId="0" borderId="3" xfId="1" applyNumberFormat="1" applyFont="1" applyBorder="1" applyAlignment="1">
      <alignment horizontal="right" vertical="center" wrapText="1"/>
    </xf>
    <xf numFmtId="168" fontId="8" fillId="0" borderId="3" xfId="0" applyNumberFormat="1" applyFont="1" applyBorder="1"/>
    <xf numFmtId="0" fontId="21" fillId="0" borderId="3" xfId="0" quotePrefix="1" applyFont="1" applyBorder="1" applyAlignment="1">
      <alignment horizontal="center" vertical="center" wrapText="1"/>
    </xf>
    <xf numFmtId="167" fontId="21" fillId="0" borderId="3" xfId="1" applyNumberFormat="1" applyFont="1" applyBorder="1" applyAlignment="1">
      <alignment horizontal="right" vertical="center" wrapText="1"/>
    </xf>
    <xf numFmtId="0" fontId="8" fillId="0" borderId="3" xfId="0" quotePrefix="1" applyFont="1" applyBorder="1" applyAlignment="1">
      <alignment horizontal="center" vertical="center" wrapText="1"/>
    </xf>
    <xf numFmtId="164" fontId="8" fillId="0" borderId="3" xfId="1" applyNumberFormat="1" applyFont="1" applyBorder="1" applyAlignment="1">
      <alignment horizontal="right" vertical="center" wrapText="1"/>
    </xf>
    <xf numFmtId="167" fontId="44" fillId="0" borderId="3" xfId="1" applyNumberFormat="1" applyFont="1" applyBorder="1" applyAlignment="1">
      <alignment horizontal="right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right" vertical="center" wrapText="1"/>
    </xf>
    <xf numFmtId="0" fontId="26" fillId="0" borderId="4" xfId="0" applyFont="1" applyBorder="1" applyAlignment="1">
      <alignment horizontal="right" vertical="center" wrapText="1"/>
    </xf>
    <xf numFmtId="0" fontId="45" fillId="0" borderId="4" xfId="0" applyFont="1" applyBorder="1" applyAlignment="1">
      <alignment horizontal="right" vertical="center" wrapText="1"/>
    </xf>
    <xf numFmtId="169" fontId="9" fillId="0" borderId="3" xfId="0" applyNumberFormat="1" applyFont="1" applyBorder="1" applyAlignment="1">
      <alignment horizontal="right" vertical="center"/>
    </xf>
    <xf numFmtId="169" fontId="8" fillId="0" borderId="3" xfId="0" applyNumberFormat="1" applyFont="1" applyBorder="1" applyAlignment="1">
      <alignment horizontal="right" vertical="center" wrapText="1"/>
    </xf>
    <xf numFmtId="0" fontId="8" fillId="2" borderId="3" xfId="0" applyFont="1" applyFill="1" applyBorder="1"/>
    <xf numFmtId="0" fontId="9" fillId="0" borderId="19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19" xfId="0" applyFont="1" applyBorder="1" applyAlignment="1">
      <alignment wrapText="1"/>
    </xf>
    <xf numFmtId="0" fontId="8" fillId="0" borderId="3" xfId="0" applyFont="1" applyBorder="1" applyAlignment="1">
      <alignment horizontal="left" vertical="center" wrapText="1"/>
    </xf>
    <xf numFmtId="164" fontId="25" fillId="0" borderId="3" xfId="1" applyFont="1" applyBorder="1" applyAlignment="1">
      <alignment horizontal="right" vertical="center" wrapText="1"/>
    </xf>
    <xf numFmtId="0" fontId="0" fillId="0" borderId="3" xfId="0" applyFont="1" applyBorder="1"/>
    <xf numFmtId="0" fontId="29" fillId="0" borderId="3" xfId="0" applyFont="1" applyBorder="1" applyAlignment="1">
      <alignment horizontal="left" vertical="center" wrapText="1"/>
    </xf>
    <xf numFmtId="0" fontId="29" fillId="0" borderId="3" xfId="0" applyFont="1" applyBorder="1" applyAlignment="1">
      <alignment wrapText="1"/>
    </xf>
    <xf numFmtId="3" fontId="8" fillId="0" borderId="3" xfId="0" applyNumberFormat="1" applyFont="1" applyBorder="1" applyAlignment="1">
      <alignment horizontal="right" vertical="center" wrapText="1"/>
    </xf>
    <xf numFmtId="0" fontId="8" fillId="0" borderId="4" xfId="0" applyFont="1" applyBorder="1" applyAlignment="1">
      <alignment horizontal="left" vertical="center" wrapText="1"/>
    </xf>
    <xf numFmtId="168" fontId="8" fillId="0" borderId="4" xfId="1" applyNumberFormat="1" applyFont="1" applyBorder="1" applyAlignment="1">
      <alignment horizontal="right" vertical="center" wrapText="1"/>
    </xf>
    <xf numFmtId="0" fontId="0" fillId="0" borderId="4" xfId="0" applyFont="1" applyBorder="1"/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right" vertical="center" wrapText="1"/>
    </xf>
    <xf numFmtId="0" fontId="34" fillId="0" borderId="3" xfId="0" applyFont="1" applyBorder="1" applyAlignment="1">
      <alignment horizontal="right" vertical="center" wrapText="1"/>
    </xf>
    <xf numFmtId="167" fontId="34" fillId="0" borderId="3" xfId="1" applyNumberFormat="1" applyFont="1" applyBorder="1" applyAlignment="1">
      <alignment horizontal="right" vertical="center" wrapText="1"/>
    </xf>
    <xf numFmtId="0" fontId="9" fillId="0" borderId="9" xfId="0" applyFont="1" applyBorder="1" applyAlignment="1">
      <alignment vertical="center" wrapText="1"/>
    </xf>
    <xf numFmtId="0" fontId="9" fillId="0" borderId="14" xfId="0" applyFont="1" applyBorder="1" applyAlignment="1">
      <alignment vertical="center" wrapText="1"/>
    </xf>
    <xf numFmtId="0" fontId="9" fillId="0" borderId="15" xfId="0" applyFont="1" applyBorder="1" applyAlignment="1">
      <alignment vertical="center" wrapText="1"/>
    </xf>
    <xf numFmtId="0" fontId="9" fillId="0" borderId="16" xfId="0" applyFont="1" applyBorder="1" applyAlignment="1">
      <alignment vertical="center" wrapText="1"/>
    </xf>
    <xf numFmtId="172" fontId="25" fillId="0" borderId="3" xfId="1" applyNumberFormat="1" applyFont="1" applyBorder="1" applyAlignment="1">
      <alignment horizontal="right" vertical="center" wrapText="1"/>
    </xf>
    <xf numFmtId="0" fontId="25" fillId="0" borderId="3" xfId="1" applyNumberFormat="1" applyFont="1" applyBorder="1" applyAlignment="1">
      <alignment horizontal="right" vertical="center" wrapText="1"/>
    </xf>
    <xf numFmtId="0" fontId="46" fillId="0" borderId="3" xfId="0" applyFont="1" applyBorder="1" applyAlignment="1">
      <alignment horizontal="right" vertical="center" wrapText="1"/>
    </xf>
    <xf numFmtId="0" fontId="8" fillId="2" borderId="3" xfId="0" applyFont="1" applyFill="1" applyBorder="1" applyAlignment="1">
      <alignment vertical="center" wrapText="1"/>
    </xf>
    <xf numFmtId="0" fontId="8" fillId="0" borderId="12" xfId="0" applyFont="1" applyFill="1" applyBorder="1" applyAlignment="1">
      <alignment vertical="center" wrapText="1"/>
    </xf>
    <xf numFmtId="1" fontId="8" fillId="0" borderId="3" xfId="0" applyNumberFormat="1" applyFont="1" applyBorder="1" applyAlignment="1">
      <alignment vertical="center" wrapText="1"/>
    </xf>
    <xf numFmtId="168" fontId="0" fillId="0" borderId="0" xfId="0" applyNumberFormat="1" applyFont="1"/>
    <xf numFmtId="164" fontId="8" fillId="0" borderId="3" xfId="1" applyFont="1" applyBorder="1" applyAlignment="1">
      <alignment vertical="center" wrapText="1"/>
    </xf>
    <xf numFmtId="0" fontId="9" fillId="0" borderId="2" xfId="0" applyFont="1" applyBorder="1" applyAlignment="1">
      <alignment horizontal="left" vertical="center" wrapText="1"/>
    </xf>
    <xf numFmtId="0" fontId="26" fillId="0" borderId="3" xfId="0" applyFont="1" applyBorder="1" applyAlignment="1">
      <alignment horizontal="center" vertical="center" wrapText="1"/>
    </xf>
    <xf numFmtId="0" fontId="26" fillId="0" borderId="3" xfId="0" applyFont="1" applyBorder="1" applyAlignment="1">
      <alignment horizontal="left" vertical="center" wrapText="1"/>
    </xf>
    <xf numFmtId="0" fontId="34" fillId="0" borderId="3" xfId="0" applyFont="1" applyBorder="1" applyAlignment="1">
      <alignment horizontal="left" vertical="center" wrapText="1"/>
    </xf>
    <xf numFmtId="168" fontId="34" fillId="0" borderId="3" xfId="1" applyNumberFormat="1" applyFont="1" applyBorder="1" applyAlignment="1">
      <alignment horizontal="right" vertical="center" wrapText="1"/>
    </xf>
    <xf numFmtId="0" fontId="25" fillId="0" borderId="3" xfId="0" applyFont="1" applyBorder="1" applyAlignment="1">
      <alignment horizontal="left" vertical="center" wrapText="1"/>
    </xf>
    <xf numFmtId="0" fontId="21" fillId="0" borderId="3" xfId="0" applyFont="1" applyBorder="1" applyAlignment="1">
      <alignment horizontal="left" vertical="center" wrapText="1"/>
    </xf>
    <xf numFmtId="169" fontId="25" fillId="0" borderId="3" xfId="0" applyNumberFormat="1" applyFont="1" applyFill="1" applyBorder="1" applyAlignment="1">
      <alignment horizontal="right" vertical="center"/>
    </xf>
    <xf numFmtId="0" fontId="8" fillId="0" borderId="3" xfId="0" applyFont="1" applyFill="1" applyBorder="1" applyAlignment="1">
      <alignment vertical="center" wrapText="1"/>
    </xf>
    <xf numFmtId="3" fontId="8" fillId="0" borderId="3" xfId="0" applyNumberFormat="1" applyFont="1" applyBorder="1" applyAlignment="1">
      <alignment vertical="center" wrapText="1"/>
    </xf>
    <xf numFmtId="172" fontId="25" fillId="0" borderId="3" xfId="0" applyNumberFormat="1" applyFont="1" applyBorder="1" applyAlignment="1">
      <alignment vertical="center" wrapText="1"/>
    </xf>
    <xf numFmtId="167" fontId="25" fillId="3" borderId="11" xfId="1" applyNumberFormat="1" applyFont="1" applyFill="1" applyBorder="1" applyAlignment="1" applyProtection="1">
      <alignment horizontal="right" vertical="center" wrapText="1"/>
      <protection locked="0"/>
    </xf>
    <xf numFmtId="172" fontId="25" fillId="3" borderId="11" xfId="1" applyNumberFormat="1" applyFont="1" applyFill="1" applyBorder="1" applyAlignment="1" applyProtection="1">
      <alignment horizontal="right" vertical="center" wrapText="1"/>
      <protection locked="0"/>
    </xf>
    <xf numFmtId="167" fontId="25" fillId="0" borderId="11" xfId="0" applyNumberFormat="1" applyFont="1" applyFill="1" applyBorder="1" applyAlignment="1" applyProtection="1">
      <alignment horizontal="right" vertical="center" wrapText="1"/>
      <protection locked="0"/>
    </xf>
    <xf numFmtId="170" fontId="25" fillId="0" borderId="11" xfId="0" applyNumberFormat="1" applyFont="1" applyFill="1" applyBorder="1" applyAlignment="1" applyProtection="1">
      <alignment horizontal="right" vertical="center" wrapText="1"/>
      <protection locked="0"/>
    </xf>
    <xf numFmtId="167" fontId="8" fillId="0" borderId="3" xfId="1" applyNumberFormat="1" applyFont="1" applyBorder="1" applyAlignment="1">
      <alignment vertical="center" wrapText="1"/>
    </xf>
    <xf numFmtId="167" fontId="25" fillId="0" borderId="3" xfId="1" applyNumberFormat="1" applyFont="1" applyBorder="1" applyAlignment="1">
      <alignment vertical="center" wrapText="1"/>
    </xf>
    <xf numFmtId="169" fontId="8" fillId="0" borderId="3" xfId="1" applyNumberFormat="1" applyFont="1" applyBorder="1" applyAlignment="1">
      <alignment horizontal="right" vertical="center" wrapText="1"/>
    </xf>
    <xf numFmtId="0" fontId="9" fillId="0" borderId="19" xfId="0" applyFont="1" applyBorder="1" applyAlignment="1">
      <alignment vertical="center" wrapText="1"/>
    </xf>
    <xf numFmtId="174" fontId="8" fillId="2" borderId="3" xfId="0" applyNumberFormat="1" applyFont="1" applyFill="1" applyBorder="1"/>
    <xf numFmtId="175" fontId="8" fillId="2" borderId="3" xfId="0" applyNumberFormat="1" applyFont="1" applyFill="1" applyBorder="1"/>
    <xf numFmtId="168" fontId="8" fillId="0" borderId="3" xfId="0" applyNumberFormat="1" applyFont="1" applyBorder="1" applyAlignment="1">
      <alignment horizontal="right" vertical="center"/>
    </xf>
    <xf numFmtId="0" fontId="9" fillId="0" borderId="2" xfId="0" applyFont="1" applyBorder="1"/>
    <xf numFmtId="0" fontId="29" fillId="0" borderId="3" xfId="0" applyFont="1" applyBorder="1"/>
    <xf numFmtId="0" fontId="8" fillId="0" borderId="4" xfId="0" applyFont="1" applyBorder="1"/>
    <xf numFmtId="176" fontId="8" fillId="0" borderId="3" xfId="4" applyNumberFormat="1" applyFont="1" applyBorder="1" applyAlignment="1">
      <alignment vertical="center"/>
    </xf>
    <xf numFmtId="0" fontId="29" fillId="0" borderId="19" xfId="0" applyFont="1" applyBorder="1" applyAlignment="1">
      <alignment horizontal="center" vertical="center" wrapText="1"/>
    </xf>
    <xf numFmtId="0" fontId="29" fillId="0" borderId="19" xfId="0" applyFont="1" applyBorder="1" applyAlignment="1">
      <alignment horizontal="left" vertical="center" wrapText="1"/>
    </xf>
    <xf numFmtId="168" fontId="29" fillId="0" borderId="19" xfId="1" applyNumberFormat="1" applyFont="1" applyBorder="1" applyAlignment="1">
      <alignment horizontal="right" vertical="center" wrapText="1"/>
    </xf>
    <xf numFmtId="0" fontId="29" fillId="0" borderId="19" xfId="0" applyFont="1" applyBorder="1" applyAlignment="1">
      <alignment vertical="center"/>
    </xf>
    <xf numFmtId="0" fontId="29" fillId="0" borderId="19" xfId="0" applyFont="1" applyBorder="1"/>
    <xf numFmtId="0" fontId="12" fillId="0" borderId="19" xfId="0" applyFont="1" applyBorder="1"/>
    <xf numFmtId="165" fontId="8" fillId="0" borderId="4" xfId="4" applyFont="1" applyBorder="1" applyAlignment="1">
      <alignment vertical="center"/>
    </xf>
    <xf numFmtId="165" fontId="8" fillId="0" borderId="3" xfId="0" applyNumberFormat="1" applyFont="1" applyBorder="1" applyAlignment="1">
      <alignment vertical="center"/>
    </xf>
    <xf numFmtId="165" fontId="8" fillId="0" borderId="3" xfId="4" applyFont="1" applyBorder="1" applyAlignment="1">
      <alignment horizontal="right" vertical="center"/>
    </xf>
    <xf numFmtId="173" fontId="8" fillId="0" borderId="3" xfId="4" applyNumberFormat="1" applyFont="1" applyBorder="1" applyAlignment="1">
      <alignment horizontal="right" vertical="center"/>
    </xf>
    <xf numFmtId="176" fontId="8" fillId="0" borderId="3" xfId="4" applyNumberFormat="1" applyFont="1" applyBorder="1" applyAlignment="1">
      <alignment horizontal="right" vertical="center"/>
    </xf>
    <xf numFmtId="164" fontId="8" fillId="0" borderId="4" xfId="1" applyNumberFormat="1" applyFont="1" applyBorder="1" applyAlignment="1">
      <alignment horizontal="right" vertical="center" wrapText="1"/>
    </xf>
    <xf numFmtId="165" fontId="25" fillId="0" borderId="3" xfId="4" applyFont="1" applyBorder="1" applyAlignment="1">
      <alignment horizontal="right" vertical="center"/>
    </xf>
    <xf numFmtId="165" fontId="21" fillId="0" borderId="3" xfId="4" applyFont="1" applyBorder="1" applyAlignment="1">
      <alignment horizontal="right" vertical="center"/>
    </xf>
    <xf numFmtId="165" fontId="8" fillId="0" borderId="4" xfId="4" applyFont="1" applyBorder="1" applyAlignment="1">
      <alignment horizontal="right" vertical="center"/>
    </xf>
    <xf numFmtId="165" fontId="9" fillId="0" borderId="3" xfId="4" applyFont="1" applyBorder="1" applyAlignment="1">
      <alignment horizontal="right" vertical="center"/>
    </xf>
    <xf numFmtId="167" fontId="25" fillId="2" borderId="11" xfId="7" applyNumberFormat="1" applyFont="1" applyFill="1" applyBorder="1" applyAlignment="1" applyProtection="1">
      <alignment horizontal="right" vertical="center" wrapText="1"/>
      <protection locked="0"/>
    </xf>
    <xf numFmtId="173" fontId="25" fillId="2" borderId="20" xfId="4" applyNumberFormat="1" applyFont="1" applyFill="1" applyBorder="1" applyAlignment="1" applyProtection="1">
      <alignment horizontal="right" vertical="center" wrapText="1"/>
      <protection locked="0"/>
    </xf>
    <xf numFmtId="173" fontId="25" fillId="2" borderId="20" xfId="4" quotePrefix="1" applyNumberFormat="1" applyFont="1" applyFill="1" applyBorder="1" applyAlignment="1" applyProtection="1">
      <alignment horizontal="right" vertical="center" wrapText="1"/>
      <protection locked="0"/>
    </xf>
    <xf numFmtId="173" fontId="8" fillId="0" borderId="4" xfId="4" applyNumberFormat="1" applyFont="1" applyBorder="1" applyAlignment="1">
      <alignment horizontal="right" vertical="center"/>
    </xf>
    <xf numFmtId="0" fontId="9" fillId="0" borderId="4" xfId="0" applyFont="1" applyBorder="1" applyAlignment="1">
      <alignment horizontal="right" vertical="center"/>
    </xf>
    <xf numFmtId="0" fontId="8" fillId="2" borderId="3" xfId="0" applyFont="1" applyFill="1" applyBorder="1" applyAlignment="1">
      <alignment horizontal="right" vertical="center"/>
    </xf>
    <xf numFmtId="0" fontId="8" fillId="2" borderId="4" xfId="0" applyFont="1" applyFill="1" applyBorder="1" applyAlignment="1">
      <alignment horizontal="right" vertical="center"/>
    </xf>
    <xf numFmtId="176" fontId="8" fillId="0" borderId="4" xfId="4" applyNumberFormat="1" applyFont="1" applyBorder="1" applyAlignment="1">
      <alignment horizontal="right" vertical="center"/>
    </xf>
    <xf numFmtId="0" fontId="12" fillId="0" borderId="3" xfId="0" applyFont="1" applyBorder="1" applyAlignment="1">
      <alignment vertical="center"/>
    </xf>
    <xf numFmtId="176" fontId="25" fillId="0" borderId="3" xfId="4" applyNumberFormat="1" applyFont="1" applyFill="1" applyBorder="1" applyAlignment="1">
      <alignment horizontal="right" vertical="center" wrapText="1"/>
    </xf>
    <xf numFmtId="165" fontId="8" fillId="0" borderId="3" xfId="4" applyNumberFormat="1" applyFont="1" applyBorder="1" applyAlignment="1">
      <alignment horizontal="right" vertical="center"/>
    </xf>
    <xf numFmtId="176" fontId="21" fillId="0" borderId="3" xfId="4" applyNumberFormat="1" applyFont="1" applyBorder="1" applyAlignment="1">
      <alignment vertical="center"/>
    </xf>
    <xf numFmtId="176" fontId="26" fillId="2" borderId="3" xfId="4" applyNumberFormat="1" applyFont="1" applyFill="1" applyBorder="1" applyAlignment="1">
      <alignment horizontal="right" vertical="center" wrapText="1"/>
    </xf>
    <xf numFmtId="0" fontId="8" fillId="2" borderId="3" xfId="0" applyFont="1" applyFill="1" applyBorder="1" applyAlignment="1">
      <alignment vertical="center"/>
    </xf>
    <xf numFmtId="165" fontId="8" fillId="2" borderId="3" xfId="4" applyFont="1" applyFill="1" applyBorder="1" applyAlignment="1">
      <alignment vertical="center"/>
    </xf>
    <xf numFmtId="165" fontId="9" fillId="2" borderId="3" xfId="4" applyFont="1" applyFill="1" applyBorder="1" applyAlignment="1">
      <alignment vertical="center"/>
    </xf>
    <xf numFmtId="176" fontId="9" fillId="2" borderId="3" xfId="4" applyNumberFormat="1" applyFont="1" applyFill="1" applyBorder="1"/>
    <xf numFmtId="165" fontId="8" fillId="2" borderId="3" xfId="4" applyFont="1" applyFill="1" applyBorder="1" applyAlignment="1">
      <alignment horizontal="right" vertical="center"/>
    </xf>
    <xf numFmtId="165" fontId="9" fillId="2" borderId="3" xfId="4" applyFont="1" applyFill="1" applyBorder="1" applyAlignment="1">
      <alignment horizontal="right" vertical="center"/>
    </xf>
    <xf numFmtId="165" fontId="8" fillId="2" borderId="3" xfId="0" applyNumberFormat="1" applyFont="1" applyFill="1" applyBorder="1" applyAlignment="1">
      <alignment horizontal="right" vertical="center"/>
    </xf>
    <xf numFmtId="176" fontId="9" fillId="2" borderId="3" xfId="0" applyNumberFormat="1" applyFont="1" applyFill="1" applyBorder="1" applyAlignment="1">
      <alignment horizontal="right" vertical="center"/>
    </xf>
    <xf numFmtId="165" fontId="9" fillId="2" borderId="3" xfId="0" applyNumberFormat="1" applyFont="1" applyFill="1" applyBorder="1" applyAlignment="1">
      <alignment horizontal="right" vertical="center"/>
    </xf>
    <xf numFmtId="174" fontId="8" fillId="0" borderId="3" xfId="0" applyNumberFormat="1" applyFont="1" applyBorder="1" applyAlignment="1">
      <alignment vertical="center"/>
    </xf>
    <xf numFmtId="174" fontId="0" fillId="0" borderId="0" xfId="0" applyNumberFormat="1" applyFont="1"/>
    <xf numFmtId="175" fontId="0" fillId="0" borderId="0" xfId="0" applyNumberFormat="1" applyFont="1"/>
    <xf numFmtId="168" fontId="4" fillId="0" borderId="0" xfId="0" applyNumberFormat="1" applyFont="1"/>
    <xf numFmtId="169" fontId="4" fillId="0" borderId="0" xfId="0" applyNumberFormat="1" applyFont="1"/>
    <xf numFmtId="167" fontId="8" fillId="0" borderId="3" xfId="4" applyNumberFormat="1" applyFont="1" applyBorder="1" applyAlignment="1">
      <alignment vertical="center"/>
    </xf>
    <xf numFmtId="177" fontId="38" fillId="0" borderId="0" xfId="4" applyNumberFormat="1" applyFont="1"/>
    <xf numFmtId="176" fontId="0" fillId="0" borderId="0" xfId="4" applyNumberFormat="1" applyFont="1"/>
    <xf numFmtId="166" fontId="0" fillId="0" borderId="0" xfId="0" applyNumberFormat="1" applyFont="1"/>
    <xf numFmtId="164" fontId="0" fillId="0" borderId="0" xfId="0" applyNumberFormat="1" applyFont="1"/>
    <xf numFmtId="4" fontId="4" fillId="0" borderId="0" xfId="0" applyNumberFormat="1" applyFont="1" applyAlignment="1">
      <alignment horizontal="right"/>
    </xf>
    <xf numFmtId="176" fontId="4" fillId="0" borderId="0" xfId="4" applyNumberFormat="1" applyFont="1" applyAlignment="1">
      <alignment horizontal="right"/>
    </xf>
    <xf numFmtId="165" fontId="0" fillId="0" borderId="0" xfId="0" applyNumberFormat="1"/>
    <xf numFmtId="2" fontId="0" fillId="0" borderId="0" xfId="0" applyNumberFormat="1"/>
    <xf numFmtId="3" fontId="4" fillId="0" borderId="2" xfId="0" applyNumberFormat="1" applyFont="1" applyBorder="1"/>
    <xf numFmtId="3" fontId="4" fillId="0" borderId="3" xfId="0" applyNumberFormat="1" applyFont="1" applyBorder="1"/>
    <xf numFmtId="176" fontId="0" fillId="0" borderId="0" xfId="4" applyNumberFormat="1" applyFont="1" applyAlignment="1">
      <alignment vertical="center"/>
    </xf>
    <xf numFmtId="3" fontId="0" fillId="0" borderId="0" xfId="0" applyNumberFormat="1"/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51" fillId="2" borderId="0" xfId="0" applyFont="1" applyFill="1"/>
    <xf numFmtId="0" fontId="52" fillId="2" borderId="0" xfId="0" applyFont="1" applyFill="1"/>
    <xf numFmtId="0" fontId="53" fillId="2" borderId="0" xfId="0" applyFont="1" applyFill="1"/>
    <xf numFmtId="173" fontId="52" fillId="2" borderId="0" xfId="4" applyNumberFormat="1" applyFont="1" applyFill="1"/>
    <xf numFmtId="2" fontId="52" fillId="2" borderId="0" xfId="0" applyNumberFormat="1" applyFont="1" applyFill="1"/>
    <xf numFmtId="3" fontId="54" fillId="2" borderId="0" xfId="0" applyNumberFormat="1" applyFont="1" applyFill="1"/>
    <xf numFmtId="3" fontId="52" fillId="2" borderId="0" xfId="0" applyNumberFormat="1" applyFont="1" applyFill="1"/>
    <xf numFmtId="176" fontId="52" fillId="2" borderId="0" xfId="4" applyNumberFormat="1" applyFont="1" applyFill="1"/>
    <xf numFmtId="0" fontId="55" fillId="2" borderId="0" xfId="0" applyFont="1" applyFill="1"/>
    <xf numFmtId="176" fontId="51" fillId="2" borderId="0" xfId="4" applyNumberFormat="1" applyFont="1" applyFill="1"/>
    <xf numFmtId="169" fontId="51" fillId="2" borderId="0" xfId="0" applyNumberFormat="1" applyFont="1" applyFill="1"/>
    <xf numFmtId="176" fontId="51" fillId="2" borderId="0" xfId="0" applyNumberFormat="1" applyFont="1" applyFill="1"/>
    <xf numFmtId="0" fontId="51" fillId="2" borderId="0" xfId="0" applyFont="1" applyFill="1" applyBorder="1"/>
    <xf numFmtId="173" fontId="51" fillId="2" borderId="0" xfId="4" applyNumberFormat="1" applyFont="1" applyFill="1"/>
    <xf numFmtId="169" fontId="56" fillId="2" borderId="0" xfId="0" applyNumberFormat="1" applyFont="1" applyFill="1" applyBorder="1" applyAlignment="1">
      <alignment horizontal="right" vertical="center"/>
    </xf>
    <xf numFmtId="1" fontId="56" fillId="2" borderId="0" xfId="0" applyNumberFormat="1" applyFont="1" applyFill="1" applyBorder="1" applyAlignment="1">
      <alignment horizontal="right"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172" fontId="23" fillId="0" borderId="1" xfId="1" quotePrefix="1" applyNumberFormat="1" applyFont="1" applyFill="1" applyBorder="1" applyAlignment="1">
      <alignment horizontal="center" vertical="center" wrapText="1"/>
    </xf>
    <xf numFmtId="172" fontId="24" fillId="0" borderId="1" xfId="1" applyNumberFormat="1" applyFont="1" applyFill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/>
    </xf>
    <xf numFmtId="0" fontId="29" fillId="0" borderId="1" xfId="0" applyFont="1" applyBorder="1" applyAlignment="1">
      <alignment vertical="center" wrapText="1"/>
    </xf>
    <xf numFmtId="0" fontId="29" fillId="0" borderId="1" xfId="0" applyFont="1" applyBorder="1" applyAlignment="1">
      <alignment horizontal="center" vertical="center" wrapText="1"/>
    </xf>
    <xf numFmtId="168" fontId="29" fillId="0" borderId="1" xfId="1" applyNumberFormat="1" applyFont="1" applyBorder="1" applyAlignment="1">
      <alignment horizontal="right" vertical="center"/>
    </xf>
    <xf numFmtId="168" fontId="29" fillId="0" borderId="1" xfId="0" applyNumberFormat="1" applyFont="1" applyBorder="1" applyAlignment="1">
      <alignment vertical="center"/>
    </xf>
    <xf numFmtId="2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168" fontId="8" fillId="0" borderId="1" xfId="1" applyNumberFormat="1" applyFont="1" applyBorder="1" applyAlignment="1">
      <alignment horizontal="right" vertical="center"/>
    </xf>
    <xf numFmtId="168" fontId="8" fillId="0" borderId="1" xfId="0" applyNumberFormat="1" applyFont="1" applyBorder="1" applyAlignment="1">
      <alignment vertical="center"/>
    </xf>
    <xf numFmtId="168" fontId="8" fillId="0" borderId="1" xfId="0" applyNumberFormat="1" applyFont="1" applyBorder="1" applyAlignment="1">
      <alignment vertical="center" wrapText="1"/>
    </xf>
    <xf numFmtId="0" fontId="29" fillId="0" borderId="1" xfId="0" applyFont="1" applyBorder="1" applyAlignment="1">
      <alignment vertical="center"/>
    </xf>
    <xf numFmtId="172" fontId="23" fillId="0" borderId="1" xfId="1" applyNumberFormat="1" applyFont="1" applyFill="1" applyBorder="1" applyAlignment="1">
      <alignment horizontal="center" vertical="center" wrapText="1"/>
    </xf>
    <xf numFmtId="167" fontId="8" fillId="0" borderId="1" xfId="0" applyNumberFormat="1" applyFont="1" applyBorder="1" applyAlignment="1">
      <alignment vertical="center"/>
    </xf>
    <xf numFmtId="167" fontId="8" fillId="0" borderId="1" xfId="1" applyNumberFormat="1" applyFont="1" applyBorder="1" applyAlignment="1">
      <alignment vertical="center"/>
    </xf>
    <xf numFmtId="167" fontId="8" fillId="0" borderId="1" xfId="0" applyNumberFormat="1" applyFont="1" applyBorder="1" applyAlignment="1">
      <alignment vertical="center" wrapText="1"/>
    </xf>
    <xf numFmtId="164" fontId="8" fillId="0" borderId="1" xfId="1" applyNumberFormat="1" applyFont="1" applyBorder="1" applyAlignment="1">
      <alignment vertical="center"/>
    </xf>
    <xf numFmtId="173" fontId="8" fillId="0" borderId="1" xfId="4" applyNumberFormat="1" applyFont="1" applyBorder="1" applyAlignment="1">
      <alignment horizontal="center" vertical="center"/>
    </xf>
    <xf numFmtId="2" fontId="9" fillId="0" borderId="1" xfId="0" applyNumberFormat="1" applyFont="1" applyBorder="1" applyAlignment="1">
      <alignment horizontal="right" vertical="center"/>
    </xf>
    <xf numFmtId="2" fontId="26" fillId="0" borderId="1" xfId="0" applyNumberFormat="1" applyFont="1" applyBorder="1" applyAlignment="1">
      <alignment horizontal="right" vertical="center"/>
    </xf>
    <xf numFmtId="2" fontId="26" fillId="0" borderId="1" xfId="0" applyNumberFormat="1" applyFont="1" applyBorder="1" applyAlignment="1">
      <alignment horizontal="right" vertical="center" wrapText="1"/>
    </xf>
    <xf numFmtId="169" fontId="26" fillId="0" borderId="1" xfId="0" applyNumberFormat="1" applyFont="1" applyBorder="1" applyAlignment="1">
      <alignment horizontal="right" vertical="center"/>
    </xf>
    <xf numFmtId="168" fontId="9" fillId="0" borderId="1" xfId="1" applyNumberFormat="1" applyFont="1" applyBorder="1" applyAlignment="1">
      <alignment horizontal="right" vertical="center"/>
    </xf>
    <xf numFmtId="168" fontId="13" fillId="0" borderId="1" xfId="1" applyNumberFormat="1" applyFont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/>
    </xf>
    <xf numFmtId="168" fontId="8" fillId="0" borderId="1" xfId="1" applyNumberFormat="1" applyFont="1" applyBorder="1" applyAlignment="1">
      <alignment vertical="center"/>
    </xf>
    <xf numFmtId="168" fontId="8" fillId="0" borderId="1" xfId="1" applyNumberFormat="1" applyFont="1" applyBorder="1" applyAlignment="1">
      <alignment vertical="center" wrapText="1"/>
    </xf>
    <xf numFmtId="164" fontId="9" fillId="0" borderId="1" xfId="1" applyNumberFormat="1" applyFont="1" applyBorder="1" applyAlignment="1">
      <alignment vertical="center"/>
    </xf>
    <xf numFmtId="167" fontId="9" fillId="0" borderId="1" xfId="1" applyNumberFormat="1" applyFont="1" applyBorder="1" applyAlignment="1">
      <alignment vertical="center"/>
    </xf>
    <xf numFmtId="167" fontId="29" fillId="0" borderId="1" xfId="1" applyNumberFormat="1" applyFont="1" applyBorder="1" applyAlignment="1">
      <alignment horizontal="right" vertical="center"/>
    </xf>
    <xf numFmtId="167" fontId="29" fillId="0" borderId="1" xfId="0" applyNumberFormat="1" applyFont="1" applyBorder="1" applyAlignment="1">
      <alignment vertical="center"/>
    </xf>
    <xf numFmtId="167" fontId="29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/>
    </xf>
    <xf numFmtId="0" fontId="9" fillId="0" borderId="1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right" vertical="center"/>
    </xf>
    <xf numFmtId="0" fontId="8" fillId="0" borderId="1" xfId="0" applyFont="1" applyBorder="1" applyAlignment="1">
      <alignment horizontal="right" vertical="center" wrapText="1"/>
    </xf>
    <xf numFmtId="169" fontId="8" fillId="0" borderId="1" xfId="0" applyNumberFormat="1" applyFont="1" applyBorder="1" applyAlignment="1">
      <alignment horizontal="right" vertical="center"/>
    </xf>
    <xf numFmtId="169" fontId="8" fillId="0" borderId="1" xfId="0" applyNumberFormat="1" applyFont="1" applyBorder="1" applyAlignment="1">
      <alignment horizontal="right" vertical="center" wrapText="1"/>
    </xf>
    <xf numFmtId="2" fontId="8" fillId="0" borderId="1" xfId="0" applyNumberFormat="1" applyFont="1" applyBorder="1" applyAlignment="1">
      <alignment horizontal="right" vertical="center"/>
    </xf>
    <xf numFmtId="1" fontId="8" fillId="0" borderId="1" xfId="0" applyNumberFormat="1" applyFont="1" applyBorder="1" applyAlignment="1">
      <alignment horizontal="right" vertical="center"/>
    </xf>
    <xf numFmtId="170" fontId="23" fillId="0" borderId="1" xfId="1" applyNumberFormat="1" applyFont="1" applyFill="1" applyBorder="1" applyAlignment="1">
      <alignment vertical="center"/>
    </xf>
    <xf numFmtId="1" fontId="26" fillId="0" borderId="1" xfId="0" applyNumberFormat="1" applyFont="1" applyBorder="1" applyAlignment="1">
      <alignment horizontal="right" vertical="center"/>
    </xf>
    <xf numFmtId="1" fontId="26" fillId="0" borderId="1" xfId="1" applyNumberFormat="1" applyFont="1" applyBorder="1" applyAlignment="1">
      <alignment horizontal="right" vertical="center"/>
    </xf>
    <xf numFmtId="1" fontId="26" fillId="0" borderId="1" xfId="1" applyNumberFormat="1" applyFont="1" applyBorder="1" applyAlignment="1">
      <alignment horizontal="right" vertical="center" wrapText="1"/>
    </xf>
    <xf numFmtId="169" fontId="8" fillId="0" borderId="1" xfId="0" applyNumberFormat="1" applyFont="1" applyBorder="1" applyAlignment="1">
      <alignment horizontal="center" vertical="center" wrapText="1"/>
    </xf>
    <xf numFmtId="2" fontId="9" fillId="0" borderId="1" xfId="0" applyNumberFormat="1" applyFont="1" applyBorder="1" applyAlignment="1">
      <alignment horizontal="center" vertical="center" wrapText="1"/>
    </xf>
    <xf numFmtId="174" fontId="8" fillId="0" borderId="1" xfId="0" applyNumberFormat="1" applyFont="1" applyBorder="1" applyAlignment="1">
      <alignment horizontal="center" vertical="center"/>
    </xf>
    <xf numFmtId="0" fontId="34" fillId="0" borderId="1" xfId="0" applyFont="1" applyBorder="1" applyAlignment="1">
      <alignment horizontal="center" vertical="center"/>
    </xf>
    <xf numFmtId="0" fontId="34" fillId="0" borderId="1" xfId="0" applyFont="1" applyBorder="1" applyAlignment="1">
      <alignment horizontal="center" vertical="center" wrapText="1"/>
    </xf>
    <xf numFmtId="170" fontId="34" fillId="0" borderId="1" xfId="0" applyNumberFormat="1" applyFont="1" applyFill="1" applyBorder="1" applyAlignment="1" applyProtection="1">
      <alignment horizontal="right" vertical="center"/>
      <protection locked="0"/>
    </xf>
    <xf numFmtId="169" fontId="34" fillId="0" borderId="1" xfId="0" applyNumberFormat="1" applyFont="1" applyBorder="1" applyAlignment="1">
      <alignment horizontal="right" vertical="center"/>
    </xf>
    <xf numFmtId="169" fontId="34" fillId="0" borderId="1" xfId="0" applyNumberFormat="1" applyFont="1" applyBorder="1" applyAlignment="1">
      <alignment horizontal="right" vertical="center" wrapText="1"/>
    </xf>
    <xf numFmtId="169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25" fillId="0" borderId="1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vertical="center"/>
    </xf>
    <xf numFmtId="173" fontId="25" fillId="0" borderId="1" xfId="4" applyNumberFormat="1" applyFont="1" applyBorder="1" applyAlignment="1">
      <alignment vertical="center"/>
    </xf>
    <xf numFmtId="173" fontId="25" fillId="0" borderId="1" xfId="0" applyNumberFormat="1" applyFont="1" applyBorder="1" applyAlignment="1">
      <alignment vertical="center"/>
    </xf>
    <xf numFmtId="169" fontId="25" fillId="0" borderId="1" xfId="0" applyNumberFormat="1" applyFont="1" applyBorder="1" applyAlignment="1">
      <alignment vertical="center"/>
    </xf>
    <xf numFmtId="2" fontId="8" fillId="0" borderId="1" xfId="0" applyNumberFormat="1" applyFont="1" applyBorder="1" applyAlignment="1">
      <alignment horizontal="right" vertical="center" wrapText="1"/>
    </xf>
    <xf numFmtId="167" fontId="49" fillId="2" borderId="1" xfId="7" applyNumberFormat="1" applyFont="1" applyFill="1" applyBorder="1" applyAlignment="1" applyProtection="1">
      <alignment horizontal="right" vertical="center" wrapText="1"/>
      <protection locked="0"/>
    </xf>
    <xf numFmtId="170" fontId="25" fillId="2" borderId="1" xfId="0" applyNumberFormat="1" applyFont="1" applyFill="1" applyBorder="1" applyAlignment="1" applyProtection="1">
      <alignment horizontal="center" vertical="center" wrapText="1"/>
      <protection locked="0"/>
    </xf>
    <xf numFmtId="169" fontId="25" fillId="2" borderId="1" xfId="0" applyNumberFormat="1" applyFont="1" applyFill="1" applyBorder="1" applyAlignment="1">
      <alignment horizontal="right" vertical="center"/>
    </xf>
    <xf numFmtId="169" fontId="25" fillId="2" borderId="1" xfId="0" applyNumberFormat="1" applyFont="1" applyFill="1" applyBorder="1" applyAlignment="1">
      <alignment horizontal="right" vertical="center" wrapText="1"/>
    </xf>
    <xf numFmtId="2" fontId="25" fillId="2" borderId="1" xfId="0" applyNumberFormat="1" applyFont="1" applyFill="1" applyBorder="1" applyAlignment="1">
      <alignment horizontal="right" vertical="center"/>
    </xf>
    <xf numFmtId="2" fontId="34" fillId="0" borderId="1" xfId="0" applyNumberFormat="1" applyFont="1" applyBorder="1" applyAlignment="1">
      <alignment horizontal="right" vertical="center"/>
    </xf>
    <xf numFmtId="2" fontId="25" fillId="0" borderId="1" xfId="0" applyNumberFormat="1" applyFont="1" applyBorder="1" applyAlignment="1">
      <alignment vertical="center"/>
    </xf>
    <xf numFmtId="2" fontId="25" fillId="0" borderId="1" xfId="0" applyNumberFormat="1" applyFont="1" applyBorder="1" applyAlignment="1">
      <alignment vertical="center" wrapText="1"/>
    </xf>
    <xf numFmtId="169" fontId="25" fillId="0" borderId="1" xfId="0" applyNumberFormat="1" applyFont="1" applyBorder="1" applyAlignment="1">
      <alignment horizontal="right" vertical="center"/>
    </xf>
    <xf numFmtId="169" fontId="25" fillId="0" borderId="1" xfId="0" applyNumberFormat="1" applyFont="1" applyBorder="1" applyAlignment="1">
      <alignment horizontal="center" vertical="center" wrapText="1"/>
    </xf>
    <xf numFmtId="169" fontId="25" fillId="0" borderId="1" xfId="0" applyNumberFormat="1" applyFont="1" applyBorder="1" applyAlignment="1">
      <alignment horizontal="center" vertical="center"/>
    </xf>
    <xf numFmtId="2" fontId="25" fillId="2" borderId="1" xfId="0" quotePrefix="1" applyNumberFormat="1" applyFont="1" applyFill="1" applyBorder="1" applyAlignment="1">
      <alignment horizontal="right" vertical="center"/>
    </xf>
    <xf numFmtId="1" fontId="8" fillId="0" borderId="1" xfId="0" applyNumberFormat="1" applyFont="1" applyBorder="1" applyAlignment="1">
      <alignment horizontal="right" vertical="center" wrapText="1"/>
    </xf>
    <xf numFmtId="165" fontId="8" fillId="0" borderId="1" xfId="0" applyNumberFormat="1" applyFont="1" applyBorder="1" applyAlignment="1">
      <alignment horizontal="right" vertical="center"/>
    </xf>
    <xf numFmtId="165" fontId="8" fillId="2" borderId="1" xfId="0" applyNumberFormat="1" applyFont="1" applyFill="1" applyBorder="1" applyAlignment="1">
      <alignment horizontal="right" vertical="center"/>
    </xf>
    <xf numFmtId="167" fontId="25" fillId="0" borderId="1" xfId="1" applyNumberFormat="1" applyFont="1" applyBorder="1" applyAlignment="1">
      <alignment horizontal="right" vertical="center"/>
    </xf>
    <xf numFmtId="167" fontId="25" fillId="0" borderId="1" xfId="1" applyNumberFormat="1" applyFont="1" applyBorder="1" applyAlignment="1">
      <alignment horizontal="right" vertical="center" wrapText="1"/>
    </xf>
    <xf numFmtId="169" fontId="8" fillId="2" borderId="1" xfId="0" applyNumberFormat="1" applyFont="1" applyFill="1" applyBorder="1" applyAlignment="1">
      <alignment horizontal="right" vertical="center"/>
    </xf>
    <xf numFmtId="176" fontId="8" fillId="0" borderId="1" xfId="4" applyNumberFormat="1" applyFont="1" applyBorder="1" applyAlignment="1">
      <alignment vertical="center"/>
    </xf>
    <xf numFmtId="176" fontId="8" fillId="0" borderId="1" xfId="4" applyNumberFormat="1" applyFont="1" applyBorder="1" applyAlignment="1">
      <alignment vertical="center" wrapText="1"/>
    </xf>
    <xf numFmtId="0" fontId="9" fillId="0" borderId="1" xfId="0" applyFont="1" applyBorder="1" applyAlignment="1">
      <alignment horizontal="justify" vertical="center" wrapText="1"/>
    </xf>
    <xf numFmtId="0" fontId="29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justify" vertical="center" wrapText="1"/>
    </xf>
    <xf numFmtId="0" fontId="34" fillId="0" borderId="1" xfId="0" applyFont="1" applyBorder="1" applyAlignment="1">
      <alignment horizontal="justify" vertical="center" wrapText="1"/>
    </xf>
    <xf numFmtId="0" fontId="25" fillId="0" borderId="1" xfId="0" quotePrefix="1" applyFont="1" applyBorder="1" applyAlignment="1">
      <alignment horizontal="justify" vertical="center" wrapText="1"/>
    </xf>
    <xf numFmtId="0" fontId="8" fillId="0" borderId="1" xfId="0" quotePrefix="1" applyFont="1" applyBorder="1" applyAlignment="1">
      <alignment horizontal="justify" vertical="center" wrapText="1"/>
    </xf>
    <xf numFmtId="0" fontId="25" fillId="0" borderId="1" xfId="0" quotePrefix="1" applyFont="1" applyFill="1" applyBorder="1" applyAlignment="1" applyProtection="1">
      <alignment horizontal="justify" vertical="center" wrapText="1"/>
      <protection locked="0"/>
    </xf>
    <xf numFmtId="0" fontId="25" fillId="0" borderId="1" xfId="0" applyFont="1" applyBorder="1" applyAlignment="1">
      <alignment horizontal="justify" vertical="center" wrapText="1"/>
    </xf>
    <xf numFmtId="1" fontId="26" fillId="0" borderId="1" xfId="1" applyNumberFormat="1" applyFont="1" applyBorder="1" applyAlignment="1">
      <alignment horizontal="center" vertical="center" wrapText="1"/>
    </xf>
    <xf numFmtId="0" fontId="59" fillId="0" borderId="21" xfId="0" applyFont="1" applyBorder="1" applyAlignment="1">
      <alignment horizontal="center" vertical="center"/>
    </xf>
    <xf numFmtId="0" fontId="46" fillId="0" borderId="21" xfId="0" applyFont="1" applyBorder="1" applyAlignment="1">
      <alignment horizontal="center" vertical="center"/>
    </xf>
    <xf numFmtId="0" fontId="60" fillId="0" borderId="0" xfId="0" applyFont="1"/>
    <xf numFmtId="0" fontId="59" fillId="0" borderId="1" xfId="0" applyFont="1" applyBorder="1" applyAlignment="1">
      <alignment vertical="center" wrapText="1"/>
    </xf>
    <xf numFmtId="0" fontId="59" fillId="0" borderId="1" xfId="0" applyFont="1" applyBorder="1" applyAlignment="1">
      <alignment horizontal="center" vertical="center" wrapText="1"/>
    </xf>
    <xf numFmtId="170" fontId="59" fillId="2" borderId="1" xfId="0" applyNumberFormat="1" applyFont="1" applyFill="1" applyBorder="1" applyAlignment="1" applyProtection="1">
      <alignment horizontal="right" vertical="center" wrapText="1"/>
      <protection locked="0"/>
    </xf>
    <xf numFmtId="174" fontId="59" fillId="0" borderId="1" xfId="0" applyNumberFormat="1" applyFont="1" applyBorder="1" applyAlignment="1">
      <alignment horizontal="right" vertical="center"/>
    </xf>
    <xf numFmtId="0" fontId="59" fillId="0" borderId="1" xfId="0" applyFont="1" applyBorder="1" applyAlignment="1">
      <alignment vertical="center"/>
    </xf>
    <xf numFmtId="0" fontId="37" fillId="0" borderId="1" xfId="0" applyFont="1" applyBorder="1"/>
    <xf numFmtId="0" fontId="46" fillId="0" borderId="1" xfId="0" applyFont="1" applyBorder="1" applyAlignment="1">
      <alignment vertical="center" wrapText="1"/>
    </xf>
    <xf numFmtId="0" fontId="46" fillId="0" borderId="1" xfId="0" applyFont="1" applyBorder="1" applyAlignment="1">
      <alignment horizontal="center" vertical="center" wrapText="1"/>
    </xf>
    <xf numFmtId="170" fontId="46" fillId="2" borderId="1" xfId="0" applyNumberFormat="1" applyFont="1" applyFill="1" applyBorder="1" applyAlignment="1" applyProtection="1">
      <alignment horizontal="right" vertical="center" wrapText="1"/>
      <protection locked="0"/>
    </xf>
    <xf numFmtId="174" fontId="46" fillId="0" borderId="1" xfId="0" applyNumberFormat="1" applyFont="1" applyBorder="1" applyAlignment="1">
      <alignment horizontal="right" vertical="center"/>
    </xf>
    <xf numFmtId="0" fontId="46" fillId="0" borderId="1" xfId="0" applyFont="1" applyBorder="1" applyAlignment="1">
      <alignment vertical="center"/>
    </xf>
    <xf numFmtId="0" fontId="27" fillId="0" borderId="1" xfId="0" applyFont="1" applyBorder="1"/>
    <xf numFmtId="0" fontId="60" fillId="0" borderId="1" xfId="0" applyFont="1" applyBorder="1"/>
    <xf numFmtId="0" fontId="46" fillId="0" borderId="1" xfId="0" applyFont="1" applyBorder="1" applyAlignment="1">
      <alignment horizontal="right" vertical="center"/>
    </xf>
    <xf numFmtId="0" fontId="46" fillId="0" borderId="1" xfId="0" quotePrefix="1" applyFont="1" applyBorder="1" applyAlignment="1">
      <alignment horizontal="right" vertical="center"/>
    </xf>
    <xf numFmtId="0" fontId="59" fillId="0" borderId="1" xfId="0" applyFont="1" applyBorder="1" applyAlignment="1">
      <alignment horizontal="right" vertical="center"/>
    </xf>
    <xf numFmtId="0" fontId="46" fillId="0" borderId="1" xfId="0" applyFont="1" applyBorder="1" applyAlignment="1">
      <alignment horizontal="center" vertical="center"/>
    </xf>
    <xf numFmtId="0" fontId="59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57" fillId="0" borderId="0" xfId="0" applyFont="1" applyAlignment="1">
      <alignment horizontal="center" vertical="center" wrapText="1"/>
    </xf>
    <xf numFmtId="0" fontId="57" fillId="0" borderId="0" xfId="0" applyFont="1" applyAlignment="1">
      <alignment horizontal="center" vertical="center"/>
    </xf>
    <xf numFmtId="0" fontId="58" fillId="0" borderId="5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164" fontId="39" fillId="0" borderId="1" xfId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26" fillId="0" borderId="9" xfId="0" applyFont="1" applyFill="1" applyBorder="1" applyAlignment="1">
      <alignment horizontal="center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26" fillId="0" borderId="14" xfId="0" applyFont="1" applyFill="1" applyBorder="1" applyAlignment="1">
      <alignment horizontal="center" vertical="center"/>
    </xf>
    <xf numFmtId="0" fontId="26" fillId="0" borderId="16" xfId="0" applyFont="1" applyFill="1" applyBorder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left" wrapText="1"/>
    </xf>
    <xf numFmtId="0" fontId="9" fillId="0" borderId="1" xfId="0" applyFont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40" fillId="0" borderId="0" xfId="0" applyFont="1" applyAlignment="1">
      <alignment horizontal="center" vertical="center" wrapText="1"/>
    </xf>
    <xf numFmtId="0" fontId="41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167" fontId="13" fillId="0" borderId="1" xfId="1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right" vertical="center" wrapText="1"/>
    </xf>
    <xf numFmtId="0" fontId="9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wrapText="1"/>
    </xf>
    <xf numFmtId="0" fontId="21" fillId="0" borderId="0" xfId="0" applyFont="1" applyAlignment="1">
      <alignment horizontal="right" wrapText="1"/>
    </xf>
    <xf numFmtId="0" fontId="9" fillId="0" borderId="0" xfId="0" applyFont="1" applyAlignment="1">
      <alignment horizont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168" fontId="9" fillId="0" borderId="1" xfId="1" applyNumberFormat="1" applyFont="1" applyBorder="1" applyAlignment="1">
      <alignment horizontal="center" vertical="center" wrapText="1"/>
    </xf>
  </cellXfs>
  <cellStyles count="8">
    <cellStyle name="Comma" xfId="1" builtinId="3"/>
    <cellStyle name="Comma [0]" xfId="4" builtinId="6"/>
    <cellStyle name="Comma 10 4" xfId="7"/>
    <cellStyle name="Comma 3" xfId="3"/>
    <cellStyle name="Comma 3 2 3 2" xfId="5"/>
    <cellStyle name="Comma 8" xfId="2"/>
    <cellStyle name="Comma 8 2" xfId="6"/>
    <cellStyle name="Normal" xfId="0" builtinId="0"/>
  </cellStyles>
  <dxfs count="0"/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</xdr:colOff>
      <xdr:row>20</xdr:row>
      <xdr:rowOff>0</xdr:rowOff>
    </xdr:from>
    <xdr:to>
      <xdr:col>2</xdr:col>
      <xdr:colOff>152400</xdr:colOff>
      <xdr:row>20</xdr:row>
      <xdr:rowOff>190500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>
          <a:spLocks noChangeArrowheads="1"/>
        </xdr:cNvSpPr>
      </xdr:nvSpPr>
      <xdr:spPr bwMode="auto">
        <a:xfrm>
          <a:off x="3257550" y="7762875"/>
          <a:ext cx="9525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57150</xdr:colOff>
      <xdr:row>21</xdr:row>
      <xdr:rowOff>0</xdr:rowOff>
    </xdr:from>
    <xdr:to>
      <xdr:col>2</xdr:col>
      <xdr:colOff>152400</xdr:colOff>
      <xdr:row>26</xdr:row>
      <xdr:rowOff>228601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 txBox="1">
          <a:spLocks noChangeArrowheads="1"/>
        </xdr:cNvSpPr>
      </xdr:nvSpPr>
      <xdr:spPr bwMode="auto">
        <a:xfrm>
          <a:off x="3257550" y="8124825"/>
          <a:ext cx="9525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57150</xdr:colOff>
      <xdr:row>21</xdr:row>
      <xdr:rowOff>0</xdr:rowOff>
    </xdr:from>
    <xdr:to>
      <xdr:col>2</xdr:col>
      <xdr:colOff>152400</xdr:colOff>
      <xdr:row>26</xdr:row>
      <xdr:rowOff>228601</xdr:rowOff>
    </xdr:to>
    <xdr:sp macro="" textlink="">
      <xdr:nvSpPr>
        <xdr:cNvPr id="4" name="Text Box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 txBox="1">
          <a:spLocks noChangeArrowheads="1"/>
        </xdr:cNvSpPr>
      </xdr:nvSpPr>
      <xdr:spPr bwMode="auto">
        <a:xfrm>
          <a:off x="3257550" y="8124825"/>
          <a:ext cx="9525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57150</xdr:colOff>
      <xdr:row>21</xdr:row>
      <xdr:rowOff>0</xdr:rowOff>
    </xdr:from>
    <xdr:to>
      <xdr:col>2</xdr:col>
      <xdr:colOff>152400</xdr:colOff>
      <xdr:row>26</xdr:row>
      <xdr:rowOff>228601</xdr:rowOff>
    </xdr:to>
    <xdr:sp macro="" textlink="">
      <xdr:nvSpPr>
        <xdr:cNvPr id="5" name="Text Box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 txBox="1">
          <a:spLocks noChangeArrowheads="1"/>
        </xdr:cNvSpPr>
      </xdr:nvSpPr>
      <xdr:spPr bwMode="auto">
        <a:xfrm>
          <a:off x="3257550" y="8124825"/>
          <a:ext cx="9525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&#192;I%20LI&#7878;U%20C&#7910;A%20L&#192;NH\T&#7893;ng%20h&#7907;p\N&#258;M%202020\T&#192;I%20LI&#7878;U%20H&#7884;P%20&#7910;Y%20BAN\th&#225;ng%2011\t&#224;i%20li&#7879;u%20k&#7923;%20h&#7885;p%20th&#7913;%2011%20H&#272;ND%20huy&#7879;n\TL%20sau%20k&#7923;%20h&#7885;p%20th&#7913;%2011%20H&#272;ND%20(b&#7843;n%20tr&#236;nh%20k&#253;)\qd%20giao%20ch&#7881;%20ti&#234;u%20ph&#225;t%20tri&#7875;n%20ktxh%205%20n&#259;m\TH%20G&#272;%205%20n&#259;m%20KH%205%20nam%202016-2020%20-%20H.Mt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\AppData\Local\Temp\Rar$DIa6156.8812\KH%205%20nam%202021%20-%202025-H.Muong%20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T\AppData\Local\Temp\Rar$DIa3716.39403\Bi&#7875;u%20KH%20%202021-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xz"/>
      <sheetName val="B1 TH"/>
      <sheetName val="B2NN"/>
      <sheetName val="B3 CNXD"/>
      <sheetName val="B4 CN"/>
      <sheetName val="B4 TM-Dich vu"/>
      <sheetName val="B5 GD&amp;DT va KHCN"/>
      <sheetName val="B6 Linh vuc xa hoi"/>
      <sheetName val="B7 Kinh te vung"/>
      <sheetName val="B8"/>
      <sheetName val="B9"/>
      <sheetName val="B10"/>
      <sheetName val="B11 HTX"/>
      <sheetName val="B12 ĐT trọng điểm"/>
      <sheetName val="B13"/>
    </sheetNames>
    <sheetDataSet>
      <sheetData sheetId="0" refreshError="1"/>
      <sheetData sheetId="1" refreshError="1">
        <row r="8">
          <cell r="S8">
            <v>1126.3220917719991</v>
          </cell>
        </row>
        <row r="9">
          <cell r="S9">
            <v>617.50565056861228</v>
          </cell>
        </row>
        <row r="10">
          <cell r="S10">
            <v>273.5434054559073</v>
          </cell>
        </row>
        <row r="11">
          <cell r="S11">
            <v>235.27303574747958</v>
          </cell>
        </row>
        <row r="13">
          <cell r="S13">
            <v>54.824961268149721</v>
          </cell>
        </row>
        <row r="14">
          <cell r="S14">
            <v>24.286428141132525</v>
          </cell>
        </row>
        <row r="15">
          <cell r="S15">
            <v>20.888610590717757</v>
          </cell>
        </row>
        <row r="16">
          <cell r="S16">
            <v>23.85</v>
          </cell>
        </row>
        <row r="18">
          <cell r="S18">
            <v>398.15862304458238</v>
          </cell>
        </row>
        <row r="28">
          <cell r="S28">
            <v>51.23</v>
          </cell>
        </row>
        <row r="51">
          <cell r="S51">
            <v>20.9</v>
          </cell>
        </row>
        <row r="53">
          <cell r="S53">
            <v>6.2687861548983586</v>
          </cell>
        </row>
      </sheetData>
      <sheetData sheetId="2" refreshError="1">
        <row r="10">
          <cell r="K10">
            <v>18656.518599999996</v>
          </cell>
        </row>
        <row r="11">
          <cell r="K11">
            <v>12784.568599999997</v>
          </cell>
        </row>
        <row r="12">
          <cell r="K12">
            <v>5871.95</v>
          </cell>
        </row>
        <row r="15">
          <cell r="K15">
            <v>3068.38</v>
          </cell>
        </row>
        <row r="16">
          <cell r="K16">
            <v>41.66553230043214</v>
          </cell>
        </row>
        <row r="17">
          <cell r="K17">
            <v>12784.568599999997</v>
          </cell>
        </row>
        <row r="18">
          <cell r="K18">
            <v>476.71000000000004</v>
          </cell>
        </row>
        <row r="19">
          <cell r="K19">
            <v>54.71120807199344</v>
          </cell>
        </row>
        <row r="20">
          <cell r="K20">
            <v>2608.1379999999995</v>
          </cell>
        </row>
        <row r="22">
          <cell r="K22">
            <v>49.107175017165723</v>
          </cell>
        </row>
        <row r="23">
          <cell r="K23">
            <v>9369.0105999999978</v>
          </cell>
        </row>
        <row r="24">
          <cell r="K24">
            <v>683.8</v>
          </cell>
        </row>
        <row r="25">
          <cell r="K25">
            <v>11.807838549283415</v>
          </cell>
        </row>
        <row r="26">
          <cell r="K26">
            <v>807.42</v>
          </cell>
        </row>
        <row r="27">
          <cell r="K27">
            <v>280</v>
          </cell>
        </row>
        <row r="28">
          <cell r="K28">
            <v>52.714285714285715</v>
          </cell>
        </row>
        <row r="29">
          <cell r="K29">
            <v>1476</v>
          </cell>
        </row>
        <row r="30">
          <cell r="K30">
            <v>1916.8</v>
          </cell>
        </row>
        <row r="31">
          <cell r="K31">
            <v>30.634129799666109</v>
          </cell>
        </row>
        <row r="32">
          <cell r="K32">
            <v>5871.95</v>
          </cell>
        </row>
        <row r="33">
          <cell r="K33">
            <v>1740</v>
          </cell>
        </row>
        <row r="34">
          <cell r="K34">
            <v>31.439655172413794</v>
          </cell>
        </row>
        <row r="35">
          <cell r="K35">
            <v>5470.5</v>
          </cell>
        </row>
        <row r="36">
          <cell r="K36">
            <v>176.8</v>
          </cell>
        </row>
        <row r="37">
          <cell r="K37">
            <v>22.706447963800901</v>
          </cell>
        </row>
        <row r="38">
          <cell r="K38">
            <v>401.45</v>
          </cell>
        </row>
        <row r="39">
          <cell r="K39">
            <v>381</v>
          </cell>
        </row>
        <row r="40">
          <cell r="K40">
            <v>2360.4</v>
          </cell>
        </row>
        <row r="49">
          <cell r="K49">
            <v>400.7</v>
          </cell>
        </row>
        <row r="54">
          <cell r="K54">
            <v>2100</v>
          </cell>
        </row>
        <row r="56">
          <cell r="K56">
            <v>428.25</v>
          </cell>
        </row>
        <row r="63">
          <cell r="K63">
            <v>35868</v>
          </cell>
        </row>
        <row r="64">
          <cell r="K64">
            <v>7332</v>
          </cell>
        </row>
        <row r="65">
          <cell r="K65">
            <v>4756</v>
          </cell>
        </row>
        <row r="66">
          <cell r="K66">
            <v>23780</v>
          </cell>
        </row>
        <row r="67">
          <cell r="K67">
            <v>1.7461757187071214</v>
          </cell>
        </row>
        <row r="68">
          <cell r="K68">
            <v>124.29400000000001</v>
          </cell>
        </row>
        <row r="71">
          <cell r="K71">
            <v>842.17599999999993</v>
          </cell>
        </row>
        <row r="72">
          <cell r="K72">
            <v>344.5</v>
          </cell>
        </row>
        <row r="73">
          <cell r="K73">
            <v>497.67599999999999</v>
          </cell>
        </row>
        <row r="74">
          <cell r="K74">
            <v>54.86</v>
          </cell>
        </row>
        <row r="76">
          <cell r="K76">
            <v>65.053657211906099</v>
          </cell>
        </row>
        <row r="77">
          <cell r="K77">
            <v>175782.04000000004</v>
          </cell>
        </row>
        <row r="78">
          <cell r="K78">
            <v>173759.83000000002</v>
          </cell>
        </row>
        <row r="79">
          <cell r="K79">
            <v>72721.27</v>
          </cell>
        </row>
        <row r="80">
          <cell r="K80">
            <v>79155.8</v>
          </cell>
        </row>
        <row r="81">
          <cell r="K81">
            <v>21882.760000000002</v>
          </cell>
        </row>
        <row r="82">
          <cell r="K82">
            <v>1621.51</v>
          </cell>
        </row>
        <row r="86">
          <cell r="K86">
            <v>140.44</v>
          </cell>
        </row>
        <row r="88">
          <cell r="K88">
            <v>400.7</v>
          </cell>
        </row>
        <row r="90">
          <cell r="K90">
            <v>921.33</v>
          </cell>
        </row>
        <row r="91">
          <cell r="K91">
            <v>430.68000000000006</v>
          </cell>
        </row>
        <row r="92">
          <cell r="K92">
            <v>18.98</v>
          </cell>
        </row>
        <row r="94">
          <cell r="K94">
            <v>15</v>
          </cell>
        </row>
        <row r="95">
          <cell r="K95">
            <v>4</v>
          </cell>
        </row>
      </sheetData>
      <sheetData sheetId="3" refreshError="1">
        <row r="9">
          <cell r="K9">
            <v>105954.61</v>
          </cell>
        </row>
        <row r="10">
          <cell r="K10">
            <v>390.1</v>
          </cell>
        </row>
        <row r="11">
          <cell r="K11">
            <v>69.900000000000006</v>
          </cell>
        </row>
        <row r="12">
          <cell r="K12">
            <v>640</v>
          </cell>
        </row>
        <row r="14">
          <cell r="K14">
            <v>14</v>
          </cell>
        </row>
        <row r="15">
          <cell r="K15">
            <v>100</v>
          </cell>
        </row>
        <row r="16">
          <cell r="K16">
            <v>92.6</v>
          </cell>
        </row>
        <row r="17">
          <cell r="K17">
            <v>91.5</v>
          </cell>
        </row>
        <row r="18">
          <cell r="K18">
            <v>85</v>
          </cell>
        </row>
        <row r="19">
          <cell r="K19">
            <v>7.3</v>
          </cell>
        </row>
      </sheetData>
      <sheetData sheetId="4" refreshError="1"/>
      <sheetData sheetId="5" refreshError="1">
        <row r="7">
          <cell r="K7">
            <v>240.81</v>
          </cell>
        </row>
        <row r="8">
          <cell r="K8">
            <v>107.15666391776722</v>
          </cell>
        </row>
        <row r="11">
          <cell r="K11">
            <v>2.7104725792933237</v>
          </cell>
        </row>
        <row r="12">
          <cell r="K12">
            <v>9.6591219506134678</v>
          </cell>
        </row>
        <row r="13">
          <cell r="K13">
            <v>4.3497737378500716</v>
          </cell>
        </row>
        <row r="14">
          <cell r="K14">
            <v>6.9863641863391024</v>
          </cell>
        </row>
        <row r="18">
          <cell r="K18">
            <v>132.81900249695883</v>
          </cell>
        </row>
        <row r="19">
          <cell r="K19">
            <v>14</v>
          </cell>
        </row>
        <row r="20">
          <cell r="K20">
            <v>100</v>
          </cell>
        </row>
        <row r="22">
          <cell r="K22">
            <v>40177</v>
          </cell>
        </row>
        <row r="24">
          <cell r="K24">
            <v>40177</v>
          </cell>
        </row>
        <row r="26">
          <cell r="K26">
            <v>178216</v>
          </cell>
        </row>
        <row r="28">
          <cell r="K28">
            <v>178216</v>
          </cell>
        </row>
      </sheetData>
      <sheetData sheetId="6" refreshError="1">
        <row r="7">
          <cell r="K7">
            <v>14573</v>
          </cell>
        </row>
        <row r="9">
          <cell r="K9">
            <v>3668</v>
          </cell>
        </row>
        <row r="11">
          <cell r="J11">
            <v>5853</v>
          </cell>
        </row>
        <row r="13">
          <cell r="J13">
            <v>3872</v>
          </cell>
        </row>
        <row r="15">
          <cell r="K15">
            <v>1180</v>
          </cell>
        </row>
        <row r="17">
          <cell r="K17">
            <v>41</v>
          </cell>
        </row>
        <row r="18">
          <cell r="K18">
            <v>4074</v>
          </cell>
        </row>
        <row r="20">
          <cell r="K20">
            <v>50</v>
          </cell>
        </row>
        <row r="21">
          <cell r="K21">
            <v>4</v>
          </cell>
        </row>
        <row r="22">
          <cell r="K22">
            <v>0</v>
          </cell>
        </row>
        <row r="23">
          <cell r="K23">
            <v>3008</v>
          </cell>
        </row>
      </sheetData>
      <sheetData sheetId="7" refreshError="1">
        <row r="7">
          <cell r="K7">
            <v>46857</v>
          </cell>
        </row>
        <row r="8">
          <cell r="K8">
            <v>41311</v>
          </cell>
        </row>
        <row r="9">
          <cell r="K9">
            <v>0.5</v>
          </cell>
        </row>
        <row r="10">
          <cell r="K10">
            <v>1.73</v>
          </cell>
        </row>
        <row r="12">
          <cell r="K12">
            <v>29000</v>
          </cell>
        </row>
        <row r="13">
          <cell r="K13">
            <v>28189</v>
          </cell>
        </row>
        <row r="15">
          <cell r="K15">
            <v>69.329828892600659</v>
          </cell>
        </row>
        <row r="16">
          <cell r="K16">
            <v>12.924933810042399</v>
          </cell>
        </row>
        <row r="17">
          <cell r="K17">
            <v>17.74523729735694</v>
          </cell>
        </row>
        <row r="18">
          <cell r="K18">
            <v>3167</v>
          </cell>
        </row>
        <row r="19">
          <cell r="K19">
            <v>3.8</v>
          </cell>
        </row>
        <row r="21">
          <cell r="K21">
            <v>1</v>
          </cell>
        </row>
        <row r="26">
          <cell r="K26">
            <v>1</v>
          </cell>
        </row>
        <row r="27">
          <cell r="K27">
            <v>13</v>
          </cell>
        </row>
        <row r="28">
          <cell r="K28">
            <v>85</v>
          </cell>
        </row>
        <row r="29">
          <cell r="K29">
            <v>3</v>
          </cell>
        </row>
        <row r="30">
          <cell r="K30">
            <v>1</v>
          </cell>
        </row>
        <row r="31">
          <cell r="K31">
            <v>1</v>
          </cell>
        </row>
        <row r="32">
          <cell r="K32">
            <v>0</v>
          </cell>
        </row>
        <row r="34">
          <cell r="K34">
            <v>79.28</v>
          </cell>
        </row>
        <row r="35">
          <cell r="K35">
            <v>95.934959349593498</v>
          </cell>
        </row>
        <row r="37">
          <cell r="K37">
            <v>32.012292720404631</v>
          </cell>
        </row>
        <row r="38">
          <cell r="K38">
            <v>32.012292720404631</v>
          </cell>
        </row>
        <row r="39">
          <cell r="K39">
            <v>0</v>
          </cell>
        </row>
        <row r="40">
          <cell r="K40">
            <v>7.4695349680944156</v>
          </cell>
        </row>
        <row r="41">
          <cell r="K41">
            <v>90.1</v>
          </cell>
        </row>
        <row r="42">
          <cell r="K42">
            <v>40.9</v>
          </cell>
        </row>
        <row r="43">
          <cell r="K43">
            <v>51</v>
          </cell>
        </row>
        <row r="44">
          <cell r="K44">
            <v>20.9</v>
          </cell>
        </row>
        <row r="45">
          <cell r="K45">
            <v>71.428571428571431</v>
          </cell>
        </row>
        <row r="46">
          <cell r="K46">
            <v>91.636428571428567</v>
          </cell>
        </row>
        <row r="47">
          <cell r="K47">
            <v>71.428571428571431</v>
          </cell>
        </row>
        <row r="48">
          <cell r="K48">
            <v>96</v>
          </cell>
        </row>
        <row r="50">
          <cell r="K50">
            <v>2750</v>
          </cell>
        </row>
        <row r="51">
          <cell r="K51">
            <v>2110</v>
          </cell>
        </row>
        <row r="53">
          <cell r="K53">
            <v>57.142857142857139</v>
          </cell>
        </row>
      </sheetData>
      <sheetData sheetId="8" refreshError="1"/>
      <sheetData sheetId="9" refreshError="1">
        <row r="6">
          <cell r="K6">
            <v>762</v>
          </cell>
        </row>
        <row r="12">
          <cell r="K12">
            <v>761</v>
          </cell>
        </row>
        <row r="13">
          <cell r="K13">
            <v>99.868766404199476</v>
          </cell>
        </row>
        <row r="15">
          <cell r="K15">
            <v>1</v>
          </cell>
        </row>
        <row r="18">
          <cell r="K18">
            <v>0</v>
          </cell>
        </row>
        <row r="27">
          <cell r="K27">
            <v>0</v>
          </cell>
        </row>
      </sheetData>
      <sheetData sheetId="10" refreshError="1">
        <row r="16">
          <cell r="J16">
            <v>762</v>
          </cell>
        </row>
        <row r="17">
          <cell r="J17">
            <v>447.59999999999997</v>
          </cell>
        </row>
        <row r="18">
          <cell r="J18">
            <v>58.740157480314956</v>
          </cell>
        </row>
        <row r="21">
          <cell r="J21">
            <v>54.9</v>
          </cell>
        </row>
        <row r="22">
          <cell r="J22">
            <v>7.2047244094488194</v>
          </cell>
        </row>
        <row r="23">
          <cell r="J23">
            <v>392.7</v>
          </cell>
        </row>
        <row r="24">
          <cell r="J24">
            <v>51.535433070866141</v>
          </cell>
        </row>
        <row r="29">
          <cell r="J29">
            <v>314.39999999999998</v>
          </cell>
        </row>
        <row r="30">
          <cell r="J30">
            <v>41.259842519685037</v>
          </cell>
        </row>
        <row r="31">
          <cell r="J31">
            <v>33.5</v>
          </cell>
        </row>
        <row r="32">
          <cell r="J32">
            <v>4.3963254593175858</v>
          </cell>
        </row>
        <row r="37">
          <cell r="J37">
            <v>91</v>
          </cell>
        </row>
        <row r="38">
          <cell r="J38">
            <v>11.94225721784777</v>
          </cell>
        </row>
        <row r="41">
          <cell r="J41">
            <v>6</v>
          </cell>
        </row>
        <row r="42">
          <cell r="J42">
            <v>0.78740157480314954</v>
          </cell>
        </row>
        <row r="43">
          <cell r="J43">
            <v>8.07</v>
          </cell>
        </row>
        <row r="44">
          <cell r="J44">
            <v>1.0590551181102363</v>
          </cell>
        </row>
        <row r="47">
          <cell r="J47">
            <v>175.82999999999998</v>
          </cell>
        </row>
        <row r="48">
          <cell r="J48">
            <v>23.074803149606296</v>
          </cell>
        </row>
        <row r="50">
          <cell r="J50">
            <v>0</v>
          </cell>
        </row>
        <row r="52">
          <cell r="J52">
            <v>0</v>
          </cell>
        </row>
      </sheetData>
      <sheetData sheetId="11" refreshError="1">
        <row r="5">
          <cell r="K5">
            <v>3961.15</v>
          </cell>
        </row>
        <row r="7">
          <cell r="K7">
            <v>256.14999999999998</v>
          </cell>
        </row>
        <row r="8">
          <cell r="K8">
            <v>6.466556429319767</v>
          </cell>
        </row>
        <row r="9">
          <cell r="K9">
            <v>0</v>
          </cell>
        </row>
        <row r="13">
          <cell r="K13">
            <v>3219</v>
          </cell>
        </row>
        <row r="15">
          <cell r="K15">
            <v>388</v>
          </cell>
        </row>
        <row r="17">
          <cell r="K17">
            <v>98</v>
          </cell>
        </row>
        <row r="23">
          <cell r="K23">
            <v>3889</v>
          </cell>
        </row>
        <row r="25">
          <cell r="K25">
            <v>2357</v>
          </cell>
        </row>
        <row r="27">
          <cell r="K27">
            <v>189</v>
          </cell>
        </row>
        <row r="30">
          <cell r="K30">
            <v>27</v>
          </cell>
        </row>
        <row r="31">
          <cell r="K31">
            <v>1026</v>
          </cell>
        </row>
        <row r="34">
          <cell r="K34">
            <v>276</v>
          </cell>
        </row>
        <row r="36">
          <cell r="K36">
            <v>14</v>
          </cell>
        </row>
      </sheetData>
      <sheetData sheetId="12" refreshError="1">
        <row r="7">
          <cell r="K7">
            <v>37</v>
          </cell>
        </row>
        <row r="9">
          <cell r="K9">
            <v>23</v>
          </cell>
        </row>
        <row r="10">
          <cell r="K10">
            <v>20</v>
          </cell>
        </row>
        <row r="11">
          <cell r="K11">
            <v>281</v>
          </cell>
        </row>
        <row r="12">
          <cell r="K12">
            <v>435</v>
          </cell>
        </row>
        <row r="13">
          <cell r="K13">
            <v>176</v>
          </cell>
        </row>
      </sheetData>
      <sheetData sheetId="13" refreshError="1"/>
      <sheetData sheetId="1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rtUp"/>
      <sheetName val="BM1"/>
      <sheetName val="BM2"/>
      <sheetName val="BM3"/>
      <sheetName val="BM4"/>
      <sheetName val="BM5"/>
      <sheetName val="BM 6"/>
      <sheetName val="BM 7"/>
      <sheetName val="BM 8"/>
      <sheetName val="BM9"/>
      <sheetName val="BM10"/>
      <sheetName val="B11"/>
      <sheetName val="BM12"/>
      <sheetName val="BM13-DMDA"/>
    </sheetNames>
    <sheetDataSet>
      <sheetData sheetId="0" refreshError="1"/>
      <sheetData sheetId="1" refreshError="1"/>
      <sheetData sheetId="2" refreshError="1">
        <row r="35">
          <cell r="BT35">
            <v>32</v>
          </cell>
        </row>
        <row r="38">
          <cell r="BT38">
            <v>26.5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M1"/>
      <sheetName val="Biểu 1"/>
      <sheetName val="BM2"/>
      <sheetName val="BM3"/>
      <sheetName val="BM4"/>
      <sheetName val="BM5"/>
      <sheetName val="BM6"/>
      <sheetName val="BM7"/>
      <sheetName val="BM8"/>
      <sheetName val="BM9"/>
      <sheetName val="BM10"/>
      <sheetName val="BM11"/>
      <sheetName val="BM 12"/>
      <sheetName val="BM 13"/>
      <sheetName val="BM 14"/>
      <sheetName val="BM 15"/>
      <sheetName val="BM 16"/>
      <sheetName val="BM 17"/>
    </sheetNames>
    <sheetDataSet>
      <sheetData sheetId="0" refreshError="1"/>
      <sheetData sheetId="1" refreshError="1">
        <row r="4">
          <cell r="D4" t="str">
            <v>Thực hiện 2016-2020</v>
          </cell>
          <cell r="E4" t="str">
            <v>KH 2021</v>
          </cell>
          <cell r="F4" t="str">
            <v>KH 2022</v>
          </cell>
          <cell r="G4" t="str">
            <v>KH 2023</v>
          </cell>
          <cell r="H4" t="str">
            <v>KH 2024</v>
          </cell>
          <cell r="I4" t="str">
            <v>KH 2025</v>
          </cell>
          <cell r="J4" t="str">
            <v>Mục tiêu kế hoạch 5 năm 2021-2025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50"/>
  </sheetPr>
  <dimension ref="A1:X84"/>
  <sheetViews>
    <sheetView tabSelected="1" zoomScaleNormal="100" workbookViewId="0">
      <pane xSplit="3" ySplit="5" topLeftCell="K71" activePane="bottomRight" state="frozen"/>
      <selection pane="topRight" activeCell="D1" sqref="D1"/>
      <selection pane="bottomLeft" activeCell="A5" sqref="A5"/>
      <selection pane="bottomRight" activeCell="O5" sqref="O5"/>
    </sheetView>
  </sheetViews>
  <sheetFormatPr defaultRowHeight="15"/>
  <cols>
    <col min="1" max="1" width="5.42578125" style="128" customWidth="1"/>
    <col min="2" max="2" width="23.85546875" style="99" customWidth="1"/>
    <col min="3" max="3" width="10.28515625" style="74" customWidth="1"/>
    <col min="4" max="4" width="9.5703125" style="118" hidden="1" customWidth="1"/>
    <col min="5" max="5" width="9.28515625" style="118" hidden="1" customWidth="1"/>
    <col min="6" max="6" width="9.42578125" style="118" hidden="1" customWidth="1"/>
    <col min="7" max="7" width="9.85546875" style="118" hidden="1" customWidth="1"/>
    <col min="8" max="8" width="9.5703125" style="118" hidden="1" customWidth="1"/>
    <col min="9" max="9" width="10.28515625" style="118" hidden="1" customWidth="1"/>
    <col min="10" max="10" width="10.140625" style="118" hidden="1" customWidth="1"/>
    <col min="11" max="11" width="10" style="99" hidden="1" customWidth="1"/>
    <col min="12" max="12" width="10" style="118" customWidth="1"/>
    <col min="13" max="13" width="11.140625" style="118" customWidth="1"/>
    <col min="14" max="14" width="10.5703125" style="118" customWidth="1"/>
    <col min="15" max="15" width="10.140625" style="118" customWidth="1"/>
    <col min="16" max="16" width="10.28515625" style="118" customWidth="1"/>
    <col min="17" max="17" width="10.42578125" style="118" bestFit="1" customWidth="1"/>
    <col min="18" max="18" width="18.28515625" style="10" customWidth="1"/>
    <col min="19" max="19" width="10.7109375" style="399" bestFit="1" customWidth="1"/>
    <col min="20" max="21" width="9.140625" style="399"/>
  </cols>
  <sheetData>
    <row r="1" spans="1:21" ht="21" customHeight="1">
      <c r="A1" s="531" t="s">
        <v>716</v>
      </c>
      <c r="B1" s="531"/>
      <c r="C1" s="531"/>
      <c r="D1" s="531"/>
      <c r="E1" s="531"/>
      <c r="F1" s="531"/>
      <c r="G1" s="531"/>
      <c r="H1" s="531"/>
      <c r="I1" s="531"/>
      <c r="J1" s="531"/>
      <c r="K1" s="531"/>
      <c r="L1" s="531"/>
      <c r="M1" s="531"/>
      <c r="N1" s="531"/>
      <c r="O1" s="531"/>
      <c r="P1" s="531"/>
      <c r="Q1" s="531"/>
      <c r="R1" s="531"/>
    </row>
    <row r="2" spans="1:21" ht="43.5" customHeight="1">
      <c r="A2" s="533" t="s">
        <v>717</v>
      </c>
      <c r="B2" s="534"/>
      <c r="C2" s="534"/>
      <c r="D2" s="534"/>
      <c r="E2" s="534"/>
      <c r="F2" s="534"/>
      <c r="G2" s="534"/>
      <c r="H2" s="534"/>
      <c r="I2" s="534"/>
      <c r="J2" s="534"/>
      <c r="K2" s="534"/>
      <c r="L2" s="534"/>
      <c r="M2" s="534"/>
      <c r="N2" s="534"/>
      <c r="O2" s="534"/>
      <c r="P2" s="534"/>
      <c r="Q2" s="534"/>
      <c r="R2" s="534"/>
    </row>
    <row r="3" spans="1:21" ht="22.5" customHeight="1">
      <c r="A3" s="535" t="s">
        <v>743</v>
      </c>
      <c r="B3" s="535"/>
      <c r="C3" s="535"/>
      <c r="D3" s="535"/>
      <c r="E3" s="535"/>
      <c r="F3" s="535"/>
      <c r="G3" s="535"/>
      <c r="H3" s="535"/>
      <c r="I3" s="535"/>
      <c r="J3" s="535"/>
      <c r="K3" s="535"/>
      <c r="L3" s="535"/>
      <c r="M3" s="535"/>
      <c r="N3" s="535"/>
      <c r="O3" s="535"/>
      <c r="P3" s="535"/>
      <c r="Q3" s="535"/>
      <c r="R3" s="535"/>
    </row>
    <row r="4" spans="1:21" s="146" customFormat="1" ht="22.5" customHeight="1">
      <c r="A4" s="536" t="s">
        <v>1</v>
      </c>
      <c r="B4" s="536" t="s">
        <v>2</v>
      </c>
      <c r="C4" s="536" t="s">
        <v>3</v>
      </c>
      <c r="D4" s="536" t="s">
        <v>4</v>
      </c>
      <c r="E4" s="532" t="s">
        <v>652</v>
      </c>
      <c r="F4" s="532"/>
      <c r="G4" s="532"/>
      <c r="H4" s="532"/>
      <c r="I4" s="532"/>
      <c r="J4" s="536" t="s">
        <v>11</v>
      </c>
      <c r="K4" s="536" t="s">
        <v>681</v>
      </c>
      <c r="L4" s="536" t="s">
        <v>651</v>
      </c>
      <c r="M4" s="532" t="s">
        <v>653</v>
      </c>
      <c r="N4" s="532"/>
      <c r="O4" s="532"/>
      <c r="P4" s="532"/>
      <c r="Q4" s="532"/>
      <c r="R4" s="537" t="s">
        <v>726</v>
      </c>
      <c r="S4" s="399"/>
      <c r="T4" s="399"/>
      <c r="U4" s="399"/>
    </row>
    <row r="5" spans="1:21" s="146" customFormat="1" ht="64.5" customHeight="1">
      <c r="A5" s="536"/>
      <c r="B5" s="536"/>
      <c r="C5" s="536"/>
      <c r="D5" s="536"/>
      <c r="E5" s="397" t="s">
        <v>5</v>
      </c>
      <c r="F5" s="397" t="s">
        <v>7</v>
      </c>
      <c r="G5" s="397" t="s">
        <v>8</v>
      </c>
      <c r="H5" s="397" t="s">
        <v>9</v>
      </c>
      <c r="I5" s="397" t="s">
        <v>10</v>
      </c>
      <c r="J5" s="536"/>
      <c r="K5" s="536"/>
      <c r="L5" s="536"/>
      <c r="M5" s="397" t="s">
        <v>722</v>
      </c>
      <c r="N5" s="397" t="s">
        <v>723</v>
      </c>
      <c r="O5" s="397" t="s">
        <v>724</v>
      </c>
      <c r="P5" s="397" t="s">
        <v>721</v>
      </c>
      <c r="Q5" s="397" t="s">
        <v>725</v>
      </c>
      <c r="R5" s="537"/>
      <c r="S5" s="399"/>
      <c r="T5" s="399"/>
      <c r="U5" s="399"/>
    </row>
    <row r="6" spans="1:21" s="11" customFormat="1" ht="21.95" customHeight="1">
      <c r="A6" s="415" t="s">
        <v>219</v>
      </c>
      <c r="B6" s="501" t="s">
        <v>700</v>
      </c>
      <c r="C6" s="397"/>
      <c r="D6" s="416"/>
      <c r="E6" s="416"/>
      <c r="F6" s="416"/>
      <c r="G6" s="416"/>
      <c r="H6" s="416"/>
      <c r="I6" s="416"/>
      <c r="J6" s="416"/>
      <c r="K6" s="398"/>
      <c r="L6" s="416"/>
      <c r="M6" s="416"/>
      <c r="N6" s="416"/>
      <c r="O6" s="416"/>
      <c r="P6" s="416"/>
      <c r="Q6" s="416"/>
      <c r="R6" s="417"/>
      <c r="S6" s="400"/>
      <c r="T6" s="400"/>
      <c r="U6" s="400"/>
    </row>
    <row r="7" spans="1:21" s="11" customFormat="1" ht="36" customHeight="1">
      <c r="A7" s="415">
        <v>1</v>
      </c>
      <c r="B7" s="501" t="s">
        <v>569</v>
      </c>
      <c r="C7" s="397"/>
      <c r="D7" s="416"/>
      <c r="E7" s="416"/>
      <c r="F7" s="416"/>
      <c r="G7" s="416"/>
      <c r="H7" s="416"/>
      <c r="I7" s="416"/>
      <c r="J7" s="416"/>
      <c r="K7" s="398"/>
      <c r="L7" s="416"/>
      <c r="M7" s="416"/>
      <c r="N7" s="416"/>
      <c r="O7" s="416"/>
      <c r="P7" s="416"/>
      <c r="Q7" s="416"/>
      <c r="R7" s="418"/>
      <c r="S7" s="400"/>
      <c r="T7" s="400"/>
      <c r="U7" s="400"/>
    </row>
    <row r="8" spans="1:21" s="21" customFormat="1" ht="36" customHeight="1">
      <c r="A8" s="419" t="s">
        <v>324</v>
      </c>
      <c r="B8" s="502" t="s">
        <v>698</v>
      </c>
      <c r="C8" s="421" t="s">
        <v>31</v>
      </c>
      <c r="D8" s="422">
        <f>'[1]B1 TH'!$S$8</f>
        <v>1126.3220917719991</v>
      </c>
      <c r="E8" s="422">
        <f>SUM(E9:E11)</f>
        <v>1237.663651328633</v>
      </c>
      <c r="F8" s="422">
        <f t="shared" ref="F8:I8" si="0">SUM(F9:F11)</f>
        <v>1361.2636569159361</v>
      </c>
      <c r="G8" s="422">
        <f t="shared" si="0"/>
        <v>1498.6006424723296</v>
      </c>
      <c r="H8" s="422">
        <f t="shared" si="0"/>
        <v>1651.3437971818062</v>
      </c>
      <c r="I8" s="422">
        <f t="shared" si="0"/>
        <v>1821.3786759970978</v>
      </c>
      <c r="J8" s="423">
        <f>I8</f>
        <v>1821.3786759970978</v>
      </c>
      <c r="K8" s="423">
        <f>J8</f>
        <v>1821.3786759970978</v>
      </c>
      <c r="L8" s="423">
        <v>1821.3786759970978</v>
      </c>
      <c r="M8" s="422">
        <f>SUM(M9:M11)</f>
        <v>1107.9010461084151</v>
      </c>
      <c r="N8" s="422">
        <f t="shared" ref="N8:Q8" si="1">SUM(N9:N11)</f>
        <v>1660.0122193360044</v>
      </c>
      <c r="O8" s="422">
        <f t="shared" si="1"/>
        <v>1938.2409746895246</v>
      </c>
      <c r="P8" s="422"/>
      <c r="Q8" s="422">
        <f t="shared" si="1"/>
        <v>2239.0339429177916</v>
      </c>
      <c r="R8" s="424" t="s">
        <v>706</v>
      </c>
      <c r="S8" s="401">
        <v>1</v>
      </c>
      <c r="T8" s="401">
        <f>Q8/L8%</f>
        <v>122.93072124016452</v>
      </c>
      <c r="U8" s="401"/>
    </row>
    <row r="9" spans="1:21" ht="30" hidden="1">
      <c r="A9" s="425"/>
      <c r="B9" s="503" t="s">
        <v>570</v>
      </c>
      <c r="C9" s="427" t="s">
        <v>31</v>
      </c>
      <c r="D9" s="428">
        <f>'[1]B1 TH'!$S$9</f>
        <v>617.50565056861228</v>
      </c>
      <c r="E9" s="429">
        <f>(D9*7%)+D9</f>
        <v>660.73104610841517</v>
      </c>
      <c r="F9" s="429">
        <f t="shared" ref="F9:I9" si="2">(E9*7%)+E9</f>
        <v>706.98221933600428</v>
      </c>
      <c r="G9" s="429">
        <f t="shared" si="2"/>
        <v>756.47097468952461</v>
      </c>
      <c r="H9" s="429">
        <f t="shared" si="2"/>
        <v>809.42394291779135</v>
      </c>
      <c r="I9" s="429">
        <f t="shared" si="2"/>
        <v>866.08361892203675</v>
      </c>
      <c r="J9" s="429">
        <f>I9</f>
        <v>866.08361892203675</v>
      </c>
      <c r="K9" s="430"/>
      <c r="L9" s="429"/>
      <c r="M9" s="429">
        <f>E9</f>
        <v>660.73104610841517</v>
      </c>
      <c r="N9" s="429">
        <f>F9</f>
        <v>706.98221933600428</v>
      </c>
      <c r="O9" s="429">
        <v>756.47097468952461</v>
      </c>
      <c r="P9" s="429"/>
      <c r="Q9" s="429">
        <f>H9</f>
        <v>809.42394291779135</v>
      </c>
      <c r="R9" s="424"/>
    </row>
    <row r="10" spans="1:21" ht="30" hidden="1">
      <c r="A10" s="425"/>
      <c r="B10" s="503" t="s">
        <v>571</v>
      </c>
      <c r="C10" s="427" t="s">
        <v>31</v>
      </c>
      <c r="D10" s="428">
        <f>'[1]B1 TH'!$S$10</f>
        <v>273.5434054559073</v>
      </c>
      <c r="E10" s="429">
        <f>(D10*12%)+D10</f>
        <v>306.36861411061619</v>
      </c>
      <c r="F10" s="429">
        <f t="shared" ref="F10:I10" si="3">(E10*12%)+E10</f>
        <v>343.13284780389012</v>
      </c>
      <c r="G10" s="429">
        <f t="shared" si="3"/>
        <v>384.30878954035694</v>
      </c>
      <c r="H10" s="429">
        <f t="shared" si="3"/>
        <v>430.42584428519979</v>
      </c>
      <c r="I10" s="429">
        <f t="shared" si="3"/>
        <v>482.07694559942377</v>
      </c>
      <c r="J10" s="429">
        <f t="shared" ref="J10:J11" si="4">I10</f>
        <v>482.07694559942377</v>
      </c>
      <c r="K10" s="430"/>
      <c r="L10" s="429"/>
      <c r="M10" s="429">
        <v>240.67</v>
      </c>
      <c r="N10" s="429">
        <v>719.9</v>
      </c>
      <c r="O10" s="429">
        <v>919.7</v>
      </c>
      <c r="P10" s="429"/>
      <c r="Q10" s="429">
        <v>1162</v>
      </c>
      <c r="R10" s="424"/>
    </row>
    <row r="11" spans="1:21" ht="21.75" customHeight="1">
      <c r="A11" s="425"/>
      <c r="B11" s="503" t="s">
        <v>572</v>
      </c>
      <c r="C11" s="427" t="s">
        <v>31</v>
      </c>
      <c r="D11" s="428">
        <f>'[1]B1 TH'!$S$11</f>
        <v>235.27303574747958</v>
      </c>
      <c r="E11" s="429">
        <f>(D11*15%)+D11</f>
        <v>270.56399110960149</v>
      </c>
      <c r="F11" s="429">
        <f t="shared" ref="F11:I11" si="5">(E11*15%)+E11</f>
        <v>311.14858977604172</v>
      </c>
      <c r="G11" s="429">
        <f t="shared" si="5"/>
        <v>357.82087824244798</v>
      </c>
      <c r="H11" s="429">
        <f t="shared" si="5"/>
        <v>411.49400997881514</v>
      </c>
      <c r="I11" s="429">
        <f t="shared" si="5"/>
        <v>473.21811147563744</v>
      </c>
      <c r="J11" s="429">
        <f t="shared" si="4"/>
        <v>473.21811147563744</v>
      </c>
      <c r="K11" s="430"/>
      <c r="L11" s="429"/>
      <c r="M11" s="429">
        <v>206.5</v>
      </c>
      <c r="N11" s="429">
        <v>233.13000000000002</v>
      </c>
      <c r="O11" s="429">
        <v>262.07</v>
      </c>
      <c r="P11" s="429"/>
      <c r="Q11" s="429">
        <v>267.61</v>
      </c>
      <c r="R11" s="424"/>
    </row>
    <row r="12" spans="1:21" s="21" customFormat="1" ht="36" customHeight="1">
      <c r="A12" s="419" t="s">
        <v>357</v>
      </c>
      <c r="B12" s="502" t="s">
        <v>710</v>
      </c>
      <c r="C12" s="421"/>
      <c r="D12" s="423"/>
      <c r="E12" s="431"/>
      <c r="F12" s="431"/>
      <c r="G12" s="431"/>
      <c r="H12" s="431"/>
      <c r="I12" s="431"/>
      <c r="J12" s="431"/>
      <c r="K12" s="420"/>
      <c r="L12" s="423"/>
      <c r="M12" s="431"/>
      <c r="N12" s="431"/>
      <c r="O12" s="431"/>
      <c r="P12" s="431"/>
      <c r="Q12" s="431"/>
      <c r="R12" s="432"/>
      <c r="S12" s="401"/>
      <c r="T12" s="401"/>
      <c r="U12" s="401"/>
    </row>
    <row r="13" spans="1:21" ht="36" customHeight="1">
      <c r="A13" s="425"/>
      <c r="B13" s="503" t="s">
        <v>570</v>
      </c>
      <c r="C13" s="427" t="s">
        <v>190</v>
      </c>
      <c r="D13" s="433">
        <f>'[1]B1 TH'!$S$13</f>
        <v>54.824961268149721</v>
      </c>
      <c r="E13" s="434">
        <f>E9/E8%</f>
        <v>53.385347901194301</v>
      </c>
      <c r="F13" s="434">
        <f t="shared" ref="F13:H13" si="6">F9/F8%</f>
        <v>51.935730138989783</v>
      </c>
      <c r="G13" s="434">
        <f t="shared" si="6"/>
        <v>50.478489949232234</v>
      </c>
      <c r="H13" s="434">
        <f t="shared" si="6"/>
        <v>49.01607674302344</v>
      </c>
      <c r="I13" s="434">
        <v>47.5</v>
      </c>
      <c r="J13" s="433">
        <f>I13</f>
        <v>47.5</v>
      </c>
      <c r="K13" s="435">
        <v>47.5</v>
      </c>
      <c r="L13" s="433">
        <v>47.5</v>
      </c>
      <c r="M13" s="434">
        <f>M9/M8*100</f>
        <v>59.638092086769134</v>
      </c>
      <c r="N13" s="434">
        <f t="shared" ref="N13:O13" si="7">N9/N8*100</f>
        <v>42.588976822037679</v>
      </c>
      <c r="O13" s="434">
        <f t="shared" si="7"/>
        <v>39.028737116173041</v>
      </c>
      <c r="P13" s="434"/>
      <c r="Q13" s="436">
        <f t="shared" ref="Q13" si="8">Q9/Q8*100</f>
        <v>36.150588314127681</v>
      </c>
      <c r="R13" s="437"/>
    </row>
    <row r="14" spans="1:21" ht="21.95" customHeight="1">
      <c r="A14" s="425"/>
      <c r="B14" s="503" t="s">
        <v>571</v>
      </c>
      <c r="C14" s="427" t="s">
        <v>190</v>
      </c>
      <c r="D14" s="433">
        <f>'[1]B1 TH'!$S$14</f>
        <v>24.286428141132525</v>
      </c>
      <c r="E14" s="434">
        <f>E10/E8%</f>
        <v>24.75378619883756</v>
      </c>
      <c r="F14" s="434">
        <f t="shared" ref="F14:I14" si="9">F10/F8%</f>
        <v>25.206935192943309</v>
      </c>
      <c r="G14" s="434">
        <f t="shared" si="9"/>
        <v>25.64450986130235</v>
      </c>
      <c r="H14" s="434">
        <f t="shared" si="9"/>
        <v>26.065186729726864</v>
      </c>
      <c r="I14" s="434">
        <f t="shared" si="9"/>
        <v>26.467694606972103</v>
      </c>
      <c r="J14" s="433">
        <f t="shared" ref="J14:J15" si="10">I14</f>
        <v>26.467694606972103</v>
      </c>
      <c r="K14" s="435">
        <v>26.467694606972103</v>
      </c>
      <c r="L14" s="433">
        <v>26.5</v>
      </c>
      <c r="M14" s="434">
        <f>M10/M8*100</f>
        <v>21.723059188848254</v>
      </c>
      <c r="N14" s="434">
        <f t="shared" ref="N14:O14" si="11">N10/N8*100</f>
        <v>43.367150651936527</v>
      </c>
      <c r="O14" s="434">
        <f t="shared" si="11"/>
        <v>47.450240295705306</v>
      </c>
      <c r="P14" s="434"/>
      <c r="Q14" s="436">
        <f t="shared" ref="Q14" si="12">Q10/Q8*100</f>
        <v>51.89738206852472</v>
      </c>
      <c r="R14" s="437"/>
    </row>
    <row r="15" spans="1:21" ht="21.95" customHeight="1">
      <c r="A15" s="425"/>
      <c r="B15" s="503" t="s">
        <v>572</v>
      </c>
      <c r="C15" s="427" t="s">
        <v>190</v>
      </c>
      <c r="D15" s="433">
        <f>'[1]B1 TH'!$S$15</f>
        <v>20.888610590717757</v>
      </c>
      <c r="E15" s="434">
        <f>E11/E8%</f>
        <v>21.860865899968122</v>
      </c>
      <c r="F15" s="434">
        <f t="shared" ref="F15:I15" si="13">F11/F8%</f>
        <v>22.857334668066915</v>
      </c>
      <c r="G15" s="434">
        <f t="shared" si="13"/>
        <v>23.877000189465409</v>
      </c>
      <c r="H15" s="434">
        <f t="shared" si="13"/>
        <v>24.918736527249713</v>
      </c>
      <c r="I15" s="434">
        <f t="shared" si="13"/>
        <v>25.981313919609732</v>
      </c>
      <c r="J15" s="433">
        <f t="shared" si="10"/>
        <v>25.981313919609732</v>
      </c>
      <c r="K15" s="435">
        <v>25.981313919609732</v>
      </c>
      <c r="L15" s="433">
        <v>26</v>
      </c>
      <c r="M15" s="434">
        <f>M11/M8*100</f>
        <v>18.638848724382619</v>
      </c>
      <c r="N15" s="434">
        <f t="shared" ref="N15:O15" si="14">N11/N8*100</f>
        <v>14.043872526025785</v>
      </c>
      <c r="O15" s="434">
        <f t="shared" si="14"/>
        <v>13.521022588121657</v>
      </c>
      <c r="P15" s="434"/>
      <c r="Q15" s="436">
        <f t="shared" ref="Q15" si="15">Q11/Q8*100</f>
        <v>11.952029617347591</v>
      </c>
      <c r="R15" s="437"/>
    </row>
    <row r="16" spans="1:21" s="11" customFormat="1" ht="50.1" customHeight="1">
      <c r="A16" s="415">
        <v>2</v>
      </c>
      <c r="B16" s="501" t="s">
        <v>573</v>
      </c>
      <c r="C16" s="397" t="s">
        <v>709</v>
      </c>
      <c r="D16" s="438">
        <f>'[1]B1 TH'!$S$16</f>
        <v>23.85</v>
      </c>
      <c r="E16" s="439">
        <v>24.52</v>
      </c>
      <c r="F16" s="439">
        <v>25.87</v>
      </c>
      <c r="G16" s="439">
        <v>27.68</v>
      </c>
      <c r="H16" s="439">
        <v>29.61</v>
      </c>
      <c r="I16" s="439">
        <v>32.07</v>
      </c>
      <c r="J16" s="439">
        <f>I16</f>
        <v>32.07</v>
      </c>
      <c r="K16" s="440" t="s">
        <v>682</v>
      </c>
      <c r="L16" s="438">
        <v>32</v>
      </c>
      <c r="M16" s="439">
        <v>24.5</v>
      </c>
      <c r="N16" s="439">
        <v>25.98</v>
      </c>
      <c r="O16" s="441">
        <v>27.6</v>
      </c>
      <c r="P16" s="439"/>
      <c r="Q16" s="441">
        <v>29.5</v>
      </c>
      <c r="R16" s="424" t="s">
        <v>707</v>
      </c>
      <c r="S16" s="402">
        <v>1</v>
      </c>
      <c r="T16" s="400"/>
      <c r="U16" s="403">
        <f>Q16/L16%</f>
        <v>92.1875</v>
      </c>
    </row>
    <row r="17" spans="1:23" s="11" customFormat="1" ht="36" customHeight="1">
      <c r="A17" s="415">
        <v>3</v>
      </c>
      <c r="B17" s="501" t="s">
        <v>33</v>
      </c>
      <c r="C17" s="397" t="s">
        <v>34</v>
      </c>
      <c r="D17" s="442">
        <f>'B2'!D10</f>
        <v>18656.518599999996</v>
      </c>
      <c r="E17" s="442">
        <f>'B2'!E10</f>
        <v>17460.156999999999</v>
      </c>
      <c r="F17" s="442">
        <f>'B2'!T10</f>
        <v>17550.041010000001</v>
      </c>
      <c r="G17" s="442">
        <f>'B2'!AI10</f>
        <v>17630.002</v>
      </c>
      <c r="H17" s="442">
        <f>'B2'!AX10</f>
        <v>17720.010999999999</v>
      </c>
      <c r="I17" s="442">
        <f>'B2'!BM10</f>
        <v>17860.002</v>
      </c>
      <c r="J17" s="442">
        <f>I17</f>
        <v>17860.002</v>
      </c>
      <c r="K17" s="443" t="s">
        <v>683</v>
      </c>
      <c r="L17" s="443" t="s">
        <v>673</v>
      </c>
      <c r="M17" s="442">
        <f>'B2'!CC10</f>
        <v>17852.697220000002</v>
      </c>
      <c r="N17" s="442">
        <f>'B2'!CD10</f>
        <v>17982.736199999999</v>
      </c>
      <c r="O17" s="442">
        <v>17500.677</v>
      </c>
      <c r="P17" s="442">
        <v>5374.7380000000003</v>
      </c>
      <c r="Q17" s="442">
        <v>17852.557000000001</v>
      </c>
      <c r="R17" s="444" t="s">
        <v>706</v>
      </c>
      <c r="S17" s="404">
        <v>1</v>
      </c>
      <c r="T17" s="405"/>
      <c r="U17" s="403">
        <f>Q17/17400%</f>
        <v>102.60090229885058</v>
      </c>
    </row>
    <row r="18" spans="1:23" ht="25.5" hidden="1" customHeight="1">
      <c r="A18" s="425"/>
      <c r="B18" s="503" t="s">
        <v>574</v>
      </c>
      <c r="C18" s="427" t="s">
        <v>575</v>
      </c>
      <c r="D18" s="429">
        <f>'[1]B1 TH'!$S$18</f>
        <v>398.15862304458238</v>
      </c>
      <c r="E18" s="429">
        <f>E17/'B7'!E7*1000</f>
        <v>363.73811507853839</v>
      </c>
      <c r="F18" s="429">
        <f>F17/'B7'!T7*1000</f>
        <v>360.19294413430754</v>
      </c>
      <c r="G18" s="429">
        <f>G17/'B7'!AI7*1000</f>
        <v>356.67528530067852</v>
      </c>
      <c r="H18" s="429">
        <f>H17/'B7'!AX7*1000</f>
        <v>353.53758828458558</v>
      </c>
      <c r="I18" s="429">
        <f>I17/'B7'!BM7*1000</f>
        <v>351.56792189130135</v>
      </c>
      <c r="J18" s="445">
        <f>I18</f>
        <v>351.56792189130135</v>
      </c>
      <c r="K18" s="446"/>
      <c r="L18" s="429"/>
      <c r="M18" s="429"/>
      <c r="N18" s="429"/>
      <c r="O18" s="429"/>
      <c r="P18" s="429"/>
      <c r="Q18" s="429"/>
      <c r="R18" s="424"/>
      <c r="S18" s="404">
        <v>1</v>
      </c>
      <c r="U18" s="403">
        <f t="shared" ref="U18:U20" si="16">Q18/17400%</f>
        <v>0</v>
      </c>
    </row>
    <row r="19" spans="1:23" s="11" customFormat="1" ht="18.75" hidden="1">
      <c r="A19" s="415"/>
      <c r="B19" s="501" t="s">
        <v>634</v>
      </c>
      <c r="C19" s="397" t="s">
        <v>41</v>
      </c>
      <c r="D19" s="447" t="e">
        <f>#REF!</f>
        <v>#REF!</v>
      </c>
      <c r="E19" s="416"/>
      <c r="F19" s="416"/>
      <c r="G19" s="416"/>
      <c r="H19" s="416"/>
      <c r="I19" s="448">
        <f>'B8'!D33</f>
        <v>4804.0879999999997</v>
      </c>
      <c r="J19" s="416"/>
      <c r="K19" s="398"/>
      <c r="L19" s="447"/>
      <c r="M19" s="416"/>
      <c r="N19" s="416"/>
      <c r="O19" s="416"/>
      <c r="P19" s="416"/>
      <c r="Q19" s="416"/>
      <c r="R19" s="424"/>
      <c r="S19" s="404">
        <v>1</v>
      </c>
      <c r="T19" s="400"/>
      <c r="U19" s="403">
        <f t="shared" si="16"/>
        <v>0</v>
      </c>
    </row>
    <row r="20" spans="1:23" s="21" customFormat="1" ht="30" hidden="1">
      <c r="A20" s="419"/>
      <c r="B20" s="502" t="s">
        <v>619</v>
      </c>
      <c r="C20" s="421" t="s">
        <v>28</v>
      </c>
      <c r="D20" s="449">
        <f>[1]B2NN!$K$67</f>
        <v>1.7461757187071214</v>
      </c>
      <c r="E20" s="449">
        <f>'B2'!E73</f>
        <v>4.7256607561057207</v>
      </c>
      <c r="F20" s="449">
        <f>'B2'!T73</f>
        <v>3.7989510954929049</v>
      </c>
      <c r="G20" s="449">
        <f>'B2'!AI73</f>
        <v>3.8804821749166454</v>
      </c>
      <c r="H20" s="449">
        <f>'B2'!AI73</f>
        <v>3.8804821749166454</v>
      </c>
      <c r="I20" s="449">
        <f>'B2'!BM73</f>
        <v>4.2080974356534568</v>
      </c>
      <c r="J20" s="450">
        <f>'B2'!CB73</f>
        <v>4.0799968316794519</v>
      </c>
      <c r="K20" s="451">
        <v>4</v>
      </c>
      <c r="L20" s="449"/>
      <c r="M20" s="449">
        <f>'B2'!CC73</f>
        <v>5.3919928627188574</v>
      </c>
      <c r="N20" s="449">
        <f>'B2'!CD73</f>
        <v>3.4601343844241046</v>
      </c>
      <c r="O20" s="449">
        <f>'B2'!CE73</f>
        <v>3.8864740475581696</v>
      </c>
      <c r="P20" s="449"/>
      <c r="Q20" s="449"/>
      <c r="R20" s="437"/>
      <c r="S20" s="404">
        <v>1</v>
      </c>
      <c r="T20" s="401"/>
      <c r="U20" s="403">
        <f t="shared" si="16"/>
        <v>0</v>
      </c>
    </row>
    <row r="21" spans="1:23" s="11" customFormat="1" ht="36" customHeight="1">
      <c r="A21" s="415">
        <v>4</v>
      </c>
      <c r="B21" s="501" t="s">
        <v>711</v>
      </c>
      <c r="C21" s="397" t="s">
        <v>142</v>
      </c>
      <c r="D21" s="452">
        <v>4</v>
      </c>
      <c r="E21" s="452">
        <f>'B2'!E106</f>
        <v>4</v>
      </c>
      <c r="F21" s="452">
        <f>'B2'!T106</f>
        <v>4</v>
      </c>
      <c r="G21" s="452">
        <f>'B2'!AI106</f>
        <v>5</v>
      </c>
      <c r="H21" s="452">
        <f>'B2'!AX106</f>
        <v>5</v>
      </c>
      <c r="I21" s="452">
        <f>'B2'!BM106</f>
        <v>6</v>
      </c>
      <c r="J21" s="452">
        <f>I21</f>
        <v>6</v>
      </c>
      <c r="K21" s="453">
        <v>6</v>
      </c>
      <c r="L21" s="452">
        <v>6</v>
      </c>
      <c r="M21" s="452">
        <f>'B2'!CC106</f>
        <v>3</v>
      </c>
      <c r="N21" s="452">
        <f>'B2'!CD106</f>
        <v>3</v>
      </c>
      <c r="O21" s="452">
        <f>'B2'!CE106</f>
        <v>3</v>
      </c>
      <c r="P21" s="452">
        <v>3</v>
      </c>
      <c r="Q21" s="452">
        <v>3</v>
      </c>
      <c r="R21" s="424" t="s">
        <v>707</v>
      </c>
      <c r="S21" s="404">
        <v>1</v>
      </c>
      <c r="T21" s="400"/>
      <c r="U21" s="403"/>
    </row>
    <row r="22" spans="1:23" s="146" customFormat="1" ht="36" customHeight="1">
      <c r="A22" s="425"/>
      <c r="B22" s="503" t="s">
        <v>714</v>
      </c>
      <c r="C22" s="427" t="s">
        <v>123</v>
      </c>
      <c r="D22" s="454"/>
      <c r="E22" s="454"/>
      <c r="F22" s="454"/>
      <c r="G22" s="454"/>
      <c r="H22" s="454"/>
      <c r="I22" s="454"/>
      <c r="J22" s="454"/>
      <c r="K22" s="455"/>
      <c r="L22" s="454">
        <v>2</v>
      </c>
      <c r="M22" s="454">
        <v>0</v>
      </c>
      <c r="N22" s="454">
        <v>0</v>
      </c>
      <c r="O22" s="454">
        <v>0</v>
      </c>
      <c r="P22" s="454">
        <v>0</v>
      </c>
      <c r="Q22" s="454">
        <v>0</v>
      </c>
      <c r="R22" s="424" t="s">
        <v>707</v>
      </c>
      <c r="S22" s="404">
        <v>1</v>
      </c>
      <c r="T22" s="399"/>
      <c r="U22" s="403"/>
    </row>
    <row r="23" spans="1:23" ht="21.95" customHeight="1">
      <c r="A23" s="425"/>
      <c r="B23" s="503" t="s">
        <v>576</v>
      </c>
      <c r="C23" s="427" t="s">
        <v>577</v>
      </c>
      <c r="D23" s="456">
        <f>'B2'!D105</f>
        <v>15</v>
      </c>
      <c r="E23" s="456">
        <f>'B2'!E105</f>
        <v>15.384615384615385</v>
      </c>
      <c r="F23" s="456">
        <f>'B2'!T105</f>
        <v>15.538461538461538</v>
      </c>
      <c r="G23" s="456">
        <f>'B2'!AI105</f>
        <v>15.692307692307692</v>
      </c>
      <c r="H23" s="456">
        <f>'B2'!AX105</f>
        <v>15.923076923076923</v>
      </c>
      <c r="I23" s="456">
        <f>'B2'!BM105</f>
        <v>16.153846153846153</v>
      </c>
      <c r="J23" s="456">
        <f>I23</f>
        <v>16.153846153846153</v>
      </c>
      <c r="K23" s="457">
        <v>16</v>
      </c>
      <c r="L23" s="456">
        <v>16</v>
      </c>
      <c r="M23" s="456">
        <f>'B2'!CC105</f>
        <v>15.384615384615385</v>
      </c>
      <c r="N23" s="456">
        <f>'B2'!CD105</f>
        <v>12.384615384615385</v>
      </c>
      <c r="O23" s="458">
        <v>13.21301775147929</v>
      </c>
      <c r="P23" s="458">
        <v>13.69</v>
      </c>
      <c r="Q23" s="456">
        <v>14</v>
      </c>
      <c r="R23" s="424" t="s">
        <v>707</v>
      </c>
      <c r="S23" s="404">
        <v>1</v>
      </c>
      <c r="U23" s="403">
        <f>Q23/L23%</f>
        <v>87.5</v>
      </c>
      <c r="V23" s="386"/>
      <c r="W23" s="392"/>
    </row>
    <row r="24" spans="1:23" ht="21.95" customHeight="1">
      <c r="A24" s="425"/>
      <c r="B24" s="503" t="s">
        <v>712</v>
      </c>
      <c r="C24" s="427" t="s">
        <v>123</v>
      </c>
      <c r="D24" s="456"/>
      <c r="E24" s="456"/>
      <c r="F24" s="456"/>
      <c r="G24" s="456"/>
      <c r="H24" s="456"/>
      <c r="I24" s="456"/>
      <c r="J24" s="456"/>
      <c r="K24" s="457"/>
      <c r="L24" s="459">
        <v>1</v>
      </c>
      <c r="M24" s="454">
        <v>0</v>
      </c>
      <c r="N24" s="454">
        <v>0</v>
      </c>
      <c r="O24" s="454">
        <v>0</v>
      </c>
      <c r="P24" s="454">
        <v>0</v>
      </c>
      <c r="Q24" s="454">
        <v>0</v>
      </c>
      <c r="R24" s="424" t="s">
        <v>707</v>
      </c>
      <c r="S24" s="404">
        <v>1</v>
      </c>
    </row>
    <row r="25" spans="1:23" ht="21.95" customHeight="1">
      <c r="A25" s="425"/>
      <c r="B25" s="503" t="s">
        <v>713</v>
      </c>
      <c r="C25" s="427" t="s">
        <v>280</v>
      </c>
      <c r="D25" s="456"/>
      <c r="E25" s="456"/>
      <c r="F25" s="456"/>
      <c r="G25" s="456"/>
      <c r="H25" s="456"/>
      <c r="I25" s="456"/>
      <c r="J25" s="456"/>
      <c r="K25" s="457"/>
      <c r="L25" s="459">
        <v>2</v>
      </c>
      <c r="M25" s="454">
        <v>0</v>
      </c>
      <c r="N25" s="454">
        <v>0</v>
      </c>
      <c r="O25" s="454">
        <v>0</v>
      </c>
      <c r="P25" s="454">
        <v>0</v>
      </c>
      <c r="Q25" s="454">
        <v>0</v>
      </c>
      <c r="R25" s="424" t="s">
        <v>707</v>
      </c>
      <c r="S25" s="404">
        <v>1</v>
      </c>
    </row>
    <row r="26" spans="1:23" s="11" customFormat="1" ht="66" customHeight="1">
      <c r="A26" s="415">
        <v>5</v>
      </c>
      <c r="B26" s="501" t="s">
        <v>578</v>
      </c>
      <c r="C26" s="397" t="s">
        <v>31</v>
      </c>
      <c r="D26" s="460">
        <f>'[1]B1 TH'!$S$28</f>
        <v>51.23</v>
      </c>
      <c r="E26" s="441">
        <f>'B 9'!E8</f>
        <v>53.5</v>
      </c>
      <c r="F26" s="461">
        <f>'B 9'!F8</f>
        <v>57.244999999999997</v>
      </c>
      <c r="G26" s="461">
        <f>'B 9'!G8</f>
        <v>61.25215</v>
      </c>
      <c r="H26" s="461">
        <f>'B 9'!H8</f>
        <v>64.927278999999999</v>
      </c>
      <c r="I26" s="461">
        <f>'B 9'!I8</f>
        <v>69.472188529999997</v>
      </c>
      <c r="J26" s="462">
        <f>AVERAGE(E26:I26)</f>
        <v>61.279323506000004</v>
      </c>
      <c r="K26" s="463">
        <v>61</v>
      </c>
      <c r="L26" s="509" t="s">
        <v>708</v>
      </c>
      <c r="M26" s="441">
        <v>59.773000000000003</v>
      </c>
      <c r="N26" s="441">
        <v>67.397000000000006</v>
      </c>
      <c r="O26" s="441">
        <v>52.52</v>
      </c>
      <c r="P26" s="441">
        <v>34.503999999999998</v>
      </c>
      <c r="Q26" s="441">
        <v>52.6</v>
      </c>
      <c r="R26" s="464" t="s">
        <v>720</v>
      </c>
      <c r="S26" s="404">
        <v>1</v>
      </c>
      <c r="T26" s="400"/>
      <c r="U26" s="406">
        <f>58.1/61*100</f>
        <v>95.245901639344268</v>
      </c>
    </row>
    <row r="27" spans="1:23" s="11" customFormat="1" ht="28.5" hidden="1">
      <c r="A27" s="415">
        <v>5</v>
      </c>
      <c r="B27" s="501" t="s">
        <v>103</v>
      </c>
      <c r="C27" s="397" t="s">
        <v>28</v>
      </c>
      <c r="D27" s="438">
        <f>'B2'!D83</f>
        <v>65.053657211906099</v>
      </c>
      <c r="E27" s="438">
        <f>'B2'!E83</f>
        <v>65.702551485607856</v>
      </c>
      <c r="F27" s="438">
        <f>'B2'!T83</f>
        <v>65.822036090217708</v>
      </c>
      <c r="G27" s="438">
        <f>'B2'!AI83</f>
        <v>65.956397487292577</v>
      </c>
      <c r="H27" s="438">
        <f>'B2'!AX83</f>
        <v>66.128081494666048</v>
      </c>
      <c r="I27" s="438">
        <f>'B2'!BM83</f>
        <v>66.329623590278359</v>
      </c>
      <c r="J27" s="438">
        <f>I27</f>
        <v>66.329623590278359</v>
      </c>
      <c r="K27" s="465" t="s">
        <v>695</v>
      </c>
      <c r="L27" s="465" t="s">
        <v>674</v>
      </c>
      <c r="M27" s="438">
        <f>'B2'!CC83</f>
        <v>65.713911301575649</v>
      </c>
      <c r="N27" s="438">
        <f>'B2'!CD83</f>
        <v>66.243670618471924</v>
      </c>
      <c r="O27" s="438">
        <v>66.8</v>
      </c>
      <c r="P27" s="438"/>
      <c r="Q27" s="438"/>
      <c r="R27" s="466"/>
      <c r="S27" s="400"/>
      <c r="T27" s="400"/>
      <c r="U27" s="400"/>
    </row>
    <row r="28" spans="1:23" s="11" customFormat="1" ht="36" customHeight="1">
      <c r="A28" s="415" t="s">
        <v>239</v>
      </c>
      <c r="B28" s="501" t="s">
        <v>701</v>
      </c>
      <c r="C28" s="397"/>
      <c r="D28" s="416"/>
      <c r="E28" s="416"/>
      <c r="F28" s="416"/>
      <c r="G28" s="416"/>
      <c r="H28" s="416"/>
      <c r="I28" s="416"/>
      <c r="J28" s="416"/>
      <c r="K28" s="398"/>
      <c r="L28" s="416"/>
      <c r="M28" s="416"/>
      <c r="N28" s="416"/>
      <c r="O28" s="416"/>
      <c r="P28" s="416"/>
      <c r="Q28" s="416"/>
      <c r="R28" s="424"/>
      <c r="S28" s="400"/>
      <c r="T28" s="400"/>
      <c r="U28" s="400"/>
    </row>
    <row r="29" spans="1:23" s="11" customFormat="1" ht="23.25" hidden="1" customHeight="1">
      <c r="A29" s="415">
        <v>6</v>
      </c>
      <c r="B29" s="501" t="s">
        <v>579</v>
      </c>
      <c r="C29" s="397"/>
      <c r="D29" s="416"/>
      <c r="E29" s="416"/>
      <c r="F29" s="416"/>
      <c r="G29" s="416"/>
      <c r="H29" s="416"/>
      <c r="I29" s="416"/>
      <c r="J29" s="416"/>
      <c r="K29" s="398"/>
      <c r="L29" s="416"/>
      <c r="M29" s="416"/>
      <c r="N29" s="416"/>
      <c r="O29" s="416"/>
      <c r="P29" s="416"/>
      <c r="Q29" s="416"/>
      <c r="R29" s="424"/>
      <c r="S29" s="400"/>
      <c r="T29" s="400"/>
      <c r="U29" s="400"/>
    </row>
    <row r="30" spans="1:23" ht="45" hidden="1">
      <c r="A30" s="425"/>
      <c r="B30" s="503" t="s">
        <v>580</v>
      </c>
      <c r="C30" s="427" t="s">
        <v>28</v>
      </c>
      <c r="D30" s="456">
        <v>100</v>
      </c>
      <c r="E30" s="456">
        <v>100</v>
      </c>
      <c r="F30" s="456">
        <v>100</v>
      </c>
      <c r="G30" s="456">
        <v>100</v>
      </c>
      <c r="H30" s="456">
        <v>100</v>
      </c>
      <c r="I30" s="456">
        <v>100</v>
      </c>
      <c r="J30" s="456">
        <f>I30</f>
        <v>100</v>
      </c>
      <c r="K30" s="457" t="s">
        <v>684</v>
      </c>
      <c r="L30" s="456"/>
      <c r="M30" s="456">
        <v>100</v>
      </c>
      <c r="N30" s="456">
        <v>100</v>
      </c>
      <c r="O30" s="456">
        <v>100</v>
      </c>
      <c r="P30" s="456"/>
      <c r="Q30" s="456"/>
      <c r="R30" s="466"/>
    </row>
    <row r="31" spans="1:23" ht="37.5" hidden="1" customHeight="1">
      <c r="A31" s="425"/>
      <c r="B31" s="503" t="s">
        <v>581</v>
      </c>
      <c r="C31" s="427" t="s">
        <v>28</v>
      </c>
      <c r="D31" s="456">
        <f>110/111%</f>
        <v>99.099099099099092</v>
      </c>
      <c r="E31" s="456">
        <v>100</v>
      </c>
      <c r="F31" s="456">
        <v>100</v>
      </c>
      <c r="G31" s="456">
        <v>100</v>
      </c>
      <c r="H31" s="456">
        <v>100</v>
      </c>
      <c r="I31" s="456">
        <v>100</v>
      </c>
      <c r="J31" s="456">
        <f>I31</f>
        <v>100</v>
      </c>
      <c r="K31" s="457" t="s">
        <v>684</v>
      </c>
      <c r="L31" s="456"/>
      <c r="M31" s="456">
        <v>100</v>
      </c>
      <c r="N31" s="456">
        <v>100</v>
      </c>
      <c r="O31" s="456">
        <v>100</v>
      </c>
      <c r="P31" s="456"/>
      <c r="Q31" s="456"/>
      <c r="R31" s="466"/>
    </row>
    <row r="32" spans="1:23" s="180" customFormat="1" ht="37.5" hidden="1" customHeight="1">
      <c r="A32" s="467"/>
      <c r="B32" s="504" t="s">
        <v>620</v>
      </c>
      <c r="C32" s="468" t="s">
        <v>28</v>
      </c>
      <c r="D32" s="469">
        <f>108/111%</f>
        <v>97.297297297297291</v>
      </c>
      <c r="E32" s="469">
        <f>108/111%</f>
        <v>97.297297297297291</v>
      </c>
      <c r="F32" s="469">
        <f>109/111%</f>
        <v>98.198198198198185</v>
      </c>
      <c r="G32" s="469">
        <f>110/111%</f>
        <v>99.099099099099092</v>
      </c>
      <c r="H32" s="470">
        <f>111/111*100</f>
        <v>100</v>
      </c>
      <c r="I32" s="470">
        <f>H32</f>
        <v>100</v>
      </c>
      <c r="J32" s="470">
        <f>I32</f>
        <v>100</v>
      </c>
      <c r="K32" s="471"/>
      <c r="L32" s="469"/>
      <c r="M32" s="469">
        <v>97.297297297297291</v>
      </c>
      <c r="N32" s="469">
        <v>99.090909090909093</v>
      </c>
      <c r="O32" s="469">
        <v>100</v>
      </c>
      <c r="P32" s="469"/>
      <c r="Q32" s="469"/>
      <c r="R32" s="466"/>
      <c r="S32" s="407"/>
      <c r="T32" s="407"/>
      <c r="U32" s="407"/>
    </row>
    <row r="33" spans="1:24" ht="37.5" hidden="1" customHeight="1">
      <c r="A33" s="425"/>
      <c r="B33" s="503" t="s">
        <v>143</v>
      </c>
      <c r="C33" s="427" t="s">
        <v>28</v>
      </c>
      <c r="D33" s="456">
        <v>100</v>
      </c>
      <c r="E33" s="456">
        <v>100</v>
      </c>
      <c r="F33" s="456">
        <v>100</v>
      </c>
      <c r="G33" s="456">
        <v>100</v>
      </c>
      <c r="H33" s="456">
        <v>100</v>
      </c>
      <c r="I33" s="456">
        <v>100</v>
      </c>
      <c r="J33" s="456">
        <f>I33</f>
        <v>100</v>
      </c>
      <c r="K33" s="457">
        <v>100</v>
      </c>
      <c r="L33" s="456"/>
      <c r="M33" s="456">
        <f>'B3'!CC16</f>
        <v>100</v>
      </c>
      <c r="N33" s="456">
        <f>'B3'!CD16</f>
        <v>100</v>
      </c>
      <c r="O33" s="456">
        <f>'B3'!CE16</f>
        <v>100</v>
      </c>
      <c r="P33" s="456"/>
      <c r="Q33" s="456"/>
      <c r="R33" s="466"/>
    </row>
    <row r="34" spans="1:24" ht="37.5" hidden="1" customHeight="1">
      <c r="A34" s="425"/>
      <c r="B34" s="503" t="s">
        <v>582</v>
      </c>
      <c r="C34" s="427" t="s">
        <v>28</v>
      </c>
      <c r="D34" s="456">
        <f>'B3'!D19</f>
        <v>85</v>
      </c>
      <c r="E34" s="456">
        <f>'B3'!E19</f>
        <v>95</v>
      </c>
      <c r="F34" s="456">
        <f>'B3'!T19</f>
        <v>96</v>
      </c>
      <c r="G34" s="456">
        <f>'B3'!AI19</f>
        <v>97</v>
      </c>
      <c r="H34" s="456">
        <f>'B3'!AX19</f>
        <v>98</v>
      </c>
      <c r="I34" s="456">
        <f>'B3'!BM19</f>
        <v>99</v>
      </c>
      <c r="J34" s="456">
        <f>I34</f>
        <v>99</v>
      </c>
      <c r="K34" s="457">
        <v>99</v>
      </c>
      <c r="L34" s="456"/>
      <c r="M34" s="456">
        <f>'B3'!CC19</f>
        <v>85</v>
      </c>
      <c r="N34" s="456">
        <f>'B3'!CD19</f>
        <v>89.8</v>
      </c>
      <c r="O34" s="456">
        <f>'B3'!CE19</f>
        <v>92</v>
      </c>
      <c r="P34" s="456"/>
      <c r="Q34" s="456"/>
      <c r="R34" s="466"/>
      <c r="S34" s="408"/>
    </row>
    <row r="35" spans="1:24" s="11" customFormat="1" ht="21.95" customHeight="1">
      <c r="A35" s="415">
        <v>6</v>
      </c>
      <c r="B35" s="501" t="s">
        <v>583</v>
      </c>
      <c r="C35" s="397"/>
      <c r="D35" s="416"/>
      <c r="E35" s="416"/>
      <c r="F35" s="416"/>
      <c r="G35" s="416"/>
      <c r="H35" s="416"/>
      <c r="I35" s="416"/>
      <c r="J35" s="416"/>
      <c r="K35" s="398"/>
      <c r="L35" s="416"/>
      <c r="M35" s="416"/>
      <c r="N35" s="416"/>
      <c r="O35" s="416"/>
      <c r="P35" s="416"/>
      <c r="Q35" s="416"/>
      <c r="R35" s="472"/>
      <c r="S35" s="400"/>
      <c r="T35" s="400"/>
      <c r="U35" s="400"/>
    </row>
    <row r="36" spans="1:24" ht="90" hidden="1">
      <c r="A36" s="425"/>
      <c r="B36" s="503" t="s">
        <v>584</v>
      </c>
      <c r="C36" s="427" t="s">
        <v>142</v>
      </c>
      <c r="D36" s="473">
        <v>14</v>
      </c>
      <c r="E36" s="473">
        <v>14</v>
      </c>
      <c r="F36" s="473">
        <v>14</v>
      </c>
      <c r="G36" s="473">
        <v>14</v>
      </c>
      <c r="H36" s="473">
        <v>14</v>
      </c>
      <c r="I36" s="473">
        <v>14</v>
      </c>
      <c r="J36" s="473">
        <f t="shared" ref="J36:J45" si="17">I36</f>
        <v>14</v>
      </c>
      <c r="K36" s="426">
        <v>14</v>
      </c>
      <c r="L36" s="473"/>
      <c r="M36" s="473">
        <v>14</v>
      </c>
      <c r="N36" s="473">
        <v>14</v>
      </c>
      <c r="O36" s="473">
        <v>14</v>
      </c>
      <c r="P36" s="473"/>
      <c r="Q36" s="473"/>
      <c r="R36" s="472"/>
    </row>
    <row r="37" spans="1:24" s="161" customFormat="1" ht="30" hidden="1">
      <c r="A37" s="474"/>
      <c r="B37" s="505" t="s">
        <v>635</v>
      </c>
      <c r="C37" s="475" t="s">
        <v>28</v>
      </c>
      <c r="D37" s="476">
        <v>97.2</v>
      </c>
      <c r="E37" s="476">
        <v>97.2</v>
      </c>
      <c r="F37" s="476">
        <v>97.2</v>
      </c>
      <c r="G37" s="476">
        <v>97.3</v>
      </c>
      <c r="H37" s="476">
        <v>97.4</v>
      </c>
      <c r="I37" s="476">
        <v>97.5</v>
      </c>
      <c r="J37" s="476">
        <f>I37</f>
        <v>97.5</v>
      </c>
      <c r="K37" s="475" t="s">
        <v>685</v>
      </c>
      <c r="L37" s="476"/>
      <c r="M37" s="476">
        <v>98.2</v>
      </c>
      <c r="N37" s="477">
        <v>98.435714285714283</v>
      </c>
      <c r="O37" s="477">
        <v>98.435714285714283</v>
      </c>
      <c r="P37" s="478"/>
      <c r="Q37" s="478"/>
      <c r="R37" s="466"/>
      <c r="S37" s="399"/>
      <c r="T37" s="399"/>
      <c r="U37" s="399"/>
    </row>
    <row r="38" spans="1:24" s="161" customFormat="1" ht="45" hidden="1">
      <c r="A38" s="474"/>
      <c r="B38" s="505" t="s">
        <v>636</v>
      </c>
      <c r="C38" s="475" t="s">
        <v>28</v>
      </c>
      <c r="D38" s="476">
        <v>98.2</v>
      </c>
      <c r="E38" s="476">
        <v>98.2</v>
      </c>
      <c r="F38" s="476">
        <v>98.2</v>
      </c>
      <c r="G38" s="476">
        <v>98.3</v>
      </c>
      <c r="H38" s="476">
        <v>98.4</v>
      </c>
      <c r="I38" s="476">
        <v>98.5</v>
      </c>
      <c r="J38" s="476">
        <f t="shared" ref="J38:J40" si="18">I38</f>
        <v>98.5</v>
      </c>
      <c r="K38" s="475" t="s">
        <v>686</v>
      </c>
      <c r="L38" s="476"/>
      <c r="M38" s="476">
        <v>99.6</v>
      </c>
      <c r="N38" s="477">
        <v>99.835714285714289</v>
      </c>
      <c r="O38" s="477">
        <v>99.8</v>
      </c>
      <c r="P38" s="478"/>
      <c r="Q38" s="478"/>
      <c r="R38" s="466"/>
      <c r="S38" s="399"/>
      <c r="T38" s="399"/>
      <c r="U38" s="399"/>
    </row>
    <row r="39" spans="1:24" s="161" customFormat="1" ht="45" hidden="1">
      <c r="A39" s="474"/>
      <c r="B39" s="505" t="s">
        <v>637</v>
      </c>
      <c r="C39" s="475" t="s">
        <v>28</v>
      </c>
      <c r="D39" s="476">
        <v>95.8</v>
      </c>
      <c r="E39" s="476">
        <v>95.8</v>
      </c>
      <c r="F39" s="476">
        <v>95.8</v>
      </c>
      <c r="G39" s="476">
        <v>95.9</v>
      </c>
      <c r="H39" s="479">
        <v>96</v>
      </c>
      <c r="I39" s="476">
        <v>96.1</v>
      </c>
      <c r="J39" s="476">
        <f t="shared" si="18"/>
        <v>96.1</v>
      </c>
      <c r="K39" s="475" t="s">
        <v>687</v>
      </c>
      <c r="L39" s="476"/>
      <c r="M39" s="476">
        <v>95.8</v>
      </c>
      <c r="N39" s="477">
        <v>96.785714285714292</v>
      </c>
      <c r="O39" s="477">
        <v>96.785714285714292</v>
      </c>
      <c r="P39" s="478"/>
      <c r="Q39" s="478"/>
      <c r="R39" s="466"/>
      <c r="S39" s="399"/>
      <c r="T39" s="399"/>
      <c r="U39" s="399"/>
    </row>
    <row r="40" spans="1:24" s="161" customFormat="1" ht="45" hidden="1">
      <c r="A40" s="474"/>
      <c r="B40" s="505" t="s">
        <v>638</v>
      </c>
      <c r="C40" s="475" t="s">
        <v>28</v>
      </c>
      <c r="D40" s="476">
        <v>58.3</v>
      </c>
      <c r="E40" s="476">
        <v>60.3</v>
      </c>
      <c r="F40" s="476">
        <v>60.3</v>
      </c>
      <c r="G40" s="476">
        <v>60.4</v>
      </c>
      <c r="H40" s="476">
        <v>60.45</v>
      </c>
      <c r="I40" s="476">
        <v>60.5</v>
      </c>
      <c r="J40" s="476">
        <f t="shared" si="18"/>
        <v>60.5</v>
      </c>
      <c r="K40" s="475" t="s">
        <v>688</v>
      </c>
      <c r="L40" s="476"/>
      <c r="M40" s="476">
        <v>60.3</v>
      </c>
      <c r="N40" s="477">
        <v>58.75</v>
      </c>
      <c r="O40" s="477">
        <v>59.25</v>
      </c>
      <c r="P40" s="478"/>
      <c r="Q40" s="478"/>
      <c r="R40" s="466"/>
      <c r="S40" s="399"/>
      <c r="T40" s="399"/>
      <c r="U40" s="399"/>
    </row>
    <row r="41" spans="1:24" ht="36" customHeight="1">
      <c r="A41" s="425"/>
      <c r="B41" s="503" t="s">
        <v>237</v>
      </c>
      <c r="C41" s="427" t="s">
        <v>28</v>
      </c>
      <c r="D41" s="458">
        <f>'B6'!D29</f>
        <v>45</v>
      </c>
      <c r="E41" s="456">
        <f>'B6'!E29</f>
        <v>51.282051282051285</v>
      </c>
      <c r="F41" s="456">
        <f>'B6'!T29</f>
        <v>56.410256410256409</v>
      </c>
      <c r="G41" s="456">
        <f>'B6'!AI29</f>
        <v>55.263157894736842</v>
      </c>
      <c r="H41" s="456">
        <f>'B6'!AX29</f>
        <v>54.054054054054056</v>
      </c>
      <c r="I41" s="456">
        <f>'B6'!BM29</f>
        <v>57.142857142857146</v>
      </c>
      <c r="J41" s="456">
        <f t="shared" si="17"/>
        <v>57.142857142857146</v>
      </c>
      <c r="K41" s="464" t="s">
        <v>689</v>
      </c>
      <c r="L41" s="459">
        <v>50</v>
      </c>
      <c r="M41" s="456">
        <f>'B6'!CH29</f>
        <v>46.153846153846153</v>
      </c>
      <c r="N41" s="456">
        <f>'B6'!CI29</f>
        <v>56.410256410256409</v>
      </c>
      <c r="O41" s="456">
        <f>23/39*100</f>
        <v>58.974358974358978</v>
      </c>
      <c r="P41" s="456">
        <f>23/39*100</f>
        <v>58.974358974358978</v>
      </c>
      <c r="Q41" s="456">
        <f>24/39*100</f>
        <v>61.53846153846154</v>
      </c>
      <c r="R41" s="466" t="s">
        <v>706</v>
      </c>
      <c r="S41" s="399">
        <v>1</v>
      </c>
      <c r="T41" s="409">
        <f>Q41-L41</f>
        <v>11.53846153846154</v>
      </c>
      <c r="V41" s="396"/>
      <c r="W41" s="396"/>
      <c r="X41" s="386"/>
    </row>
    <row r="42" spans="1:24" ht="21.95" customHeight="1">
      <c r="A42" s="425"/>
      <c r="B42" s="503" t="s">
        <v>585</v>
      </c>
      <c r="C42" s="427" t="s">
        <v>28</v>
      </c>
      <c r="D42" s="458">
        <f>'B6'!D30</f>
        <v>57.142857142857139</v>
      </c>
      <c r="E42" s="458">
        <f>'B6'!E30</f>
        <v>57.142857142857146</v>
      </c>
      <c r="F42" s="458">
        <f>'B6'!T30</f>
        <v>64.285714285714292</v>
      </c>
      <c r="G42" s="458">
        <f>'B6'!AI30</f>
        <v>64.285714285714292</v>
      </c>
      <c r="H42" s="458">
        <f>'B6'!AX30</f>
        <v>64.285714285714292</v>
      </c>
      <c r="I42" s="458">
        <f>'B6'!BM30</f>
        <v>64.285714285714292</v>
      </c>
      <c r="J42" s="458">
        <f t="shared" si="17"/>
        <v>64.285714285714292</v>
      </c>
      <c r="K42" s="464" t="s">
        <v>697</v>
      </c>
      <c r="L42" s="459">
        <v>64</v>
      </c>
      <c r="M42" s="458">
        <f>'B6'!CH30</f>
        <v>50</v>
      </c>
      <c r="N42" s="458">
        <f>'B6'!CI30</f>
        <v>71.428571428571431</v>
      </c>
      <c r="O42" s="458">
        <f>10/14*100</f>
        <v>71.428571428571431</v>
      </c>
      <c r="P42" s="458">
        <f>10/14*100</f>
        <v>71.428571428571431</v>
      </c>
      <c r="Q42" s="458">
        <f>10/14*100</f>
        <v>71.428571428571431</v>
      </c>
      <c r="R42" s="466" t="s">
        <v>706</v>
      </c>
      <c r="S42" s="399">
        <v>1</v>
      </c>
      <c r="V42" s="396"/>
      <c r="W42" s="396"/>
      <c r="X42" s="386"/>
    </row>
    <row r="43" spans="1:24" ht="21.95" customHeight="1">
      <c r="A43" s="425"/>
      <c r="B43" s="503" t="s">
        <v>586</v>
      </c>
      <c r="C43" s="427" t="s">
        <v>28</v>
      </c>
      <c r="D43" s="458">
        <f>'B6'!D31</f>
        <v>62.5</v>
      </c>
      <c r="E43" s="458">
        <f>'B6'!E31</f>
        <v>71.428571428571431</v>
      </c>
      <c r="F43" s="458">
        <f>'B6'!T31</f>
        <v>71.428571428571431</v>
      </c>
      <c r="G43" s="458">
        <f>'B6'!AI31</f>
        <v>66.666666666666671</v>
      </c>
      <c r="H43" s="458">
        <f>'B6'!AX31</f>
        <v>60</v>
      </c>
      <c r="I43" s="458">
        <f>'B6'!BM31</f>
        <v>100</v>
      </c>
      <c r="J43" s="458">
        <f t="shared" si="17"/>
        <v>100</v>
      </c>
      <c r="K43" s="480">
        <v>100</v>
      </c>
      <c r="L43" s="459">
        <v>100</v>
      </c>
      <c r="M43" s="458">
        <f>'B6'!CH31</f>
        <v>71.428571428571431</v>
      </c>
      <c r="N43" s="458">
        <f>'B6'!CI31</f>
        <v>71.428571428571431</v>
      </c>
      <c r="O43" s="458">
        <f>5/7*100</f>
        <v>71.428571428571431</v>
      </c>
      <c r="P43" s="458">
        <f>5/7*100</f>
        <v>71.428571428571431</v>
      </c>
      <c r="Q43" s="458">
        <f>5/7*100</f>
        <v>71.428571428571431</v>
      </c>
      <c r="R43" s="466" t="s">
        <v>707</v>
      </c>
      <c r="S43" s="399">
        <v>1</v>
      </c>
    </row>
    <row r="44" spans="1:24" ht="21.95" customHeight="1">
      <c r="A44" s="425"/>
      <c r="B44" s="503" t="s">
        <v>587</v>
      </c>
      <c r="C44" s="427" t="s">
        <v>28</v>
      </c>
      <c r="D44" s="458">
        <f>'B6'!D32</f>
        <v>33.333333333333336</v>
      </c>
      <c r="E44" s="458">
        <f>'B6'!E32</f>
        <v>40</v>
      </c>
      <c r="F44" s="458">
        <f>'B6'!T32</f>
        <v>46.666666666666664</v>
      </c>
      <c r="G44" s="458">
        <f>'B6'!AI32</f>
        <v>46.666666666666664</v>
      </c>
      <c r="H44" s="458">
        <f>'B6'!AX32</f>
        <v>46.666666666666664</v>
      </c>
      <c r="I44" s="458">
        <f>'B6'!BM32</f>
        <v>46.666666666666664</v>
      </c>
      <c r="J44" s="458">
        <f t="shared" si="17"/>
        <v>46.666666666666664</v>
      </c>
      <c r="K44" s="464" t="s">
        <v>690</v>
      </c>
      <c r="L44" s="458" t="s">
        <v>675</v>
      </c>
      <c r="M44" s="458">
        <f>'B6'!CH32</f>
        <v>33.333333333333329</v>
      </c>
      <c r="N44" s="458">
        <f>'B6'!CI32</f>
        <v>40</v>
      </c>
      <c r="O44" s="458">
        <f>7/15*100</f>
        <v>46.666666666666664</v>
      </c>
      <c r="P44" s="458">
        <f>7/15*100</f>
        <v>46.666666666666664</v>
      </c>
      <c r="Q44" s="458">
        <f>8/15*100</f>
        <v>53.333333333333336</v>
      </c>
      <c r="R44" s="466" t="s">
        <v>706</v>
      </c>
      <c r="S44" s="399">
        <v>1</v>
      </c>
    </row>
    <row r="45" spans="1:24" ht="21.95" customHeight="1">
      <c r="A45" s="425"/>
      <c r="B45" s="503" t="s">
        <v>588</v>
      </c>
      <c r="C45" s="427" t="s">
        <v>28</v>
      </c>
      <c r="D45" s="458">
        <f>'B6'!D33</f>
        <v>0</v>
      </c>
      <c r="E45" s="458">
        <f>'B6'!E33</f>
        <v>33.333333333333336</v>
      </c>
      <c r="F45" s="458">
        <f>'B6'!T33</f>
        <v>33.333333333333336</v>
      </c>
      <c r="G45" s="458">
        <f>'B6'!AI33</f>
        <v>33.333333333333336</v>
      </c>
      <c r="H45" s="458">
        <f>'B6'!AX33</f>
        <v>33.333333333333336</v>
      </c>
      <c r="I45" s="458">
        <f>'B6'!BM33</f>
        <v>33.333333333333336</v>
      </c>
      <c r="J45" s="458">
        <f t="shared" si="17"/>
        <v>33.333333333333336</v>
      </c>
      <c r="K45" s="464" t="s">
        <v>675</v>
      </c>
      <c r="L45" s="458"/>
      <c r="M45" s="458">
        <f>'B6'!CH33</f>
        <v>33.333333333333329</v>
      </c>
      <c r="N45" s="458">
        <f>'B6'!CI33</f>
        <v>33.333333333333329</v>
      </c>
      <c r="O45" s="458">
        <f>1/3*100</f>
        <v>33.333333333333329</v>
      </c>
      <c r="P45" s="481">
        <f>1/3*100</f>
        <v>33.333333333333329</v>
      </c>
      <c r="Q45" s="481">
        <f>1/3*100</f>
        <v>33.333333333333329</v>
      </c>
      <c r="R45" s="466"/>
    </row>
    <row r="46" spans="1:24" s="11" customFormat="1" ht="21.95" customHeight="1">
      <c r="A46" s="415">
        <v>7</v>
      </c>
      <c r="B46" s="501" t="s">
        <v>411</v>
      </c>
      <c r="C46" s="397"/>
      <c r="D46" s="416"/>
      <c r="E46" s="416"/>
      <c r="F46" s="416"/>
      <c r="G46" s="416"/>
      <c r="H46" s="416"/>
      <c r="I46" s="416"/>
      <c r="J46" s="416"/>
      <c r="K46" s="398"/>
      <c r="L46" s="416"/>
      <c r="M46" s="416"/>
      <c r="N46" s="416"/>
      <c r="O46" s="416"/>
      <c r="P46" s="416"/>
      <c r="Q46" s="416"/>
      <c r="R46" s="482"/>
      <c r="S46" s="400"/>
      <c r="T46" s="400"/>
      <c r="U46" s="400"/>
    </row>
    <row r="47" spans="1:24" s="11" customFormat="1" ht="36" customHeight="1">
      <c r="A47" s="415"/>
      <c r="B47" s="506" t="s">
        <v>715</v>
      </c>
      <c r="C47" s="427" t="s">
        <v>123</v>
      </c>
      <c r="D47" s="473"/>
      <c r="E47" s="473"/>
      <c r="F47" s="473"/>
      <c r="G47" s="473"/>
      <c r="H47" s="473"/>
      <c r="I47" s="473"/>
      <c r="J47" s="473"/>
      <c r="K47" s="426"/>
      <c r="L47" s="473">
        <v>11</v>
      </c>
      <c r="M47" s="473">
        <v>10</v>
      </c>
      <c r="N47" s="473">
        <v>10</v>
      </c>
      <c r="O47" s="473">
        <v>11</v>
      </c>
      <c r="P47" s="473">
        <v>11</v>
      </c>
      <c r="Q47" s="473">
        <v>11</v>
      </c>
      <c r="R47" s="482" t="s">
        <v>680</v>
      </c>
      <c r="S47" s="400">
        <v>1</v>
      </c>
      <c r="T47" s="400"/>
      <c r="U47" s="400"/>
    </row>
    <row r="48" spans="1:24" ht="30" hidden="1">
      <c r="A48" s="425"/>
      <c r="B48" s="503" t="s">
        <v>589</v>
      </c>
      <c r="C48" s="427" t="s">
        <v>28</v>
      </c>
      <c r="D48" s="458">
        <f>'B7'!D45</f>
        <v>71.428571428571431</v>
      </c>
      <c r="E48" s="458">
        <f>'B7'!E45</f>
        <v>71.428571428571402</v>
      </c>
      <c r="F48" s="458">
        <f>'B7'!T45</f>
        <v>71.428571428571402</v>
      </c>
      <c r="G48" s="458">
        <f>'B7'!AI45</f>
        <v>78.571428571428541</v>
      </c>
      <c r="H48" s="458">
        <f>'B7'!AX45</f>
        <v>78.571428571428541</v>
      </c>
      <c r="I48" s="458">
        <f>'B7'!BM45</f>
        <v>78.571428571428541</v>
      </c>
      <c r="J48" s="458">
        <f>I48</f>
        <v>78.571428571428541</v>
      </c>
      <c r="K48" s="480">
        <f>I48</f>
        <v>78.571428571428541</v>
      </c>
      <c r="L48" s="456">
        <f>J48</f>
        <v>78.571428571428541</v>
      </c>
      <c r="M48" s="456">
        <f>'B7'!CD45</f>
        <v>71.428571428571431</v>
      </c>
      <c r="N48" s="456">
        <f>'B7'!CE45</f>
        <v>71.428571428571431</v>
      </c>
      <c r="O48" s="456">
        <f>'B7'!CF45</f>
        <v>78.571428571428569</v>
      </c>
      <c r="P48" s="456">
        <f>O48</f>
        <v>78.571428571428569</v>
      </c>
      <c r="Q48" s="456">
        <f>P48</f>
        <v>78.571428571428569</v>
      </c>
      <c r="R48" s="466"/>
      <c r="S48" s="400">
        <v>1</v>
      </c>
    </row>
    <row r="49" spans="1:23" ht="36" customHeight="1">
      <c r="A49" s="425"/>
      <c r="B49" s="507" t="s">
        <v>650</v>
      </c>
      <c r="C49" s="427" t="s">
        <v>28</v>
      </c>
      <c r="D49" s="456">
        <v>0</v>
      </c>
      <c r="E49" s="456">
        <v>30</v>
      </c>
      <c r="F49" s="483">
        <v>40</v>
      </c>
      <c r="G49" s="483">
        <v>50</v>
      </c>
      <c r="H49" s="483">
        <v>60</v>
      </c>
      <c r="I49" s="456">
        <v>70</v>
      </c>
      <c r="J49" s="456">
        <f>I49</f>
        <v>70</v>
      </c>
      <c r="K49" s="457">
        <f>J49</f>
        <v>70</v>
      </c>
      <c r="L49" s="456">
        <v>70</v>
      </c>
      <c r="M49" s="456">
        <v>0</v>
      </c>
      <c r="N49" s="483">
        <v>40</v>
      </c>
      <c r="O49" s="483">
        <v>50</v>
      </c>
      <c r="P49" s="483">
        <v>60</v>
      </c>
      <c r="Q49" s="483">
        <v>60</v>
      </c>
      <c r="R49" s="466" t="s">
        <v>707</v>
      </c>
      <c r="S49" s="400">
        <v>1</v>
      </c>
      <c r="U49" s="408">
        <f>Q49/L49%</f>
        <v>85.714285714285722</v>
      </c>
    </row>
    <row r="50" spans="1:23" ht="29.25" hidden="1" customHeight="1">
      <c r="A50" s="425"/>
      <c r="B50" s="503" t="s">
        <v>590</v>
      </c>
      <c r="C50" s="427" t="s">
        <v>591</v>
      </c>
      <c r="D50" s="456">
        <f>'B7'!D40</f>
        <v>7.4695349680944156</v>
      </c>
      <c r="E50" s="456">
        <f>'B7'!E40</f>
        <v>7.6595744680851059</v>
      </c>
      <c r="F50" s="456">
        <f>'B7'!T40</f>
        <v>7.7083333333333339</v>
      </c>
      <c r="G50" s="456">
        <f>'B7'!AI40</f>
        <v>8.1632653061224492</v>
      </c>
      <c r="H50" s="456">
        <f>'B7'!AX40</f>
        <v>9</v>
      </c>
      <c r="I50" s="456">
        <f>'B7'!BM40</f>
        <v>10</v>
      </c>
      <c r="J50" s="456">
        <f>I50</f>
        <v>10</v>
      </c>
      <c r="K50" s="457">
        <v>10</v>
      </c>
      <c r="L50" s="456"/>
      <c r="M50" s="456">
        <f>'B7'!CD40</f>
        <v>8.4</v>
      </c>
      <c r="N50" s="456">
        <f>'B7'!CE40</f>
        <v>9.9</v>
      </c>
      <c r="O50" s="456">
        <f>'B7'!CF40</f>
        <v>10.199999999999999</v>
      </c>
      <c r="P50" s="456"/>
      <c r="Q50" s="456"/>
      <c r="R50" s="466" t="s">
        <v>707</v>
      </c>
      <c r="S50" s="400">
        <v>1</v>
      </c>
    </row>
    <row r="51" spans="1:23" ht="21.95" customHeight="1">
      <c r="A51" s="425"/>
      <c r="B51" s="503" t="s">
        <v>592</v>
      </c>
      <c r="C51" s="427" t="s">
        <v>28</v>
      </c>
      <c r="D51" s="483">
        <f>'B7'!D10</f>
        <v>1.73</v>
      </c>
      <c r="E51" s="483">
        <f>'B7'!E10</f>
        <v>1.5478571428571433</v>
      </c>
      <c r="F51" s="483">
        <f>'B7'!T10</f>
        <v>1.6135714285714289</v>
      </c>
      <c r="G51" s="483">
        <f>'B7'!AI10</f>
        <v>1.5899999999999999</v>
      </c>
      <c r="H51" s="483">
        <f>'B7'!AX10</f>
        <v>1.5814285714285714</v>
      </c>
      <c r="I51" s="483">
        <f>'B7'!BM10</f>
        <v>1.5957142857142859</v>
      </c>
      <c r="J51" s="483">
        <f>I51</f>
        <v>1.5957142857142859</v>
      </c>
      <c r="K51" s="484">
        <v>1.6</v>
      </c>
      <c r="L51" s="483">
        <v>1.6</v>
      </c>
      <c r="M51" s="483">
        <f>'B7'!CD10</f>
        <v>1.8</v>
      </c>
      <c r="N51" s="483">
        <f>'B7'!CE10</f>
        <v>1.58</v>
      </c>
      <c r="O51" s="485">
        <f>'B7'!CF10</f>
        <v>1.26</v>
      </c>
      <c r="P51" s="485">
        <v>0.61</v>
      </c>
      <c r="Q51" s="485">
        <v>1.26</v>
      </c>
      <c r="R51" s="466" t="s">
        <v>706</v>
      </c>
      <c r="S51" s="400">
        <v>1</v>
      </c>
    </row>
    <row r="52" spans="1:23" ht="21.95" customHeight="1">
      <c r="A52" s="425"/>
      <c r="B52" s="503" t="s">
        <v>593</v>
      </c>
      <c r="C52" s="427" t="s">
        <v>594</v>
      </c>
      <c r="D52" s="456">
        <f>'B7'!D9</f>
        <v>0.5</v>
      </c>
      <c r="E52" s="456">
        <f>'B7'!E9</f>
        <v>0.5</v>
      </c>
      <c r="F52" s="456">
        <f>'B7'!T9</f>
        <v>0.5</v>
      </c>
      <c r="G52" s="456">
        <f>'B7'!AI9</f>
        <v>0.5</v>
      </c>
      <c r="H52" s="456">
        <f>'B7'!AX9</f>
        <v>0.5</v>
      </c>
      <c r="I52" s="456">
        <f>'B7'!BM9</f>
        <v>0.5</v>
      </c>
      <c r="J52" s="456">
        <f>I52</f>
        <v>0.5</v>
      </c>
      <c r="K52" s="457">
        <v>0.5</v>
      </c>
      <c r="L52" s="456">
        <v>0.5</v>
      </c>
      <c r="M52" s="456">
        <f>'B7'!CD9</f>
        <v>0.6</v>
      </c>
      <c r="N52" s="456">
        <f>'B7'!CE9</f>
        <v>0.5</v>
      </c>
      <c r="O52" s="456">
        <v>0.7</v>
      </c>
      <c r="P52" s="456">
        <v>0.62</v>
      </c>
      <c r="Q52" s="456">
        <v>0.6</v>
      </c>
      <c r="R52" s="466" t="s">
        <v>707</v>
      </c>
      <c r="S52" s="400">
        <v>1</v>
      </c>
      <c r="U52" s="399">
        <f>L52/Q52*100</f>
        <v>83.333333333333343</v>
      </c>
    </row>
    <row r="53" spans="1:23" ht="36" customHeight="1">
      <c r="A53" s="425"/>
      <c r="B53" s="503" t="s">
        <v>649</v>
      </c>
      <c r="C53" s="427"/>
      <c r="D53" s="456"/>
      <c r="E53" s="456"/>
      <c r="F53" s="456"/>
      <c r="G53" s="456"/>
      <c r="H53" s="456"/>
      <c r="I53" s="456"/>
      <c r="J53" s="456"/>
      <c r="K53" s="457"/>
      <c r="L53" s="456"/>
      <c r="M53" s="456"/>
      <c r="N53" s="456"/>
      <c r="O53" s="456"/>
      <c r="P53" s="456"/>
      <c r="Q53" s="456"/>
      <c r="R53" s="425"/>
    </row>
    <row r="54" spans="1:23" s="180" customFormat="1" ht="21.95" customHeight="1">
      <c r="A54" s="467"/>
      <c r="B54" s="504" t="s">
        <v>621</v>
      </c>
      <c r="C54" s="468" t="s">
        <v>28</v>
      </c>
      <c r="D54" s="470">
        <f>'[1]B1 TH'!$S$51</f>
        <v>20.9</v>
      </c>
      <c r="E54" s="470">
        <f>'B7'!E44</f>
        <v>20.100000000000001</v>
      </c>
      <c r="F54" s="470">
        <f>'B7'!T44</f>
        <v>19.899999999999999</v>
      </c>
      <c r="G54" s="470">
        <f>'B7'!AI44</f>
        <v>19.600000000000001</v>
      </c>
      <c r="H54" s="470">
        <f>'B7'!AX44</f>
        <v>19.399999999999999</v>
      </c>
      <c r="I54" s="470">
        <f>'B7'!BM44</f>
        <v>18</v>
      </c>
      <c r="J54" s="470">
        <f>I54</f>
        <v>18</v>
      </c>
      <c r="K54" s="471" t="s">
        <v>676</v>
      </c>
      <c r="L54" s="470" t="s">
        <v>676</v>
      </c>
      <c r="M54" s="470">
        <f>'B7'!CD44</f>
        <v>20.38</v>
      </c>
      <c r="N54" s="470">
        <f>'B7'!CE44</f>
        <v>19.149999999999999</v>
      </c>
      <c r="O54" s="470">
        <v>18.100000000000001</v>
      </c>
      <c r="P54" s="486">
        <v>17.760000000000002</v>
      </c>
      <c r="Q54" s="486">
        <v>17.47</v>
      </c>
      <c r="R54" s="466" t="s">
        <v>680</v>
      </c>
      <c r="S54" s="407">
        <v>1</v>
      </c>
      <c r="T54" s="407"/>
      <c r="U54" s="407"/>
    </row>
    <row r="55" spans="1:23" s="180" customFormat="1" ht="21.95" customHeight="1">
      <c r="A55" s="467"/>
      <c r="B55" s="504" t="s">
        <v>622</v>
      </c>
      <c r="C55" s="468" t="s">
        <v>28</v>
      </c>
      <c r="D55" s="470">
        <v>26.7</v>
      </c>
      <c r="E55" s="470">
        <v>26</v>
      </c>
      <c r="F55" s="470">
        <v>25.5</v>
      </c>
      <c r="G55" s="470">
        <v>25</v>
      </c>
      <c r="H55" s="470">
        <v>24.6</v>
      </c>
      <c r="I55" s="470">
        <v>24</v>
      </c>
      <c r="J55" s="470">
        <f>I55</f>
        <v>24</v>
      </c>
      <c r="K55" s="471" t="s">
        <v>691</v>
      </c>
      <c r="L55" s="470"/>
      <c r="M55" s="470">
        <v>28.7</v>
      </c>
      <c r="N55" s="470">
        <v>24.93</v>
      </c>
      <c r="O55" s="470">
        <v>24.1</v>
      </c>
      <c r="P55" s="470"/>
      <c r="Q55" s="470"/>
      <c r="R55" s="466"/>
      <c r="S55" s="407"/>
      <c r="T55" s="407"/>
      <c r="U55" s="407"/>
    </row>
    <row r="56" spans="1:23" s="11" customFormat="1" ht="21.95" customHeight="1">
      <c r="A56" s="415">
        <v>8</v>
      </c>
      <c r="B56" s="501" t="s">
        <v>595</v>
      </c>
      <c r="C56" s="397"/>
      <c r="D56" s="416"/>
      <c r="E56" s="416"/>
      <c r="F56" s="416"/>
      <c r="G56" s="416"/>
      <c r="H56" s="416"/>
      <c r="I56" s="416"/>
      <c r="J56" s="416"/>
      <c r="K56" s="398"/>
      <c r="L56" s="416"/>
      <c r="M56" s="416"/>
      <c r="N56" s="416"/>
      <c r="O56" s="416"/>
      <c r="P56" s="416"/>
      <c r="Q56" s="416"/>
      <c r="R56" s="425"/>
      <c r="S56" s="400"/>
      <c r="T56" s="400"/>
      <c r="U56" s="400"/>
    </row>
    <row r="57" spans="1:23" s="146" customFormat="1" ht="27" hidden="1" customHeight="1">
      <c r="A57" s="425"/>
      <c r="B57" s="503" t="s">
        <v>623</v>
      </c>
      <c r="C57" s="427" t="s">
        <v>174</v>
      </c>
      <c r="D57" s="428">
        <v>3232</v>
      </c>
      <c r="E57" s="428">
        <v>2693</v>
      </c>
      <c r="F57" s="473"/>
      <c r="G57" s="473"/>
      <c r="H57" s="473"/>
      <c r="I57" s="473"/>
      <c r="J57" s="473"/>
      <c r="K57" s="426"/>
      <c r="L57" s="428"/>
      <c r="M57" s="428"/>
      <c r="N57" s="473"/>
      <c r="O57" s="473"/>
      <c r="P57" s="473"/>
      <c r="Q57" s="473"/>
      <c r="R57" s="415"/>
      <c r="S57" s="399"/>
      <c r="T57" s="399"/>
      <c r="U57" s="399"/>
    </row>
    <row r="58" spans="1:23" s="161" customFormat="1" ht="27" hidden="1" customHeight="1">
      <c r="A58" s="474"/>
      <c r="B58" s="508" t="s">
        <v>640</v>
      </c>
      <c r="C58" s="475" t="s">
        <v>28</v>
      </c>
      <c r="D58" s="487">
        <v>30.2</v>
      </c>
      <c r="E58" s="487">
        <v>24.82</v>
      </c>
      <c r="F58" s="487">
        <f>E58-E59</f>
        <v>19.440000000000001</v>
      </c>
      <c r="G58" s="487">
        <f>F58-G59</f>
        <v>14.440000000000001</v>
      </c>
      <c r="H58" s="487">
        <f>G58-H59</f>
        <v>9.4400000000000013</v>
      </c>
      <c r="I58" s="487">
        <f>H58-I59</f>
        <v>4.7400000000000011</v>
      </c>
      <c r="J58" s="487">
        <f>I58</f>
        <v>4.7400000000000011</v>
      </c>
      <c r="K58" s="488"/>
      <c r="L58" s="487"/>
      <c r="M58" s="487"/>
      <c r="N58" s="487"/>
      <c r="O58" s="487"/>
      <c r="P58" s="487"/>
      <c r="Q58" s="487"/>
      <c r="R58" s="424"/>
      <c r="S58" s="399"/>
      <c r="T58" s="399"/>
      <c r="U58" s="399"/>
    </row>
    <row r="59" spans="1:23" s="161" customFormat="1" ht="36" customHeight="1">
      <c r="A59" s="474"/>
      <c r="B59" s="508" t="s">
        <v>641</v>
      </c>
      <c r="C59" s="475" t="s">
        <v>642</v>
      </c>
      <c r="D59" s="489">
        <f>'[1]B1 TH'!$S$53</f>
        <v>6.2687861548983586</v>
      </c>
      <c r="E59" s="483">
        <f>D58-E58</f>
        <v>5.379999999999999</v>
      </c>
      <c r="F59" s="483">
        <v>5</v>
      </c>
      <c r="G59" s="483">
        <v>5</v>
      </c>
      <c r="H59" s="483">
        <v>5</v>
      </c>
      <c r="I59" s="483">
        <v>4.7</v>
      </c>
      <c r="J59" s="485">
        <f>AVERAGE(E59:I59)</f>
        <v>5.016</v>
      </c>
      <c r="K59" s="490" t="s">
        <v>677</v>
      </c>
      <c r="L59" s="491" t="s">
        <v>677</v>
      </c>
      <c r="M59" s="483"/>
      <c r="N59" s="485">
        <v>5.2224814695148183</v>
      </c>
      <c r="O59" s="485">
        <v>7.7646124081363936</v>
      </c>
      <c r="P59" s="483"/>
      <c r="Q59" s="492">
        <v>7.8508989050165496</v>
      </c>
      <c r="R59" s="424" t="s">
        <v>680</v>
      </c>
      <c r="S59" s="399">
        <v>1</v>
      </c>
      <c r="T59" s="399"/>
      <c r="U59" s="399"/>
    </row>
    <row r="60" spans="1:23" ht="65.099999999999994" customHeight="1">
      <c r="A60" s="425"/>
      <c r="B60" s="503" t="s">
        <v>596</v>
      </c>
      <c r="C60" s="427" t="s">
        <v>597</v>
      </c>
      <c r="D60" s="459">
        <f>'B7'!D18</f>
        <v>633.4</v>
      </c>
      <c r="E60" s="454">
        <f>'B7'!E18</f>
        <v>762</v>
      </c>
      <c r="F60" s="454">
        <f>'B7'!T18</f>
        <v>660</v>
      </c>
      <c r="G60" s="454">
        <f>'B7'!AI18</f>
        <v>670</v>
      </c>
      <c r="H60" s="454">
        <f>'B7'!AX18</f>
        <v>680</v>
      </c>
      <c r="I60" s="454">
        <f>'B7'!BM18</f>
        <v>690</v>
      </c>
      <c r="J60" s="459">
        <f>AVERAGE(E60:I60)</f>
        <v>692.4</v>
      </c>
      <c r="K60" s="493" t="s">
        <v>693</v>
      </c>
      <c r="L60" s="459">
        <v>520</v>
      </c>
      <c r="M60" s="494">
        <f>'B7'!CD18</f>
        <v>780</v>
      </c>
      <c r="N60" s="494">
        <f>'B7'!CE18</f>
        <v>1012</v>
      </c>
      <c r="O60" s="495">
        <v>705</v>
      </c>
      <c r="P60" s="494">
        <v>356</v>
      </c>
      <c r="Q60" s="494">
        <v>705</v>
      </c>
      <c r="R60" s="464" t="s">
        <v>718</v>
      </c>
      <c r="S60" s="410">
        <v>1</v>
      </c>
      <c r="T60" s="399">
        <v>705</v>
      </c>
      <c r="U60" s="399">
        <v>635</v>
      </c>
      <c r="W60" s="391"/>
    </row>
    <row r="61" spans="1:23" ht="65.099999999999994" customHeight="1">
      <c r="A61" s="425"/>
      <c r="B61" s="503" t="s">
        <v>598</v>
      </c>
      <c r="C61" s="427" t="s">
        <v>597</v>
      </c>
      <c r="D61" s="459">
        <f>'B6'!D38</f>
        <v>814.8</v>
      </c>
      <c r="E61" s="428">
        <f>'B6'!E38</f>
        <v>1000</v>
      </c>
      <c r="F61" s="445">
        <f>'B6'!T38</f>
        <v>1000</v>
      </c>
      <c r="G61" s="445">
        <f>'B6'!AI38</f>
        <v>1000</v>
      </c>
      <c r="H61" s="445">
        <f>'B6'!AX38</f>
        <v>1000</v>
      </c>
      <c r="I61" s="445">
        <f>'B6'!BM38</f>
        <v>1000</v>
      </c>
      <c r="J61" s="428">
        <f>AVERAGE(E61:I61)</f>
        <v>1000</v>
      </c>
      <c r="K61" s="493" t="s">
        <v>692</v>
      </c>
      <c r="L61" s="459">
        <v>650</v>
      </c>
      <c r="M61" s="428">
        <f>'B6'!CH38</f>
        <v>1025</v>
      </c>
      <c r="N61" s="428">
        <f>'B6'!CI38</f>
        <v>1259</v>
      </c>
      <c r="O61" s="428">
        <v>1105</v>
      </c>
      <c r="P61" s="428">
        <v>410</v>
      </c>
      <c r="Q61" s="428">
        <v>1100</v>
      </c>
      <c r="R61" s="464" t="s">
        <v>719</v>
      </c>
      <c r="S61" s="410">
        <v>1</v>
      </c>
      <c r="T61" s="399">
        <v>1105</v>
      </c>
      <c r="U61" s="399">
        <v>776</v>
      </c>
      <c r="W61" s="391"/>
    </row>
    <row r="62" spans="1:23" ht="21.95" customHeight="1">
      <c r="A62" s="425"/>
      <c r="B62" s="503" t="s">
        <v>599</v>
      </c>
      <c r="C62" s="427" t="s">
        <v>28</v>
      </c>
      <c r="D62" s="456">
        <f>'B6'!D43</f>
        <v>50</v>
      </c>
      <c r="E62" s="456">
        <f>'B6'!E43</f>
        <v>53.430714285714295</v>
      </c>
      <c r="F62" s="456">
        <f>'B6'!T43</f>
        <v>56.75</v>
      </c>
      <c r="G62" s="456">
        <f>'B6'!AI43</f>
        <v>59.857142857142868</v>
      </c>
      <c r="H62" s="456">
        <f>'B6'!AX43</f>
        <v>62.957142857142856</v>
      </c>
      <c r="I62" s="456">
        <f>'B6'!BM43</f>
        <v>65.95714285714287</v>
      </c>
      <c r="J62" s="456">
        <f>I62</f>
        <v>65.95714285714287</v>
      </c>
      <c r="K62" s="457" t="s">
        <v>694</v>
      </c>
      <c r="L62" s="456" t="s">
        <v>678</v>
      </c>
      <c r="M62" s="456">
        <f>'B6'!CH43</f>
        <v>55.5</v>
      </c>
      <c r="N62" s="456">
        <f>'B6'!CI43</f>
        <v>56.817142857142862</v>
      </c>
      <c r="O62" s="456">
        <v>59.885714285714286</v>
      </c>
      <c r="P62" s="456">
        <v>61.2</v>
      </c>
      <c r="Q62" s="456">
        <v>62.986785714285702</v>
      </c>
      <c r="R62" s="466" t="s">
        <v>680</v>
      </c>
      <c r="S62" s="413">
        <v>1</v>
      </c>
      <c r="T62" s="411">
        <v>59</v>
      </c>
      <c r="U62" s="399">
        <v>62.1</v>
      </c>
    </row>
    <row r="63" spans="1:23" s="11" customFormat="1" ht="21.95" customHeight="1">
      <c r="A63" s="415">
        <v>9</v>
      </c>
      <c r="B63" s="501" t="s">
        <v>600</v>
      </c>
      <c r="C63" s="397"/>
      <c r="D63" s="458"/>
      <c r="E63" s="458"/>
      <c r="F63" s="458"/>
      <c r="G63" s="458"/>
      <c r="H63" s="458"/>
      <c r="I63" s="458"/>
      <c r="J63" s="458"/>
      <c r="K63" s="480"/>
      <c r="L63" s="458"/>
      <c r="M63" s="458"/>
      <c r="N63" s="458"/>
      <c r="O63" s="458"/>
      <c r="P63" s="458"/>
      <c r="Q63" s="458"/>
      <c r="R63" s="482"/>
      <c r="S63" s="400"/>
      <c r="T63" s="400"/>
      <c r="U63" s="400"/>
    </row>
    <row r="64" spans="1:23" s="161" customFormat="1" ht="32.25" hidden="1" customHeight="1">
      <c r="A64" s="474"/>
      <c r="B64" s="508" t="s">
        <v>624</v>
      </c>
      <c r="C64" s="475" t="s">
        <v>28</v>
      </c>
      <c r="D64" s="456">
        <f>'B7'!D28/111*100</f>
        <v>76.576576576576571</v>
      </c>
      <c r="E64" s="496">
        <f>'B7'!E28/111*100</f>
        <v>84.684684684684683</v>
      </c>
      <c r="F64" s="496">
        <f>'B7'!T28/111*100</f>
        <v>90.990990990990994</v>
      </c>
      <c r="G64" s="496">
        <f>'B7'!AI28/111*100</f>
        <v>95.495495495495504</v>
      </c>
      <c r="H64" s="496">
        <f>'B7'!AX28/111*100</f>
        <v>100</v>
      </c>
      <c r="I64" s="496">
        <f>'B7'!BM28/111*100</f>
        <v>100</v>
      </c>
      <c r="J64" s="496">
        <f>I64</f>
        <v>100</v>
      </c>
      <c r="K64" s="497">
        <v>100</v>
      </c>
      <c r="L64" s="456"/>
      <c r="M64" s="496">
        <v>76.576576576576571</v>
      </c>
      <c r="N64" s="496">
        <v>83.636363636363626</v>
      </c>
      <c r="O64" s="496">
        <f>107/110*100</f>
        <v>97.27272727272728</v>
      </c>
      <c r="P64" s="496"/>
      <c r="Q64" s="496"/>
      <c r="R64" s="466"/>
      <c r="S64" s="399"/>
      <c r="T64" s="399"/>
      <c r="U64" s="399"/>
    </row>
    <row r="65" spans="1:21" ht="36" customHeight="1">
      <c r="A65" s="425"/>
      <c r="B65" s="503" t="s">
        <v>601</v>
      </c>
      <c r="C65" s="427" t="s">
        <v>28</v>
      </c>
      <c r="D65" s="456">
        <f>'B7'!D33</f>
        <v>74.609665427509299</v>
      </c>
      <c r="E65" s="456">
        <f>'B7'!E33</f>
        <v>78.981784212984593</v>
      </c>
      <c r="F65" s="456">
        <f>'B7'!T33</f>
        <v>79.168612797758058</v>
      </c>
      <c r="G65" s="456">
        <f>'B7'!AI33</f>
        <v>79.402148528724894</v>
      </c>
      <c r="H65" s="456">
        <f>'B7'!AX33</f>
        <v>79.588977113498373</v>
      </c>
      <c r="I65" s="456">
        <f>'B7'!BM33</f>
        <v>79.962634283045304</v>
      </c>
      <c r="J65" s="456">
        <f>I65</f>
        <v>79.962634283045304</v>
      </c>
      <c r="K65" s="457">
        <v>80</v>
      </c>
      <c r="L65" s="456" t="s">
        <v>679</v>
      </c>
      <c r="M65" s="456">
        <f>'B7'!CD33</f>
        <v>77.8</v>
      </c>
      <c r="N65" s="456">
        <f>'B7'!CE33</f>
        <v>79.50694755714926</v>
      </c>
      <c r="O65" s="456">
        <v>78.67224255096707</v>
      </c>
      <c r="P65" s="456"/>
      <c r="Q65" s="456">
        <v>81.32879045996593</v>
      </c>
      <c r="R65" s="466" t="s">
        <v>680</v>
      </c>
      <c r="S65" s="399">
        <v>1</v>
      </c>
    </row>
    <row r="66" spans="1:21" ht="36" customHeight="1">
      <c r="A66" s="425"/>
      <c r="B66" s="503" t="s">
        <v>602</v>
      </c>
      <c r="C66" s="427" t="s">
        <v>28</v>
      </c>
      <c r="D66" s="456">
        <f>'B7'!D34</f>
        <v>79.28</v>
      </c>
      <c r="E66" s="456">
        <f>'B7'!E34</f>
        <v>79.279279279279265</v>
      </c>
      <c r="F66" s="456">
        <f>'B7'!T34</f>
        <v>80.180180180180173</v>
      </c>
      <c r="G66" s="456">
        <f>'B7'!AI34</f>
        <v>81.081081081081081</v>
      </c>
      <c r="H66" s="456">
        <f>'B7'!AX34</f>
        <v>81.981981981981974</v>
      </c>
      <c r="I66" s="456">
        <f>'B7'!BM34</f>
        <v>81.981981981981974</v>
      </c>
      <c r="J66" s="456">
        <f t="shared" ref="J66:J67" si="19">I66</f>
        <v>81.981981981981974</v>
      </c>
      <c r="K66" s="457" t="s">
        <v>679</v>
      </c>
      <c r="L66" s="456">
        <v>82</v>
      </c>
      <c r="M66" s="456">
        <f>'B7'!CD34</f>
        <v>78.378378378378372</v>
      </c>
      <c r="N66" s="456">
        <f>'B7'!CE34</f>
        <v>79.090909090909093</v>
      </c>
      <c r="O66" s="456">
        <v>80.909090909090907</v>
      </c>
      <c r="P66" s="456"/>
      <c r="Q66" s="456">
        <v>83.636363636363626</v>
      </c>
      <c r="R66" s="466" t="s">
        <v>706</v>
      </c>
      <c r="S66" s="408">
        <v>1</v>
      </c>
      <c r="U66" s="409">
        <f>Q66-L66</f>
        <v>1.636363636363626</v>
      </c>
    </row>
    <row r="67" spans="1:21" ht="50.1" customHeight="1">
      <c r="A67" s="425"/>
      <c r="B67" s="503" t="s">
        <v>603</v>
      </c>
      <c r="C67" s="427" t="s">
        <v>28</v>
      </c>
      <c r="D67" s="456">
        <f>'B7'!D35</f>
        <v>95.934959349593498</v>
      </c>
      <c r="E67" s="456">
        <f>'B7'!E35</f>
        <v>95.934959349593498</v>
      </c>
      <c r="F67" s="456">
        <f>'B7'!T35</f>
        <v>95.934959349593498</v>
      </c>
      <c r="G67" s="456">
        <f>'B7'!AI35</f>
        <v>96.747967479674799</v>
      </c>
      <c r="H67" s="456">
        <f>'B7'!AX35</f>
        <v>96.747967479674799</v>
      </c>
      <c r="I67" s="456">
        <f>'B7'!BM35</f>
        <v>97.560975609756099</v>
      </c>
      <c r="J67" s="456">
        <f t="shared" si="19"/>
        <v>97.560975609756099</v>
      </c>
      <c r="K67" s="457" t="s">
        <v>696</v>
      </c>
      <c r="L67" s="456">
        <v>97</v>
      </c>
      <c r="M67" s="456">
        <f>'B7'!CD35</f>
        <v>95.081967213114751</v>
      </c>
      <c r="N67" s="456">
        <f>'B7'!CE35</f>
        <v>95.934959349593498</v>
      </c>
      <c r="O67" s="498">
        <v>70.731707317073173</v>
      </c>
      <c r="P67" s="459"/>
      <c r="Q67" s="456">
        <v>98.373983739837399</v>
      </c>
      <c r="R67" s="466" t="s">
        <v>706</v>
      </c>
      <c r="S67" s="412">
        <v>1</v>
      </c>
      <c r="U67" s="409">
        <f>Q67-L67</f>
        <v>1.3739837398373993</v>
      </c>
    </row>
    <row r="68" spans="1:21" ht="30" hidden="1">
      <c r="A68" s="425"/>
      <c r="B68" s="503" t="s">
        <v>604</v>
      </c>
      <c r="C68" s="427" t="s">
        <v>605</v>
      </c>
      <c r="D68" s="473"/>
      <c r="E68" s="473"/>
      <c r="F68" s="473"/>
      <c r="G68" s="473"/>
      <c r="H68" s="473"/>
      <c r="I68" s="473"/>
      <c r="J68" s="473"/>
      <c r="K68" s="426"/>
      <c r="L68" s="473"/>
      <c r="M68" s="473"/>
      <c r="N68" s="473"/>
      <c r="O68" s="473"/>
      <c r="P68" s="473"/>
      <c r="Q68" s="473"/>
      <c r="R68" s="425"/>
    </row>
    <row r="69" spans="1:21" ht="30" hidden="1">
      <c r="A69" s="425"/>
      <c r="B69" s="503" t="s">
        <v>606</v>
      </c>
      <c r="C69" s="427" t="s">
        <v>605</v>
      </c>
      <c r="D69" s="473"/>
      <c r="E69" s="473"/>
      <c r="F69" s="473"/>
      <c r="G69" s="473"/>
      <c r="H69" s="473"/>
      <c r="I69" s="473"/>
      <c r="J69" s="473"/>
      <c r="K69" s="426"/>
      <c r="L69" s="473"/>
      <c r="M69" s="473"/>
      <c r="N69" s="473"/>
      <c r="O69" s="473"/>
      <c r="P69" s="473"/>
      <c r="Q69" s="473"/>
      <c r="R69" s="425"/>
    </row>
    <row r="70" spans="1:21" ht="30" hidden="1">
      <c r="A70" s="425"/>
      <c r="B70" s="503" t="s">
        <v>607</v>
      </c>
      <c r="C70" s="427" t="s">
        <v>605</v>
      </c>
      <c r="D70" s="473"/>
      <c r="E70" s="473" t="e">
        <f>'[2]BM 7'!E38</f>
        <v>#REF!</v>
      </c>
      <c r="F70" s="473"/>
      <c r="G70" s="473"/>
      <c r="H70" s="473"/>
      <c r="I70" s="473"/>
      <c r="J70" s="473"/>
      <c r="K70" s="426"/>
      <c r="L70" s="473"/>
      <c r="M70" s="473"/>
      <c r="N70" s="473"/>
      <c r="O70" s="473"/>
      <c r="P70" s="473"/>
      <c r="Q70" s="473"/>
      <c r="R70" s="415"/>
    </row>
    <row r="71" spans="1:21" s="11" customFormat="1" ht="21.95" customHeight="1">
      <c r="A71" s="415" t="s">
        <v>272</v>
      </c>
      <c r="B71" s="501" t="s">
        <v>702</v>
      </c>
      <c r="C71" s="397"/>
      <c r="D71" s="416"/>
      <c r="E71" s="416"/>
      <c r="F71" s="416"/>
      <c r="G71" s="416"/>
      <c r="H71" s="416"/>
      <c r="I71" s="416"/>
      <c r="J71" s="416"/>
      <c r="K71" s="398"/>
      <c r="L71" s="416"/>
      <c r="M71" s="416"/>
      <c r="N71" s="416"/>
      <c r="O71" s="416"/>
      <c r="P71" s="416"/>
      <c r="Q71" s="416"/>
      <c r="R71" s="425"/>
      <c r="S71" s="400"/>
      <c r="T71" s="400"/>
      <c r="U71" s="400"/>
    </row>
    <row r="72" spans="1:21" ht="21.95" customHeight="1">
      <c r="A72" s="425"/>
      <c r="B72" s="503" t="s">
        <v>608</v>
      </c>
      <c r="C72" s="427" t="s">
        <v>41</v>
      </c>
      <c r="D72" s="473">
        <v>1555.3000000000002</v>
      </c>
      <c r="E72" s="473"/>
      <c r="F72" s="473"/>
      <c r="G72" s="473"/>
      <c r="H72" s="473"/>
      <c r="I72" s="473"/>
      <c r="J72" s="473"/>
      <c r="K72" s="426"/>
      <c r="L72" s="473"/>
      <c r="M72" s="473"/>
      <c r="N72" s="473"/>
      <c r="O72" s="473"/>
      <c r="P72" s="473"/>
      <c r="Q72" s="473"/>
      <c r="R72" s="415"/>
    </row>
    <row r="73" spans="1:21" s="11" customFormat="1" ht="21.95" customHeight="1">
      <c r="A73" s="415">
        <v>10</v>
      </c>
      <c r="B73" s="501" t="s">
        <v>699</v>
      </c>
      <c r="C73" s="397"/>
      <c r="D73" s="416"/>
      <c r="E73" s="416"/>
      <c r="F73" s="416"/>
      <c r="G73" s="416"/>
      <c r="H73" s="416"/>
      <c r="I73" s="416"/>
      <c r="J73" s="416"/>
      <c r="K73" s="398"/>
      <c r="L73" s="416"/>
      <c r="M73" s="416"/>
      <c r="N73" s="416"/>
      <c r="O73" s="416"/>
      <c r="P73" s="416"/>
      <c r="Q73" s="416"/>
      <c r="R73" s="424"/>
      <c r="S73" s="400"/>
      <c r="T73" s="400"/>
      <c r="U73" s="400"/>
    </row>
    <row r="74" spans="1:21" s="11" customFormat="1" ht="21.95" customHeight="1">
      <c r="A74" s="415"/>
      <c r="B74" s="503" t="s">
        <v>103</v>
      </c>
      <c r="C74" s="427" t="s">
        <v>28</v>
      </c>
      <c r="D74" s="499">
        <v>65.053657211906099</v>
      </c>
      <c r="E74" s="499">
        <v>65.702551485607856</v>
      </c>
      <c r="F74" s="499">
        <v>65.822036090217708</v>
      </c>
      <c r="G74" s="499">
        <v>65.956397487292577</v>
      </c>
      <c r="H74" s="499">
        <v>66.128081494666048</v>
      </c>
      <c r="I74" s="499">
        <v>66.329623590278359</v>
      </c>
      <c r="J74" s="499">
        <v>66.329623590278359</v>
      </c>
      <c r="K74" s="500" t="s">
        <v>695</v>
      </c>
      <c r="L74" s="499" t="s">
        <v>674</v>
      </c>
      <c r="M74" s="499">
        <v>65.713911301575649</v>
      </c>
      <c r="N74" s="499">
        <v>66.243670618471924</v>
      </c>
      <c r="O74" s="499">
        <v>66.8</v>
      </c>
      <c r="P74" s="499">
        <f>O74</f>
        <v>66.8</v>
      </c>
      <c r="Q74" s="499">
        <v>67.440472312566769</v>
      </c>
      <c r="R74" s="424" t="s">
        <v>680</v>
      </c>
      <c r="S74" s="400">
        <v>1</v>
      </c>
      <c r="T74" s="400"/>
      <c r="U74" s="400"/>
    </row>
    <row r="75" spans="1:21" ht="36" customHeight="1">
      <c r="A75" s="425"/>
      <c r="B75" s="503" t="s">
        <v>703</v>
      </c>
      <c r="C75" s="427" t="s">
        <v>28</v>
      </c>
      <c r="D75" s="458">
        <v>98.5</v>
      </c>
      <c r="E75" s="458">
        <v>98.5</v>
      </c>
      <c r="F75" s="458">
        <v>98.5</v>
      </c>
      <c r="G75" s="458">
        <v>98.5</v>
      </c>
      <c r="H75" s="458">
        <v>98.5</v>
      </c>
      <c r="I75" s="458">
        <v>98.5</v>
      </c>
      <c r="J75" s="458">
        <f>I75</f>
        <v>98.5</v>
      </c>
      <c r="K75" s="480">
        <v>98.5</v>
      </c>
      <c r="L75" s="458">
        <v>98</v>
      </c>
      <c r="M75" s="458">
        <v>98.5</v>
      </c>
      <c r="N75" s="458">
        <v>98.5</v>
      </c>
      <c r="O75" s="458">
        <v>98.5</v>
      </c>
      <c r="P75" s="458">
        <v>98.5</v>
      </c>
      <c r="Q75" s="458">
        <v>98.5</v>
      </c>
      <c r="R75" s="466" t="s">
        <v>680</v>
      </c>
      <c r="S75" s="414">
        <v>1</v>
      </c>
      <c r="T75" s="411"/>
    </row>
    <row r="76" spans="1:21" ht="50.1" customHeight="1">
      <c r="A76" s="425"/>
      <c r="B76" s="503" t="s">
        <v>704</v>
      </c>
      <c r="C76" s="427" t="s">
        <v>28</v>
      </c>
      <c r="D76" s="458">
        <v>98</v>
      </c>
      <c r="E76" s="458">
        <v>98</v>
      </c>
      <c r="F76" s="458">
        <v>98</v>
      </c>
      <c r="G76" s="458">
        <v>98</v>
      </c>
      <c r="H76" s="458">
        <v>98</v>
      </c>
      <c r="I76" s="458">
        <v>98</v>
      </c>
      <c r="J76" s="458">
        <f>I76</f>
        <v>98</v>
      </c>
      <c r="K76" s="480">
        <v>98</v>
      </c>
      <c r="L76" s="458">
        <v>95</v>
      </c>
      <c r="M76" s="458">
        <v>98</v>
      </c>
      <c r="N76" s="458">
        <v>98</v>
      </c>
      <c r="O76" s="458">
        <v>98</v>
      </c>
      <c r="P76" s="458">
        <v>98</v>
      </c>
      <c r="Q76" s="458">
        <v>98</v>
      </c>
      <c r="R76" s="466" t="s">
        <v>680</v>
      </c>
      <c r="S76" s="414">
        <v>1</v>
      </c>
      <c r="T76" s="411"/>
    </row>
    <row r="77" spans="1:21" s="178" customFormat="1" ht="42.75">
      <c r="A77" s="510" t="s">
        <v>293</v>
      </c>
      <c r="B77" s="513" t="s">
        <v>727</v>
      </c>
      <c r="C77" s="514"/>
      <c r="D77" s="515"/>
      <c r="E77" s="515"/>
      <c r="F77" s="515"/>
      <c r="G77" s="515"/>
      <c r="H77" s="515"/>
      <c r="I77" s="516"/>
      <c r="J77" s="517"/>
      <c r="K77" s="518"/>
      <c r="L77" s="518"/>
      <c r="M77" s="518"/>
      <c r="N77" s="518"/>
      <c r="O77" s="518"/>
      <c r="P77" s="518"/>
      <c r="Q77" s="518"/>
      <c r="R77" s="518"/>
    </row>
    <row r="78" spans="1:21" s="161" customFormat="1" ht="34.5" customHeight="1">
      <c r="A78" s="511"/>
      <c r="B78" s="519" t="s">
        <v>728</v>
      </c>
      <c r="C78" s="520" t="s">
        <v>729</v>
      </c>
      <c r="D78" s="521">
        <v>200</v>
      </c>
      <c r="E78" s="521">
        <v>175</v>
      </c>
      <c r="F78" s="521">
        <v>165</v>
      </c>
      <c r="G78" s="521">
        <v>160</v>
      </c>
      <c r="H78" s="521">
        <v>167</v>
      </c>
      <c r="I78" s="522">
        <v>-33</v>
      </c>
      <c r="J78" s="523"/>
      <c r="K78" s="524"/>
      <c r="L78" s="526">
        <v>200</v>
      </c>
      <c r="M78" s="526">
        <v>175</v>
      </c>
      <c r="N78" s="526">
        <v>165</v>
      </c>
      <c r="O78" s="526">
        <v>169</v>
      </c>
      <c r="P78" s="526">
        <v>54</v>
      </c>
      <c r="Q78" s="526">
        <v>200</v>
      </c>
      <c r="R78" s="529" t="s">
        <v>742</v>
      </c>
    </row>
    <row r="79" spans="1:21" s="161" customFormat="1" ht="30">
      <c r="A79" s="511"/>
      <c r="B79" s="519" t="s">
        <v>730</v>
      </c>
      <c r="C79" s="520" t="s">
        <v>28</v>
      </c>
      <c r="D79" s="521" t="s">
        <v>731</v>
      </c>
      <c r="E79" s="521">
        <v>80</v>
      </c>
      <c r="F79" s="521">
        <v>88.2</v>
      </c>
      <c r="G79" s="521">
        <v>90</v>
      </c>
      <c r="H79" s="521">
        <v>86</v>
      </c>
      <c r="I79" s="522" t="s">
        <v>732</v>
      </c>
      <c r="J79" s="523"/>
      <c r="K79" s="524"/>
      <c r="L79" s="526" t="s">
        <v>740</v>
      </c>
      <c r="M79" s="526">
        <v>80</v>
      </c>
      <c r="N79" s="526">
        <v>88.2</v>
      </c>
      <c r="O79" s="526">
        <v>80</v>
      </c>
      <c r="P79" s="527" t="s">
        <v>112</v>
      </c>
      <c r="Q79" s="526">
        <v>90</v>
      </c>
      <c r="R79" s="529" t="s">
        <v>680</v>
      </c>
    </row>
    <row r="80" spans="1:21" s="161" customFormat="1" ht="30">
      <c r="A80" s="511"/>
      <c r="B80" s="519" t="s">
        <v>733</v>
      </c>
      <c r="C80" s="520" t="s">
        <v>28</v>
      </c>
      <c r="D80" s="521" t="s">
        <v>734</v>
      </c>
      <c r="E80" s="521">
        <v>90</v>
      </c>
      <c r="F80" s="521">
        <v>93.5</v>
      </c>
      <c r="G80" s="521">
        <v>95</v>
      </c>
      <c r="H80" s="521">
        <v>93</v>
      </c>
      <c r="I80" s="522">
        <v>97.9</v>
      </c>
      <c r="J80" s="523"/>
      <c r="K80" s="524"/>
      <c r="L80" s="526" t="s">
        <v>741</v>
      </c>
      <c r="M80" s="526">
        <v>90</v>
      </c>
      <c r="N80" s="526">
        <v>93.5</v>
      </c>
      <c r="O80" s="526">
        <v>90</v>
      </c>
      <c r="P80" s="527" t="s">
        <v>112</v>
      </c>
      <c r="Q80" s="526">
        <v>95</v>
      </c>
      <c r="R80" s="529" t="s">
        <v>742</v>
      </c>
    </row>
    <row r="81" spans="1:18" s="512" customFormat="1" ht="45">
      <c r="A81" s="511"/>
      <c r="B81" s="519" t="s">
        <v>735</v>
      </c>
      <c r="C81" s="520" t="s">
        <v>28</v>
      </c>
      <c r="D81" s="521" t="s">
        <v>736</v>
      </c>
      <c r="E81" s="521">
        <v>88</v>
      </c>
      <c r="F81" s="521">
        <v>85</v>
      </c>
      <c r="G81" s="521">
        <v>85</v>
      </c>
      <c r="H81" s="521">
        <v>86</v>
      </c>
      <c r="I81" s="522" t="s">
        <v>732</v>
      </c>
      <c r="J81" s="523"/>
      <c r="K81" s="525"/>
      <c r="L81" s="526" t="s">
        <v>679</v>
      </c>
      <c r="M81" s="526">
        <v>88</v>
      </c>
      <c r="N81" s="526">
        <v>85</v>
      </c>
      <c r="O81" s="526">
        <v>87.5</v>
      </c>
      <c r="P81" s="527" t="s">
        <v>112</v>
      </c>
      <c r="Q81" s="526">
        <v>90</v>
      </c>
      <c r="R81" s="529" t="s">
        <v>706</v>
      </c>
    </row>
    <row r="82" spans="1:18" s="178" customFormat="1" ht="28.5">
      <c r="A82" s="510" t="s">
        <v>307</v>
      </c>
      <c r="B82" s="513" t="s">
        <v>737</v>
      </c>
      <c r="C82" s="514"/>
      <c r="D82" s="515"/>
      <c r="E82" s="515"/>
      <c r="F82" s="515"/>
      <c r="G82" s="515"/>
      <c r="H82" s="515"/>
      <c r="I82" s="516"/>
      <c r="J82" s="517"/>
      <c r="K82" s="518"/>
      <c r="L82" s="528"/>
      <c r="M82" s="528"/>
      <c r="N82" s="528"/>
      <c r="O82" s="528"/>
      <c r="P82" s="528"/>
      <c r="Q82" s="528"/>
      <c r="R82" s="530"/>
    </row>
    <row r="83" spans="1:18" s="512" customFormat="1" ht="30">
      <c r="A83" s="511"/>
      <c r="B83" s="519" t="s">
        <v>738</v>
      </c>
      <c r="C83" s="520" t="s">
        <v>28</v>
      </c>
      <c r="D83" s="521">
        <v>100</v>
      </c>
      <c r="E83" s="521">
        <v>100</v>
      </c>
      <c r="F83" s="521">
        <v>100</v>
      </c>
      <c r="G83" s="521">
        <v>100</v>
      </c>
      <c r="H83" s="521">
        <v>100</v>
      </c>
      <c r="I83" s="522">
        <v>100</v>
      </c>
      <c r="J83" s="523"/>
      <c r="K83" s="525"/>
      <c r="L83" s="526">
        <v>100</v>
      </c>
      <c r="M83" s="526">
        <v>100</v>
      </c>
      <c r="N83" s="526">
        <v>100</v>
      </c>
      <c r="O83" s="526">
        <v>100</v>
      </c>
      <c r="P83" s="526"/>
      <c r="Q83" s="526">
        <v>100</v>
      </c>
      <c r="R83" s="529" t="s">
        <v>680</v>
      </c>
    </row>
    <row r="84" spans="1:18" s="161" customFormat="1">
      <c r="A84" s="511"/>
      <c r="B84" s="519" t="s">
        <v>739</v>
      </c>
      <c r="C84" s="520" t="s">
        <v>28</v>
      </c>
      <c r="D84" s="521">
        <v>100</v>
      </c>
      <c r="E84" s="521">
        <v>100</v>
      </c>
      <c r="F84" s="521">
        <v>100</v>
      </c>
      <c r="G84" s="521">
        <v>100</v>
      </c>
      <c r="H84" s="521">
        <v>100</v>
      </c>
      <c r="I84" s="522">
        <v>100</v>
      </c>
      <c r="J84" s="523"/>
      <c r="K84" s="524"/>
      <c r="L84" s="526">
        <v>100</v>
      </c>
      <c r="M84" s="526">
        <v>100</v>
      </c>
      <c r="N84" s="526">
        <v>100</v>
      </c>
      <c r="O84" s="526">
        <v>100</v>
      </c>
      <c r="P84" s="526"/>
      <c r="Q84" s="526">
        <v>100</v>
      </c>
      <c r="R84" s="529" t="s">
        <v>680</v>
      </c>
    </row>
  </sheetData>
  <mergeCells count="13">
    <mergeCell ref="A1:R1"/>
    <mergeCell ref="M4:Q4"/>
    <mergeCell ref="A2:R2"/>
    <mergeCell ref="A3:R3"/>
    <mergeCell ref="L4:L5"/>
    <mergeCell ref="J4:J5"/>
    <mergeCell ref="E4:I4"/>
    <mergeCell ref="D4:D5"/>
    <mergeCell ref="B4:B5"/>
    <mergeCell ref="C4:C5"/>
    <mergeCell ref="A4:A5"/>
    <mergeCell ref="K4:K5"/>
    <mergeCell ref="R4:R5"/>
  </mergeCells>
  <printOptions horizontalCentered="1"/>
  <pageMargins left="0" right="0" top="0.55118110236220497" bottom="0.30118110199999998" header="0.31496062992126" footer="0.31496062992126"/>
  <pageSetup paperSize="9" scale="80" fitToWidth="0" fitToHeight="0" orientation="portrait" r:id="rId1"/>
  <headerFooter>
    <oddFooter>&amp;C&amp;"Times New Roman,Regular"Page &amp;P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50"/>
  </sheetPr>
  <dimension ref="A2:CM111"/>
  <sheetViews>
    <sheetView topLeftCell="A2" zoomScale="85" zoomScaleNormal="85" workbookViewId="0">
      <pane xSplit="3" ySplit="8" topLeftCell="D89" activePane="bottomRight" state="frozen"/>
      <selection activeCell="CG77" activeCellId="1" sqref="CC77:CE77 CG77"/>
      <selection pane="topRight" activeCell="CG77" activeCellId="1" sqref="CC77:CE77 CG77"/>
      <selection pane="bottomLeft" activeCell="CG77" activeCellId="1" sqref="CC77:CE77 CG77"/>
      <selection pane="bottomRight" activeCell="D100" sqref="D100"/>
    </sheetView>
  </sheetViews>
  <sheetFormatPr defaultRowHeight="15.75"/>
  <cols>
    <col min="1" max="1" width="5.140625" style="2" customWidth="1"/>
    <col min="2" max="2" width="33.7109375" style="6" customWidth="1"/>
    <col min="3" max="3" width="6.28515625" style="2" customWidth="1"/>
    <col min="4" max="4" width="10.140625" style="6" customWidth="1"/>
    <col min="5" max="5" width="9.7109375" style="170" customWidth="1"/>
    <col min="6" max="9" width="9.140625" style="170" hidden="1" customWidth="1"/>
    <col min="10" max="10" width="11.42578125" style="170" hidden="1" customWidth="1"/>
    <col min="11" max="11" width="10.7109375" style="170" hidden="1" customWidth="1"/>
    <col min="12" max="13" width="9.140625" style="170" hidden="1" customWidth="1"/>
    <col min="14" max="14" width="10.28515625" style="170" hidden="1" customWidth="1"/>
    <col min="15" max="17" width="9.140625" style="170" hidden="1" customWidth="1"/>
    <col min="18" max="18" width="11.140625" style="170" hidden="1" customWidth="1"/>
    <col min="19" max="19" width="9.140625" style="170" hidden="1" customWidth="1"/>
    <col min="20" max="20" width="10.140625" style="170" customWidth="1"/>
    <col min="21" max="28" width="9.140625" style="170" hidden="1" customWidth="1"/>
    <col min="29" max="29" width="9.85546875" style="170" hidden="1" customWidth="1"/>
    <col min="30" max="32" width="9.140625" style="170" hidden="1" customWidth="1"/>
    <col min="33" max="33" width="9.7109375" style="170" hidden="1" customWidth="1"/>
    <col min="34" max="34" width="9.140625" style="170" hidden="1" customWidth="1"/>
    <col min="35" max="35" width="10.140625" style="170" customWidth="1"/>
    <col min="36" max="49" width="9.140625" style="170" hidden="1" customWidth="1"/>
    <col min="50" max="50" width="10.28515625" style="170" customWidth="1"/>
    <col min="51" max="55" width="9.140625" style="170" hidden="1" customWidth="1"/>
    <col min="56" max="56" width="10" style="170" hidden="1" customWidth="1"/>
    <col min="57" max="62" width="9.140625" style="6" hidden="1" customWidth="1"/>
    <col min="63" max="63" width="11.5703125" style="6" hidden="1" customWidth="1"/>
    <col min="64" max="64" width="9.140625" style="6" hidden="1" customWidth="1"/>
    <col min="65" max="65" width="9.5703125" style="6" customWidth="1"/>
    <col min="66" max="66" width="9.140625" style="6" hidden="1" customWidth="1"/>
    <col min="67" max="79" width="10.140625" style="6" hidden="1" customWidth="1"/>
    <col min="80" max="80" width="9.42578125" style="6" customWidth="1"/>
    <col min="81" max="81" width="10.140625" style="217" customWidth="1"/>
    <col min="82" max="82" width="9.42578125" style="217" customWidth="1"/>
    <col min="83" max="83" width="10.5703125" style="217" customWidth="1"/>
    <col min="84" max="84" width="10.28515625" style="217" customWidth="1"/>
    <col min="85" max="85" width="10.7109375" style="217" customWidth="1"/>
    <col min="86" max="86" width="10" style="217" customWidth="1"/>
    <col min="87" max="87" width="10.5703125" style="217" customWidth="1"/>
    <col min="88" max="89" width="9.140625" style="217"/>
    <col min="90" max="90" width="6.85546875" style="217" customWidth="1"/>
    <col min="91" max="91" width="16.85546875" customWidth="1"/>
  </cols>
  <sheetData>
    <row r="2" spans="1:91" s="10" customFormat="1">
      <c r="A2" s="538" t="s">
        <v>0</v>
      </c>
      <c r="B2" s="538"/>
      <c r="C2" s="538"/>
      <c r="D2" s="538"/>
      <c r="E2" s="538"/>
      <c r="F2" s="538"/>
      <c r="G2" s="538"/>
      <c r="H2" s="538"/>
      <c r="I2" s="538"/>
      <c r="J2" s="538"/>
      <c r="K2" s="538"/>
      <c r="L2" s="538"/>
      <c r="M2" s="538"/>
      <c r="N2" s="538"/>
      <c r="O2" s="538"/>
      <c r="P2" s="538"/>
      <c r="Q2" s="538"/>
      <c r="R2" s="538"/>
      <c r="S2" s="538"/>
      <c r="T2" s="538"/>
      <c r="U2" s="538"/>
      <c r="V2" s="538"/>
      <c r="W2" s="538"/>
      <c r="X2" s="538"/>
      <c r="Y2" s="538"/>
      <c r="Z2" s="538"/>
      <c r="AA2" s="538"/>
      <c r="AB2" s="538"/>
      <c r="AC2" s="538"/>
      <c r="AD2" s="538"/>
      <c r="AE2" s="538"/>
      <c r="AF2" s="538"/>
      <c r="AG2" s="538"/>
      <c r="AH2" s="538"/>
      <c r="AI2" s="538"/>
      <c r="AJ2" s="538"/>
      <c r="AK2" s="538"/>
      <c r="AL2" s="538"/>
      <c r="AM2" s="538"/>
      <c r="AN2" s="538"/>
      <c r="AO2" s="538"/>
      <c r="AP2" s="538"/>
      <c r="AQ2" s="538"/>
      <c r="AR2" s="538"/>
      <c r="AS2" s="538"/>
      <c r="AT2" s="538"/>
      <c r="AU2" s="538"/>
      <c r="AV2" s="538"/>
      <c r="AW2" s="538"/>
      <c r="AX2" s="538"/>
      <c r="AY2" s="538"/>
      <c r="AZ2" s="538"/>
      <c r="BA2" s="538"/>
      <c r="BB2" s="538"/>
      <c r="BC2" s="538"/>
      <c r="BD2" s="538"/>
      <c r="BE2" s="538"/>
      <c r="BF2" s="538"/>
      <c r="BG2" s="538"/>
      <c r="BH2" s="538"/>
      <c r="BI2" s="538"/>
      <c r="BJ2" s="538"/>
      <c r="BK2" s="538"/>
      <c r="BL2" s="538"/>
      <c r="BM2" s="538"/>
      <c r="BN2" s="538"/>
      <c r="BO2" s="538"/>
      <c r="BP2" s="538"/>
      <c r="BQ2" s="538"/>
      <c r="BR2" s="538"/>
      <c r="BS2" s="538"/>
      <c r="BT2" s="538"/>
      <c r="BU2" s="538"/>
      <c r="BV2" s="538"/>
      <c r="BW2" s="538"/>
      <c r="BX2" s="538"/>
      <c r="BY2" s="538"/>
      <c r="BZ2" s="538"/>
      <c r="CA2" s="538"/>
      <c r="CB2" s="538"/>
      <c r="CC2" s="128"/>
      <c r="CD2" s="128"/>
      <c r="CE2" s="128"/>
      <c r="CF2" s="128"/>
      <c r="CG2" s="128"/>
      <c r="CH2" s="128"/>
      <c r="CI2" s="128"/>
      <c r="CJ2" s="128"/>
      <c r="CK2" s="128"/>
      <c r="CL2" s="128"/>
    </row>
    <row r="3" spans="1:91" s="10" customFormat="1" ht="32.25" customHeight="1">
      <c r="A3" s="541" t="s">
        <v>125</v>
      </c>
      <c r="B3" s="541"/>
      <c r="C3" s="541"/>
      <c r="D3" s="541"/>
      <c r="E3" s="541"/>
      <c r="F3" s="541"/>
      <c r="G3" s="541"/>
      <c r="H3" s="541"/>
      <c r="I3" s="541"/>
      <c r="J3" s="541"/>
      <c r="K3" s="541"/>
      <c r="L3" s="541"/>
      <c r="M3" s="541"/>
      <c r="N3" s="541"/>
      <c r="O3" s="541"/>
      <c r="P3" s="541"/>
      <c r="Q3" s="541"/>
      <c r="R3" s="541"/>
      <c r="S3" s="541"/>
      <c r="T3" s="541"/>
      <c r="U3" s="541"/>
      <c r="V3" s="541"/>
      <c r="W3" s="541"/>
      <c r="X3" s="541"/>
      <c r="Y3" s="541"/>
      <c r="Z3" s="541"/>
      <c r="AA3" s="541"/>
      <c r="AB3" s="541"/>
      <c r="AC3" s="541"/>
      <c r="AD3" s="541"/>
      <c r="AE3" s="541"/>
      <c r="AF3" s="541"/>
      <c r="AG3" s="541"/>
      <c r="AH3" s="541"/>
      <c r="AI3" s="541"/>
      <c r="AJ3" s="541"/>
      <c r="AK3" s="541"/>
      <c r="AL3" s="541"/>
      <c r="AM3" s="541"/>
      <c r="AN3" s="541"/>
      <c r="AO3" s="541"/>
      <c r="AP3" s="541"/>
      <c r="AQ3" s="541"/>
      <c r="AR3" s="541"/>
      <c r="AS3" s="541"/>
      <c r="AT3" s="541"/>
      <c r="AU3" s="541"/>
      <c r="AV3" s="541"/>
      <c r="AW3" s="541"/>
      <c r="AX3" s="541"/>
      <c r="AY3" s="541"/>
      <c r="AZ3" s="541"/>
      <c r="BA3" s="541"/>
      <c r="BB3" s="541"/>
      <c r="BC3" s="541"/>
      <c r="BD3" s="541"/>
      <c r="BE3" s="541"/>
      <c r="BF3" s="541"/>
      <c r="BG3" s="541"/>
      <c r="BH3" s="541"/>
      <c r="BI3" s="541"/>
      <c r="BJ3" s="541"/>
      <c r="BK3" s="541"/>
      <c r="BL3" s="541"/>
      <c r="BM3" s="541"/>
      <c r="BN3" s="541"/>
      <c r="BO3" s="541"/>
      <c r="BP3" s="541"/>
      <c r="BQ3" s="541"/>
      <c r="BR3" s="541"/>
      <c r="BS3" s="541"/>
      <c r="BT3" s="541"/>
      <c r="BU3" s="541"/>
      <c r="BV3" s="541"/>
      <c r="BW3" s="541"/>
      <c r="BX3" s="541"/>
      <c r="BY3" s="541"/>
      <c r="BZ3" s="541"/>
      <c r="CA3" s="541"/>
      <c r="CB3" s="541"/>
      <c r="CC3" s="541"/>
      <c r="CD3" s="541"/>
      <c r="CE3" s="541"/>
      <c r="CF3" s="541"/>
      <c r="CG3" s="541"/>
      <c r="CH3" s="541"/>
      <c r="CI3" s="541"/>
      <c r="CJ3" s="541"/>
      <c r="CK3" s="541"/>
      <c r="CL3" s="541"/>
    </row>
    <row r="4" spans="1:91" ht="24.75" customHeight="1">
      <c r="A4" s="542" t="str">
        <f>'B1 TH'!A3:J3</f>
        <v>(Kèm theo Báo cáo số 545-BC/HU, ngày 02/10/2024 của BTV Huyện ủy)</v>
      </c>
      <c r="B4" s="542"/>
      <c r="C4" s="542"/>
      <c r="D4" s="542"/>
      <c r="E4" s="542"/>
      <c r="F4" s="542"/>
      <c r="G4" s="542"/>
      <c r="H4" s="542"/>
      <c r="I4" s="542"/>
      <c r="J4" s="542"/>
      <c r="K4" s="542"/>
      <c r="L4" s="542"/>
      <c r="M4" s="542"/>
      <c r="N4" s="542"/>
      <c r="O4" s="542"/>
      <c r="P4" s="542"/>
      <c r="Q4" s="542"/>
      <c r="R4" s="542"/>
      <c r="S4" s="542"/>
      <c r="T4" s="542"/>
      <c r="U4" s="542"/>
      <c r="V4" s="542"/>
      <c r="W4" s="542"/>
      <c r="X4" s="542"/>
      <c r="Y4" s="542"/>
      <c r="Z4" s="542"/>
      <c r="AA4" s="542"/>
      <c r="AB4" s="542"/>
      <c r="AC4" s="542"/>
      <c r="AD4" s="542"/>
      <c r="AE4" s="542"/>
      <c r="AF4" s="542"/>
      <c r="AG4" s="542"/>
      <c r="AH4" s="542"/>
      <c r="AI4" s="542"/>
      <c r="AJ4" s="542"/>
      <c r="AK4" s="542"/>
      <c r="AL4" s="542"/>
      <c r="AM4" s="542"/>
      <c r="AN4" s="542"/>
      <c r="AO4" s="542"/>
      <c r="AP4" s="542"/>
      <c r="AQ4" s="542"/>
      <c r="AR4" s="542"/>
      <c r="AS4" s="542"/>
      <c r="AT4" s="542"/>
      <c r="AU4" s="542"/>
      <c r="AV4" s="542"/>
      <c r="AW4" s="542"/>
      <c r="AX4" s="542"/>
      <c r="AY4" s="542"/>
      <c r="AZ4" s="542"/>
      <c r="BA4" s="542"/>
      <c r="BB4" s="542"/>
      <c r="BC4" s="542"/>
      <c r="BD4" s="542"/>
      <c r="BE4" s="542"/>
      <c r="BF4" s="542"/>
      <c r="BG4" s="542"/>
      <c r="BH4" s="542"/>
      <c r="BI4" s="542"/>
      <c r="BJ4" s="542"/>
      <c r="BK4" s="542"/>
      <c r="BL4" s="542"/>
      <c r="BM4" s="542"/>
      <c r="BN4" s="542"/>
      <c r="BO4" s="542"/>
      <c r="BP4" s="542"/>
      <c r="BQ4" s="542"/>
      <c r="BR4" s="542"/>
      <c r="BS4" s="542"/>
      <c r="BT4" s="542"/>
      <c r="BU4" s="542"/>
      <c r="BV4" s="542"/>
      <c r="BW4" s="542"/>
      <c r="BX4" s="542"/>
      <c r="BY4" s="542"/>
      <c r="BZ4" s="542"/>
      <c r="CA4" s="542"/>
      <c r="CB4" s="542"/>
      <c r="CC4" s="542"/>
      <c r="CD4" s="542"/>
      <c r="CE4" s="542"/>
      <c r="CF4" s="542"/>
      <c r="CG4" s="542"/>
      <c r="CH4" s="542"/>
      <c r="CI4" s="542"/>
      <c r="CJ4" s="542"/>
      <c r="CK4" s="542"/>
      <c r="CL4" s="542"/>
    </row>
    <row r="5" spans="1:91" s="146" customFormat="1" ht="42" customHeight="1">
      <c r="A5" s="536" t="s">
        <v>1</v>
      </c>
      <c r="B5" s="536" t="s">
        <v>2</v>
      </c>
      <c r="C5" s="536" t="s">
        <v>3</v>
      </c>
      <c r="D5" s="539" t="s">
        <v>4</v>
      </c>
      <c r="E5" s="545" t="s">
        <v>666</v>
      </c>
      <c r="F5" s="545"/>
      <c r="G5" s="545"/>
      <c r="H5" s="545"/>
      <c r="I5" s="545"/>
      <c r="J5" s="545"/>
      <c r="K5" s="545"/>
      <c r="L5" s="545"/>
      <c r="M5" s="545"/>
      <c r="N5" s="545"/>
      <c r="O5" s="545"/>
      <c r="P5" s="545"/>
      <c r="Q5" s="545"/>
      <c r="R5" s="545"/>
      <c r="S5" s="545"/>
      <c r="T5" s="545"/>
      <c r="U5" s="545"/>
      <c r="V5" s="545"/>
      <c r="W5" s="545"/>
      <c r="X5" s="545"/>
      <c r="Y5" s="545"/>
      <c r="Z5" s="545"/>
      <c r="AA5" s="545"/>
      <c r="AB5" s="545"/>
      <c r="AC5" s="545"/>
      <c r="AD5" s="545"/>
      <c r="AE5" s="545"/>
      <c r="AF5" s="545"/>
      <c r="AG5" s="545"/>
      <c r="AH5" s="545"/>
      <c r="AI5" s="545"/>
      <c r="AJ5" s="545"/>
      <c r="AK5" s="545"/>
      <c r="AL5" s="545"/>
      <c r="AM5" s="545"/>
      <c r="AN5" s="545"/>
      <c r="AO5" s="545"/>
      <c r="AP5" s="545"/>
      <c r="AQ5" s="545"/>
      <c r="AR5" s="545"/>
      <c r="AS5" s="545"/>
      <c r="AT5" s="545"/>
      <c r="AU5" s="545"/>
      <c r="AV5" s="545"/>
      <c r="AW5" s="545"/>
      <c r="AX5" s="545"/>
      <c r="AY5" s="545"/>
      <c r="AZ5" s="545"/>
      <c r="BA5" s="545"/>
      <c r="BB5" s="545"/>
      <c r="BC5" s="545"/>
      <c r="BD5" s="545"/>
      <c r="BE5" s="545"/>
      <c r="BF5" s="545"/>
      <c r="BG5" s="545"/>
      <c r="BH5" s="545"/>
      <c r="BI5" s="545"/>
      <c r="BJ5" s="545"/>
      <c r="BK5" s="545"/>
      <c r="BL5" s="545"/>
      <c r="BM5" s="545"/>
      <c r="BN5" s="546" t="s">
        <v>6</v>
      </c>
      <c r="BO5" s="547"/>
      <c r="BP5" s="547"/>
      <c r="BQ5" s="547"/>
      <c r="BR5" s="547"/>
      <c r="BS5" s="547"/>
      <c r="BT5" s="547"/>
      <c r="BU5" s="547"/>
      <c r="BV5" s="547"/>
      <c r="BW5" s="547"/>
      <c r="BX5" s="547"/>
      <c r="BY5" s="547"/>
      <c r="BZ5" s="547"/>
      <c r="CA5" s="548"/>
      <c r="CB5" s="539" t="s">
        <v>11</v>
      </c>
      <c r="CC5" s="549" t="s">
        <v>664</v>
      </c>
      <c r="CD5" s="550"/>
      <c r="CE5" s="550"/>
      <c r="CF5" s="550"/>
      <c r="CG5" s="550"/>
      <c r="CH5" s="550"/>
      <c r="CI5" s="551"/>
      <c r="CJ5" s="552" t="s">
        <v>661</v>
      </c>
      <c r="CK5" s="553"/>
      <c r="CL5" s="543" t="s">
        <v>319</v>
      </c>
    </row>
    <row r="6" spans="1:91" s="146" customFormat="1" ht="81" customHeight="1">
      <c r="A6" s="536"/>
      <c r="B6" s="536"/>
      <c r="C6" s="536"/>
      <c r="D6" s="540"/>
      <c r="E6" s="193" t="s">
        <v>5</v>
      </c>
      <c r="F6" s="203"/>
      <c r="G6" s="203"/>
      <c r="H6" s="203"/>
      <c r="I6" s="203"/>
      <c r="J6" s="203"/>
      <c r="K6" s="203"/>
      <c r="L6" s="203"/>
      <c r="M6" s="203"/>
      <c r="N6" s="203"/>
      <c r="O6" s="203"/>
      <c r="P6" s="203"/>
      <c r="Q6" s="203"/>
      <c r="R6" s="203"/>
      <c r="S6" s="203"/>
      <c r="T6" s="193" t="s">
        <v>7</v>
      </c>
      <c r="U6" s="203"/>
      <c r="V6" s="203"/>
      <c r="W6" s="203"/>
      <c r="X6" s="203"/>
      <c r="Y6" s="203"/>
      <c r="Z6" s="203"/>
      <c r="AA6" s="203"/>
      <c r="AB6" s="203"/>
      <c r="AC6" s="203"/>
      <c r="AD6" s="203"/>
      <c r="AE6" s="203"/>
      <c r="AF6" s="203"/>
      <c r="AG6" s="203"/>
      <c r="AH6" s="203"/>
      <c r="AI6" s="193" t="s">
        <v>8</v>
      </c>
      <c r="AJ6" s="203"/>
      <c r="AK6" s="203"/>
      <c r="AL6" s="203"/>
      <c r="AM6" s="203"/>
      <c r="AN6" s="203"/>
      <c r="AO6" s="203"/>
      <c r="AP6" s="203"/>
      <c r="AQ6" s="203"/>
      <c r="AR6" s="203"/>
      <c r="AS6" s="203"/>
      <c r="AT6" s="203"/>
      <c r="AU6" s="203"/>
      <c r="AV6" s="203"/>
      <c r="AW6" s="203"/>
      <c r="AX6" s="193" t="s">
        <v>9</v>
      </c>
      <c r="AY6" s="203"/>
      <c r="AZ6" s="203"/>
      <c r="BA6" s="203"/>
      <c r="BB6" s="203"/>
      <c r="BC6" s="203"/>
      <c r="BD6" s="203"/>
      <c r="BE6" s="204"/>
      <c r="BF6" s="204"/>
      <c r="BG6" s="204"/>
      <c r="BH6" s="204"/>
      <c r="BI6" s="204"/>
      <c r="BJ6" s="204"/>
      <c r="BK6" s="204"/>
      <c r="BL6" s="204"/>
      <c r="BM6" s="193" t="s">
        <v>10</v>
      </c>
      <c r="BN6" s="193" t="s">
        <v>12</v>
      </c>
      <c r="BO6" s="193" t="s">
        <v>13</v>
      </c>
      <c r="BP6" s="193" t="s">
        <v>14</v>
      </c>
      <c r="BQ6" s="193" t="s">
        <v>15</v>
      </c>
      <c r="BR6" s="193" t="s">
        <v>16</v>
      </c>
      <c r="BS6" s="193" t="s">
        <v>17</v>
      </c>
      <c r="BT6" s="193" t="s">
        <v>18</v>
      </c>
      <c r="BU6" s="193" t="s">
        <v>19</v>
      </c>
      <c r="BV6" s="193" t="s">
        <v>20</v>
      </c>
      <c r="BW6" s="193" t="s">
        <v>21</v>
      </c>
      <c r="BX6" s="193" t="s">
        <v>22</v>
      </c>
      <c r="BY6" s="193" t="s">
        <v>23</v>
      </c>
      <c r="BZ6" s="193" t="s">
        <v>24</v>
      </c>
      <c r="CA6" s="193" t="s">
        <v>25</v>
      </c>
      <c r="CB6" s="540"/>
      <c r="CC6" s="210" t="s">
        <v>654</v>
      </c>
      <c r="CD6" s="210" t="s">
        <v>655</v>
      </c>
      <c r="CE6" s="210" t="s">
        <v>656</v>
      </c>
      <c r="CF6" s="210" t="s">
        <v>657</v>
      </c>
      <c r="CG6" s="210" t="s">
        <v>658</v>
      </c>
      <c r="CH6" s="210" t="s">
        <v>659</v>
      </c>
      <c r="CI6" s="201" t="s">
        <v>660</v>
      </c>
      <c r="CJ6" s="195" t="s">
        <v>662</v>
      </c>
      <c r="CK6" s="195" t="s">
        <v>663</v>
      </c>
      <c r="CL6" s="544"/>
    </row>
    <row r="7" spans="1:91" hidden="1">
      <c r="A7" s="2" t="s">
        <v>26</v>
      </c>
      <c r="B7" s="6" t="s">
        <v>27</v>
      </c>
      <c r="C7" s="2" t="s">
        <v>28</v>
      </c>
      <c r="CC7" s="124"/>
      <c r="CD7" s="124"/>
      <c r="CE7" s="124"/>
      <c r="CF7" s="124"/>
      <c r="CG7" s="124"/>
      <c r="CH7" s="124"/>
      <c r="CI7" s="124"/>
      <c r="CJ7" s="196"/>
      <c r="CK7" s="196"/>
      <c r="CL7" s="197"/>
    </row>
    <row r="8" spans="1:91" ht="31.5" hidden="1">
      <c r="A8" s="3" t="s">
        <v>29</v>
      </c>
      <c r="B8" s="7" t="s">
        <v>30</v>
      </c>
      <c r="C8" s="3" t="s">
        <v>31</v>
      </c>
      <c r="D8" s="7"/>
      <c r="E8" s="171"/>
      <c r="F8" s="171"/>
      <c r="G8" s="171"/>
      <c r="H8" s="171"/>
      <c r="I8" s="171"/>
      <c r="J8" s="171"/>
      <c r="K8" s="171"/>
      <c r="L8" s="171"/>
      <c r="M8" s="171"/>
      <c r="N8" s="171"/>
      <c r="O8" s="171"/>
      <c r="P8" s="171"/>
      <c r="Q8" s="171"/>
      <c r="R8" s="171"/>
      <c r="S8" s="171"/>
      <c r="T8" s="171"/>
      <c r="U8" s="171"/>
      <c r="V8" s="171"/>
      <c r="W8" s="171"/>
      <c r="X8" s="171"/>
      <c r="Y8" s="171"/>
      <c r="Z8" s="171"/>
      <c r="AA8" s="171"/>
      <c r="AB8" s="171"/>
      <c r="AC8" s="171"/>
      <c r="AD8" s="171"/>
      <c r="AE8" s="171"/>
      <c r="AF8" s="171"/>
      <c r="AG8" s="171"/>
      <c r="AH8" s="171"/>
      <c r="AI8" s="171"/>
      <c r="AJ8" s="171"/>
      <c r="AK8" s="171"/>
      <c r="AL8" s="171"/>
      <c r="AM8" s="171"/>
      <c r="AN8" s="171"/>
      <c r="AO8" s="171"/>
      <c r="AP8" s="171"/>
      <c r="AQ8" s="171"/>
      <c r="AR8" s="171"/>
      <c r="AS8" s="171"/>
      <c r="AT8" s="171"/>
      <c r="AU8" s="171"/>
      <c r="AV8" s="171"/>
      <c r="AW8" s="171"/>
      <c r="AX8" s="171"/>
      <c r="AY8" s="171"/>
      <c r="AZ8" s="171"/>
      <c r="BA8" s="171"/>
      <c r="BB8" s="171"/>
      <c r="BC8" s="171"/>
      <c r="BD8" s="171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126"/>
      <c r="CD8" s="126"/>
      <c r="CE8" s="126"/>
      <c r="CF8" s="126"/>
      <c r="CG8" s="126"/>
      <c r="CH8" s="126"/>
      <c r="CI8" s="126"/>
      <c r="CJ8" s="198"/>
      <c r="CK8" s="198"/>
      <c r="CL8" s="199"/>
    </row>
    <row r="9" spans="1:91" s="11" customFormat="1" ht="15">
      <c r="A9" s="89" t="s">
        <v>26</v>
      </c>
      <c r="B9" s="90" t="s">
        <v>32</v>
      </c>
      <c r="C9" s="89"/>
      <c r="D9" s="90"/>
      <c r="E9" s="242"/>
      <c r="F9" s="242"/>
      <c r="G9" s="242"/>
      <c r="H9" s="242"/>
      <c r="I9" s="242"/>
      <c r="J9" s="242"/>
      <c r="K9" s="242"/>
      <c r="L9" s="242"/>
      <c r="M9" s="242"/>
      <c r="N9" s="242"/>
      <c r="O9" s="242"/>
      <c r="P9" s="242"/>
      <c r="Q9" s="242"/>
      <c r="R9" s="242"/>
      <c r="S9" s="242"/>
      <c r="T9" s="242"/>
      <c r="U9" s="242"/>
      <c r="V9" s="242"/>
      <c r="W9" s="242"/>
      <c r="X9" s="242"/>
      <c r="Y9" s="242"/>
      <c r="Z9" s="242"/>
      <c r="AA9" s="242"/>
      <c r="AB9" s="242"/>
      <c r="AC9" s="242"/>
      <c r="AD9" s="242"/>
      <c r="AE9" s="242"/>
      <c r="AF9" s="242"/>
      <c r="AG9" s="242"/>
      <c r="AH9" s="242"/>
      <c r="AI9" s="242"/>
      <c r="AJ9" s="242"/>
      <c r="AK9" s="242"/>
      <c r="AL9" s="242"/>
      <c r="AM9" s="242"/>
      <c r="AN9" s="242"/>
      <c r="AO9" s="242"/>
      <c r="AP9" s="242"/>
      <c r="AQ9" s="242"/>
      <c r="AR9" s="242"/>
      <c r="AS9" s="242"/>
      <c r="AT9" s="242"/>
      <c r="AU9" s="242"/>
      <c r="AV9" s="242"/>
      <c r="AW9" s="242"/>
      <c r="AX9" s="242"/>
      <c r="AY9" s="242"/>
      <c r="AZ9" s="242"/>
      <c r="BA9" s="242"/>
      <c r="BB9" s="242"/>
      <c r="BC9" s="242"/>
      <c r="BD9" s="242"/>
      <c r="BE9" s="90"/>
      <c r="BF9" s="90"/>
      <c r="BG9" s="90"/>
      <c r="BH9" s="90"/>
      <c r="BI9" s="90"/>
      <c r="BJ9" s="90"/>
      <c r="BK9" s="90"/>
      <c r="BL9" s="90"/>
      <c r="BM9" s="90"/>
      <c r="BN9" s="90"/>
      <c r="BO9" s="90"/>
      <c r="BP9" s="90"/>
      <c r="BQ9" s="90"/>
      <c r="BR9" s="90"/>
      <c r="BS9" s="90"/>
      <c r="BT9" s="90"/>
      <c r="BU9" s="90"/>
      <c r="BV9" s="90"/>
      <c r="BW9" s="90"/>
      <c r="BX9" s="90"/>
      <c r="BY9" s="90"/>
      <c r="BZ9" s="90"/>
      <c r="CA9" s="90"/>
      <c r="CB9" s="90"/>
      <c r="CC9" s="142"/>
      <c r="CD9" s="142"/>
      <c r="CE9" s="142"/>
      <c r="CF9" s="142"/>
      <c r="CG9" s="142"/>
      <c r="CH9" s="142"/>
      <c r="CI9" s="142"/>
      <c r="CJ9" s="232"/>
      <c r="CK9" s="232"/>
      <c r="CL9" s="230"/>
    </row>
    <row r="10" spans="1:91" s="11" customFormat="1" ht="15">
      <c r="A10" s="89">
        <v>1</v>
      </c>
      <c r="B10" s="90" t="s">
        <v>33</v>
      </c>
      <c r="C10" s="89" t="s">
        <v>34</v>
      </c>
      <c r="D10" s="243">
        <f>[1]B2NN!$K$10</f>
        <v>18656.518599999996</v>
      </c>
      <c r="E10" s="173">
        <f>SUM(E11:E12)</f>
        <v>17460.156999999999</v>
      </c>
      <c r="F10" s="173">
        <f t="shared" ref="F10:S10" si="0">SUM(F11:F12)</f>
        <v>80.950000000000017</v>
      </c>
      <c r="G10" s="173">
        <f t="shared" si="0"/>
        <v>1242.5619999999999</v>
      </c>
      <c r="H10" s="173">
        <f t="shared" si="0"/>
        <v>1809.25</v>
      </c>
      <c r="I10" s="173">
        <f t="shared" si="0"/>
        <v>1092.7</v>
      </c>
      <c r="J10" s="173">
        <f t="shared" si="0"/>
        <v>2103.23</v>
      </c>
      <c r="K10" s="173">
        <f t="shared" si="0"/>
        <v>444.22500000000002</v>
      </c>
      <c r="L10" s="173">
        <f t="shared" si="0"/>
        <v>1608.8</v>
      </c>
      <c r="M10" s="173">
        <f t="shared" si="0"/>
        <v>1009</v>
      </c>
      <c r="N10" s="173">
        <f t="shared" si="0"/>
        <v>1239.27</v>
      </c>
      <c r="O10" s="173">
        <f t="shared" si="0"/>
        <v>744.125</v>
      </c>
      <c r="P10" s="173">
        <f t="shared" si="0"/>
        <v>1166.9199999999998</v>
      </c>
      <c r="Q10" s="173">
        <f t="shared" si="0"/>
        <v>1135.5999999999999</v>
      </c>
      <c r="R10" s="173">
        <f t="shared" si="0"/>
        <v>1105.375</v>
      </c>
      <c r="S10" s="173">
        <f t="shared" si="0"/>
        <v>2678.15</v>
      </c>
      <c r="T10" s="173">
        <f>SUM(T11:T12)</f>
        <v>17550.041010000001</v>
      </c>
      <c r="U10" s="173">
        <f t="shared" ref="U10:AH10" si="1">SUM(U11:U12)</f>
        <v>130.33000000000001</v>
      </c>
      <c r="V10" s="173">
        <f t="shared" si="1"/>
        <v>1261.83455</v>
      </c>
      <c r="W10" s="173">
        <f t="shared" si="1"/>
        <v>1838.93146</v>
      </c>
      <c r="X10" s="173">
        <f t="shared" si="1"/>
        <v>1097.2</v>
      </c>
      <c r="Y10" s="173">
        <f t="shared" si="1"/>
        <v>2127.1099999999997</v>
      </c>
      <c r="Z10" s="173">
        <f t="shared" si="1"/>
        <v>530.16</v>
      </c>
      <c r="AA10" s="173">
        <f t="shared" si="1"/>
        <v>1614</v>
      </c>
      <c r="AB10" s="173">
        <f t="shared" si="1"/>
        <v>982.25</v>
      </c>
      <c r="AC10" s="173">
        <f t="shared" si="1"/>
        <v>1170.02</v>
      </c>
      <c r="AD10" s="173">
        <f t="shared" si="1"/>
        <v>691.2</v>
      </c>
      <c r="AE10" s="173">
        <f t="shared" si="1"/>
        <v>1128.83</v>
      </c>
      <c r="AF10" s="173">
        <f t="shared" si="1"/>
        <v>1156</v>
      </c>
      <c r="AG10" s="173">
        <f t="shared" si="1"/>
        <v>1134.675</v>
      </c>
      <c r="AH10" s="173">
        <f t="shared" si="1"/>
        <v>2687.5</v>
      </c>
      <c r="AI10" s="173">
        <f>SUM(AI11:AI12)</f>
        <v>17630.002</v>
      </c>
      <c r="AJ10" s="173">
        <f t="shared" ref="AJ10:CA10" si="2">SUM(AJ11:AJ12)</f>
        <v>145.33500000000001</v>
      </c>
      <c r="AK10" s="173">
        <f t="shared" si="2"/>
        <v>1257.0129999999999</v>
      </c>
      <c r="AL10" s="173">
        <f t="shared" si="2"/>
        <v>1840.3899999999999</v>
      </c>
      <c r="AM10" s="173">
        <f t="shared" si="2"/>
        <v>1102.5999999999999</v>
      </c>
      <c r="AN10" s="173">
        <f t="shared" si="2"/>
        <v>2200.8519999999999</v>
      </c>
      <c r="AO10" s="173">
        <f t="shared" si="2"/>
        <v>553.61200000000008</v>
      </c>
      <c r="AP10" s="173">
        <f t="shared" si="2"/>
        <v>1601.5</v>
      </c>
      <c r="AQ10" s="173">
        <f t="shared" si="2"/>
        <v>985.9</v>
      </c>
      <c r="AR10" s="173">
        <f t="shared" si="2"/>
        <v>1154.77</v>
      </c>
      <c r="AS10" s="173">
        <f t="shared" si="2"/>
        <v>691.2</v>
      </c>
      <c r="AT10" s="173">
        <f t="shared" si="2"/>
        <v>1128.83</v>
      </c>
      <c r="AU10" s="173">
        <f t="shared" si="2"/>
        <v>1165.625</v>
      </c>
      <c r="AV10" s="173">
        <f t="shared" si="2"/>
        <v>1116.625</v>
      </c>
      <c r="AW10" s="173">
        <f t="shared" si="2"/>
        <v>2685.75</v>
      </c>
      <c r="AX10" s="173">
        <f>SUM(AX11:AX12)</f>
        <v>17720.010999999999</v>
      </c>
      <c r="AY10" s="173">
        <f t="shared" si="2"/>
        <v>151.30000000000001</v>
      </c>
      <c r="AZ10" s="173">
        <f t="shared" si="2"/>
        <v>1272.45</v>
      </c>
      <c r="BA10" s="173">
        <f t="shared" si="2"/>
        <v>1878.25</v>
      </c>
      <c r="BB10" s="173">
        <f t="shared" si="2"/>
        <v>1131.3700000000001</v>
      </c>
      <c r="BC10" s="173">
        <f t="shared" si="2"/>
        <v>2209.076</v>
      </c>
      <c r="BD10" s="173">
        <f t="shared" si="2"/>
        <v>534.53</v>
      </c>
      <c r="BE10" s="243">
        <f t="shared" si="2"/>
        <v>1601.5</v>
      </c>
      <c r="BF10" s="243">
        <f t="shared" si="2"/>
        <v>995.4</v>
      </c>
      <c r="BG10" s="243">
        <f t="shared" si="2"/>
        <v>1075.46</v>
      </c>
      <c r="BH10" s="243">
        <f t="shared" si="2"/>
        <v>696.27499999999998</v>
      </c>
      <c r="BI10" s="243">
        <f t="shared" si="2"/>
        <v>1145.25</v>
      </c>
      <c r="BJ10" s="243">
        <f t="shared" si="2"/>
        <v>1177.9000000000001</v>
      </c>
      <c r="BK10" s="243">
        <f t="shared" si="2"/>
        <v>1138.9000000000001</v>
      </c>
      <c r="BL10" s="243">
        <f t="shared" si="2"/>
        <v>2712.35</v>
      </c>
      <c r="BM10" s="243">
        <f t="shared" si="2"/>
        <v>17860.002</v>
      </c>
      <c r="BN10" s="243">
        <f t="shared" si="2"/>
        <v>170.65</v>
      </c>
      <c r="BO10" s="243">
        <f t="shared" si="2"/>
        <v>1282.6100000000001</v>
      </c>
      <c r="BP10" s="243">
        <f t="shared" si="2"/>
        <v>1897.1</v>
      </c>
      <c r="BQ10" s="243">
        <f t="shared" si="2"/>
        <v>1141.8890000000001</v>
      </c>
      <c r="BR10" s="243">
        <f t="shared" si="2"/>
        <v>2227.65</v>
      </c>
      <c r="BS10" s="243">
        <f t="shared" si="2"/>
        <v>533.25</v>
      </c>
      <c r="BT10" s="243">
        <f t="shared" si="2"/>
        <v>1612</v>
      </c>
      <c r="BU10" s="243">
        <f t="shared" si="2"/>
        <v>989.2</v>
      </c>
      <c r="BV10" s="243">
        <f t="shared" si="2"/>
        <v>1068.153</v>
      </c>
      <c r="BW10" s="243">
        <f t="shared" si="2"/>
        <v>701.35</v>
      </c>
      <c r="BX10" s="243">
        <f t="shared" si="2"/>
        <v>1155.05</v>
      </c>
      <c r="BY10" s="243">
        <f t="shared" si="2"/>
        <v>1197.2</v>
      </c>
      <c r="BZ10" s="243">
        <f t="shared" si="2"/>
        <v>1138.3</v>
      </c>
      <c r="CA10" s="243">
        <f t="shared" si="2"/>
        <v>2745.6</v>
      </c>
      <c r="CB10" s="243">
        <f>BM10</f>
        <v>17860.002</v>
      </c>
      <c r="CC10" s="243">
        <f>CC11+CC12</f>
        <v>17852.697220000002</v>
      </c>
      <c r="CD10" s="243">
        <f t="shared" ref="CD10:CH10" si="3">CD11+CD12</f>
        <v>17982.736199999999</v>
      </c>
      <c r="CE10" s="243">
        <f t="shared" si="3"/>
        <v>16957.852724</v>
      </c>
      <c r="CF10" s="243">
        <f>CE10</f>
        <v>16957.852724</v>
      </c>
      <c r="CG10" s="243">
        <f t="shared" si="3"/>
        <v>17720.010999999999</v>
      </c>
      <c r="CH10" s="243">
        <f t="shared" si="3"/>
        <v>17860.002</v>
      </c>
      <c r="CI10" s="243">
        <f>CH10</f>
        <v>17860.002</v>
      </c>
      <c r="CJ10" s="232">
        <f t="shared" ref="CJ10" si="4">CF10/CB10%</f>
        <v>94.948772816486809</v>
      </c>
      <c r="CK10" s="232">
        <f>CI10/CB10%</f>
        <v>100</v>
      </c>
      <c r="CL10" s="230"/>
      <c r="CM10" s="382"/>
    </row>
    <row r="11" spans="1:91" s="146" customFormat="1" ht="15">
      <c r="A11" s="78"/>
      <c r="B11" s="83" t="s">
        <v>35</v>
      </c>
      <c r="C11" s="78" t="s">
        <v>34</v>
      </c>
      <c r="D11" s="110">
        <f>[1]B2NN!$K$11</f>
        <v>12784.568599999997</v>
      </c>
      <c r="E11" s="135">
        <f>E17</f>
        <v>12990.067000000001</v>
      </c>
      <c r="F11" s="135">
        <f>F17</f>
        <v>45.920000000000009</v>
      </c>
      <c r="G11" s="135">
        <f t="shared" ref="G11:S11" si="5">G17</f>
        <v>1081.002</v>
      </c>
      <c r="H11" s="135">
        <f t="shared" si="5"/>
        <v>1458.5</v>
      </c>
      <c r="I11" s="135">
        <f t="shared" si="5"/>
        <v>876.9</v>
      </c>
      <c r="J11" s="135">
        <f t="shared" si="5"/>
        <v>1862.28</v>
      </c>
      <c r="K11" s="135">
        <f t="shared" si="5"/>
        <v>228.22499999999999</v>
      </c>
      <c r="L11" s="135">
        <f t="shared" si="5"/>
        <v>1062.8</v>
      </c>
      <c r="M11" s="135">
        <f t="shared" si="5"/>
        <v>566.5</v>
      </c>
      <c r="N11" s="135">
        <f t="shared" si="5"/>
        <v>637.27</v>
      </c>
      <c r="O11" s="135">
        <f t="shared" si="5"/>
        <v>512.125</v>
      </c>
      <c r="P11" s="135">
        <f t="shared" si="5"/>
        <v>837.41999999999985</v>
      </c>
      <c r="Q11" s="135">
        <f t="shared" si="5"/>
        <v>985.6</v>
      </c>
      <c r="R11" s="135">
        <f t="shared" si="5"/>
        <v>790.375</v>
      </c>
      <c r="S11" s="135">
        <f t="shared" si="5"/>
        <v>2045.15</v>
      </c>
      <c r="T11" s="135">
        <f>T17</f>
        <v>13412.84001</v>
      </c>
      <c r="U11" s="135">
        <f t="shared" ref="U11:AH11" si="6">U17</f>
        <v>94.330000000000013</v>
      </c>
      <c r="V11" s="135">
        <f t="shared" si="6"/>
        <v>1111.0245500000001</v>
      </c>
      <c r="W11" s="135">
        <f t="shared" si="6"/>
        <v>1530.74046</v>
      </c>
      <c r="X11" s="135">
        <f t="shared" si="6"/>
        <v>911.4</v>
      </c>
      <c r="Y11" s="135">
        <f t="shared" si="6"/>
        <v>1925.9099999999999</v>
      </c>
      <c r="Z11" s="135">
        <f t="shared" si="6"/>
        <v>284.15999999999997</v>
      </c>
      <c r="AA11" s="135">
        <f t="shared" si="6"/>
        <v>1083</v>
      </c>
      <c r="AB11" s="135">
        <f t="shared" si="6"/>
        <v>547.25</v>
      </c>
      <c r="AC11" s="135">
        <f t="shared" si="6"/>
        <v>618.02</v>
      </c>
      <c r="AD11" s="135">
        <f t="shared" si="6"/>
        <v>517.20000000000005</v>
      </c>
      <c r="AE11" s="135">
        <f t="shared" si="6"/>
        <v>845.62999999999988</v>
      </c>
      <c r="AF11" s="135">
        <f t="shared" si="6"/>
        <v>1001</v>
      </c>
      <c r="AG11" s="135">
        <f t="shared" si="6"/>
        <v>822.67499999999995</v>
      </c>
      <c r="AH11" s="135">
        <f t="shared" si="6"/>
        <v>2120.5</v>
      </c>
      <c r="AI11" s="135">
        <f>AI17</f>
        <v>13530.892</v>
      </c>
      <c r="AJ11" s="135">
        <f t="shared" ref="AJ11:AW11" si="7">AJ17</f>
        <v>108.83500000000001</v>
      </c>
      <c r="AK11" s="135">
        <f t="shared" si="7"/>
        <v>1121.953</v>
      </c>
      <c r="AL11" s="135">
        <f t="shared" si="7"/>
        <v>1547.74</v>
      </c>
      <c r="AM11" s="135">
        <f t="shared" si="7"/>
        <v>913.8</v>
      </c>
      <c r="AN11" s="135">
        <f t="shared" si="7"/>
        <v>2002.702</v>
      </c>
      <c r="AO11" s="135">
        <f t="shared" si="7"/>
        <v>303.61200000000002</v>
      </c>
      <c r="AP11" s="135">
        <f t="shared" si="7"/>
        <v>1077</v>
      </c>
      <c r="AQ11" s="135">
        <f t="shared" si="7"/>
        <v>543.65</v>
      </c>
      <c r="AR11" s="135">
        <f t="shared" si="7"/>
        <v>605.77</v>
      </c>
      <c r="AS11" s="135">
        <f t="shared" si="7"/>
        <v>517.20000000000005</v>
      </c>
      <c r="AT11" s="135">
        <f t="shared" si="7"/>
        <v>845.62999999999988</v>
      </c>
      <c r="AU11" s="135">
        <f t="shared" si="7"/>
        <v>1010.625</v>
      </c>
      <c r="AV11" s="135">
        <f t="shared" si="7"/>
        <v>807.625</v>
      </c>
      <c r="AW11" s="135">
        <f t="shared" si="7"/>
        <v>2124.75</v>
      </c>
      <c r="AX11" s="135">
        <f>AX17</f>
        <v>13721.560999999998</v>
      </c>
      <c r="AY11" s="135">
        <f t="shared" ref="AY11:BL11" si="8">AY17</f>
        <v>114.8</v>
      </c>
      <c r="AZ11" s="135">
        <f t="shared" si="8"/>
        <v>1137.3</v>
      </c>
      <c r="BA11" s="135">
        <f t="shared" si="8"/>
        <v>1581.1</v>
      </c>
      <c r="BB11" s="135">
        <f t="shared" si="8"/>
        <v>942.57</v>
      </c>
      <c r="BC11" s="135">
        <f t="shared" si="8"/>
        <v>2010.9259999999999</v>
      </c>
      <c r="BD11" s="135">
        <f t="shared" si="8"/>
        <v>299.77999999999997</v>
      </c>
      <c r="BE11" s="110">
        <f t="shared" si="8"/>
        <v>1077</v>
      </c>
      <c r="BF11" s="110">
        <f t="shared" si="8"/>
        <v>553.15</v>
      </c>
      <c r="BG11" s="110">
        <f t="shared" si="8"/>
        <v>616.46</v>
      </c>
      <c r="BH11" s="110">
        <f t="shared" si="8"/>
        <v>522.27499999999998</v>
      </c>
      <c r="BI11" s="110">
        <f t="shared" si="8"/>
        <v>862.05</v>
      </c>
      <c r="BJ11" s="110">
        <f t="shared" si="8"/>
        <v>1022.9</v>
      </c>
      <c r="BK11" s="110">
        <f t="shared" si="8"/>
        <v>829.9</v>
      </c>
      <c r="BL11" s="110">
        <f t="shared" si="8"/>
        <v>2151.35</v>
      </c>
      <c r="BM11" s="110">
        <f>BM17</f>
        <v>13851.552000000001</v>
      </c>
      <c r="BN11" s="110">
        <f t="shared" ref="BN11:CA11" si="9">BN17</f>
        <v>133.65</v>
      </c>
      <c r="BO11" s="110">
        <f t="shared" si="9"/>
        <v>1145.46</v>
      </c>
      <c r="BP11" s="110">
        <f t="shared" si="9"/>
        <v>1595.45</v>
      </c>
      <c r="BQ11" s="110">
        <f t="shared" si="9"/>
        <v>950.08900000000006</v>
      </c>
      <c r="BR11" s="110">
        <f t="shared" si="9"/>
        <v>2029.5</v>
      </c>
      <c r="BS11" s="110">
        <f t="shared" si="9"/>
        <v>298.5</v>
      </c>
      <c r="BT11" s="110">
        <f t="shared" si="9"/>
        <v>1087.5</v>
      </c>
      <c r="BU11" s="110">
        <f t="shared" si="9"/>
        <v>546.95000000000005</v>
      </c>
      <c r="BV11" s="110">
        <f t="shared" si="9"/>
        <v>609.15300000000002</v>
      </c>
      <c r="BW11" s="110">
        <f t="shared" si="9"/>
        <v>527.35</v>
      </c>
      <c r="BX11" s="110">
        <f t="shared" si="9"/>
        <v>871.85</v>
      </c>
      <c r="BY11" s="110">
        <f t="shared" si="9"/>
        <v>1042.2</v>
      </c>
      <c r="BZ11" s="110">
        <f t="shared" si="9"/>
        <v>829.3</v>
      </c>
      <c r="CA11" s="110">
        <f t="shared" si="9"/>
        <v>2184.6</v>
      </c>
      <c r="CB11" s="110">
        <f>BM11</f>
        <v>13851.552000000001</v>
      </c>
      <c r="CC11" s="110">
        <f>CC17</f>
        <v>13221.005320000002</v>
      </c>
      <c r="CD11" s="110">
        <f t="shared" ref="CD11:CH11" si="10">CD17</f>
        <v>13607.906200000001</v>
      </c>
      <c r="CE11" s="110">
        <f t="shared" si="10"/>
        <v>13231.002724000002</v>
      </c>
      <c r="CF11" s="110">
        <f t="shared" ref="CF11:CF67" si="11">CE11</f>
        <v>13231.002724000002</v>
      </c>
      <c r="CG11" s="110">
        <f t="shared" si="10"/>
        <v>13721.560999999998</v>
      </c>
      <c r="CH11" s="110">
        <f t="shared" si="10"/>
        <v>13851.552000000001</v>
      </c>
      <c r="CI11" s="110">
        <f t="shared" ref="CI11:CI12" si="12">CH11</f>
        <v>13851.552000000001</v>
      </c>
      <c r="CJ11" s="232">
        <f t="shared" ref="CJ11:CJ18" si="13">CF11/CB11%</f>
        <v>95.520001830841778</v>
      </c>
      <c r="CK11" s="232">
        <f t="shared" ref="CK11:CK18" si="14">CI11/CB11%</f>
        <v>100</v>
      </c>
      <c r="CL11" s="230"/>
    </row>
    <row r="12" spans="1:91" s="146" customFormat="1" ht="15">
      <c r="A12" s="78"/>
      <c r="B12" s="83" t="s">
        <v>36</v>
      </c>
      <c r="C12" s="78" t="s">
        <v>34</v>
      </c>
      <c r="D12" s="110">
        <f>[1]B2NN!$K$12</f>
        <v>5871.95</v>
      </c>
      <c r="E12" s="135">
        <f>E32</f>
        <v>4470.09</v>
      </c>
      <c r="F12" s="135">
        <f>F32</f>
        <v>35.03</v>
      </c>
      <c r="G12" s="135">
        <f t="shared" ref="G12:S12" si="15">G32</f>
        <v>161.56</v>
      </c>
      <c r="H12" s="135">
        <f t="shared" si="15"/>
        <v>350.75</v>
      </c>
      <c r="I12" s="135">
        <f t="shared" si="15"/>
        <v>215.8</v>
      </c>
      <c r="J12" s="135">
        <f t="shared" si="15"/>
        <v>240.95</v>
      </c>
      <c r="K12" s="135">
        <f t="shared" si="15"/>
        <v>216</v>
      </c>
      <c r="L12" s="135">
        <f t="shared" si="15"/>
        <v>546</v>
      </c>
      <c r="M12" s="135">
        <f t="shared" si="15"/>
        <v>442.5</v>
      </c>
      <c r="N12" s="135">
        <f t="shared" si="15"/>
        <v>602</v>
      </c>
      <c r="O12" s="135">
        <f t="shared" si="15"/>
        <v>232</v>
      </c>
      <c r="P12" s="135">
        <f t="shared" si="15"/>
        <v>329.5</v>
      </c>
      <c r="Q12" s="135">
        <f t="shared" si="15"/>
        <v>150</v>
      </c>
      <c r="R12" s="135">
        <f t="shared" si="15"/>
        <v>315</v>
      </c>
      <c r="S12" s="135">
        <f t="shared" si="15"/>
        <v>633</v>
      </c>
      <c r="T12" s="135">
        <f>T32</f>
        <v>4137.201</v>
      </c>
      <c r="U12" s="135">
        <f t="shared" ref="U12:AH12" si="16">U32</f>
        <v>36</v>
      </c>
      <c r="V12" s="135">
        <f t="shared" si="16"/>
        <v>150.81</v>
      </c>
      <c r="W12" s="135">
        <f t="shared" si="16"/>
        <v>308.19100000000003</v>
      </c>
      <c r="X12" s="135">
        <f t="shared" si="16"/>
        <v>185.8</v>
      </c>
      <c r="Y12" s="135">
        <f t="shared" si="16"/>
        <v>201.2</v>
      </c>
      <c r="Z12" s="135">
        <f t="shared" si="16"/>
        <v>246</v>
      </c>
      <c r="AA12" s="135">
        <f t="shared" si="16"/>
        <v>531</v>
      </c>
      <c r="AB12" s="135">
        <f t="shared" si="16"/>
        <v>435</v>
      </c>
      <c r="AC12" s="135">
        <f t="shared" si="16"/>
        <v>552</v>
      </c>
      <c r="AD12" s="135">
        <f t="shared" si="16"/>
        <v>174</v>
      </c>
      <c r="AE12" s="135">
        <f t="shared" si="16"/>
        <v>283.2</v>
      </c>
      <c r="AF12" s="135">
        <f t="shared" si="16"/>
        <v>155</v>
      </c>
      <c r="AG12" s="135">
        <f t="shared" si="16"/>
        <v>312</v>
      </c>
      <c r="AH12" s="135">
        <f t="shared" si="16"/>
        <v>567</v>
      </c>
      <c r="AI12" s="135">
        <f>AI32</f>
        <v>4099.1099999999997</v>
      </c>
      <c r="AJ12" s="135">
        <f t="shared" ref="AJ12:AW12" si="17">AJ32</f>
        <v>36.5</v>
      </c>
      <c r="AK12" s="135">
        <f t="shared" si="17"/>
        <v>135.06</v>
      </c>
      <c r="AL12" s="135">
        <f t="shared" si="17"/>
        <v>292.64999999999998</v>
      </c>
      <c r="AM12" s="135">
        <f t="shared" si="17"/>
        <v>188.8</v>
      </c>
      <c r="AN12" s="135">
        <f t="shared" si="17"/>
        <v>198.15</v>
      </c>
      <c r="AO12" s="135">
        <f t="shared" si="17"/>
        <v>250</v>
      </c>
      <c r="AP12" s="135">
        <f t="shared" si="17"/>
        <v>524.5</v>
      </c>
      <c r="AQ12" s="135">
        <f t="shared" si="17"/>
        <v>442.25</v>
      </c>
      <c r="AR12" s="135">
        <f t="shared" si="17"/>
        <v>549</v>
      </c>
      <c r="AS12" s="135">
        <f t="shared" si="17"/>
        <v>174</v>
      </c>
      <c r="AT12" s="135">
        <f t="shared" si="17"/>
        <v>283.2</v>
      </c>
      <c r="AU12" s="135">
        <f t="shared" si="17"/>
        <v>155</v>
      </c>
      <c r="AV12" s="135">
        <f t="shared" si="17"/>
        <v>309</v>
      </c>
      <c r="AW12" s="135">
        <f t="shared" si="17"/>
        <v>561</v>
      </c>
      <c r="AX12" s="135">
        <f>AX32</f>
        <v>3998.45</v>
      </c>
      <c r="AY12" s="135">
        <f t="shared" ref="AY12:BL12" si="18">AY32</f>
        <v>36.5</v>
      </c>
      <c r="AZ12" s="135">
        <f t="shared" si="18"/>
        <v>135.15</v>
      </c>
      <c r="BA12" s="135">
        <f t="shared" si="18"/>
        <v>297.14999999999998</v>
      </c>
      <c r="BB12" s="135">
        <f t="shared" si="18"/>
        <v>188.8</v>
      </c>
      <c r="BC12" s="135">
        <f t="shared" si="18"/>
        <v>198.15</v>
      </c>
      <c r="BD12" s="135">
        <f t="shared" si="18"/>
        <v>234.75</v>
      </c>
      <c r="BE12" s="110">
        <f t="shared" si="18"/>
        <v>524.5</v>
      </c>
      <c r="BF12" s="110">
        <f t="shared" si="18"/>
        <v>442.25</v>
      </c>
      <c r="BG12" s="110">
        <f t="shared" si="18"/>
        <v>459</v>
      </c>
      <c r="BH12" s="110">
        <f t="shared" si="18"/>
        <v>174</v>
      </c>
      <c r="BI12" s="110">
        <f t="shared" si="18"/>
        <v>283.2</v>
      </c>
      <c r="BJ12" s="110">
        <f t="shared" si="18"/>
        <v>155</v>
      </c>
      <c r="BK12" s="110">
        <f t="shared" si="18"/>
        <v>309</v>
      </c>
      <c r="BL12" s="110">
        <f t="shared" si="18"/>
        <v>561</v>
      </c>
      <c r="BM12" s="110">
        <f>BM32</f>
        <v>4008.45</v>
      </c>
      <c r="BN12" s="110">
        <f t="shared" ref="BN12:CA12" si="19">BN32</f>
        <v>37</v>
      </c>
      <c r="BO12" s="110">
        <f t="shared" si="19"/>
        <v>137.15</v>
      </c>
      <c r="BP12" s="110">
        <f t="shared" si="19"/>
        <v>301.64999999999998</v>
      </c>
      <c r="BQ12" s="110">
        <f t="shared" si="19"/>
        <v>191.8</v>
      </c>
      <c r="BR12" s="110">
        <f t="shared" si="19"/>
        <v>198.15</v>
      </c>
      <c r="BS12" s="110">
        <f t="shared" si="19"/>
        <v>234.75</v>
      </c>
      <c r="BT12" s="110">
        <f t="shared" si="19"/>
        <v>524.5</v>
      </c>
      <c r="BU12" s="110">
        <f t="shared" si="19"/>
        <v>442.25</v>
      </c>
      <c r="BV12" s="110">
        <f t="shared" si="19"/>
        <v>459</v>
      </c>
      <c r="BW12" s="110">
        <f t="shared" si="19"/>
        <v>174</v>
      </c>
      <c r="BX12" s="110">
        <f t="shared" si="19"/>
        <v>283.2</v>
      </c>
      <c r="BY12" s="110">
        <f t="shared" si="19"/>
        <v>155</v>
      </c>
      <c r="BZ12" s="110">
        <f t="shared" si="19"/>
        <v>309</v>
      </c>
      <c r="CA12" s="110">
        <f t="shared" si="19"/>
        <v>561</v>
      </c>
      <c r="CB12" s="110">
        <f>BM12</f>
        <v>4008.45</v>
      </c>
      <c r="CC12" s="110">
        <f>CC32</f>
        <v>4631.6918999999998</v>
      </c>
      <c r="CD12" s="110">
        <f t="shared" ref="CD12:CH12" si="20">CD32</f>
        <v>4374.83</v>
      </c>
      <c r="CE12" s="110">
        <f t="shared" si="20"/>
        <v>3726.85</v>
      </c>
      <c r="CF12" s="110">
        <f t="shared" si="11"/>
        <v>3726.85</v>
      </c>
      <c r="CG12" s="110">
        <f t="shared" si="20"/>
        <v>3998.45</v>
      </c>
      <c r="CH12" s="110">
        <f t="shared" si="20"/>
        <v>4008.45</v>
      </c>
      <c r="CI12" s="110">
        <f t="shared" si="12"/>
        <v>4008.45</v>
      </c>
      <c r="CJ12" s="232">
        <f t="shared" si="13"/>
        <v>92.974840649128723</v>
      </c>
      <c r="CK12" s="232">
        <f t="shared" si="14"/>
        <v>100</v>
      </c>
      <c r="CL12" s="244"/>
    </row>
    <row r="13" spans="1:91" s="11" customFormat="1" ht="15">
      <c r="A13" s="89">
        <v>2</v>
      </c>
      <c r="B13" s="90" t="s">
        <v>37</v>
      </c>
      <c r="C13" s="89"/>
      <c r="D13" s="98"/>
      <c r="E13" s="245"/>
      <c r="F13" s="245"/>
      <c r="G13" s="245"/>
      <c r="H13" s="245"/>
      <c r="I13" s="245"/>
      <c r="J13" s="245"/>
      <c r="K13" s="245"/>
      <c r="L13" s="245"/>
      <c r="M13" s="245"/>
      <c r="N13" s="245"/>
      <c r="O13" s="245"/>
      <c r="P13" s="245"/>
      <c r="Q13" s="245"/>
      <c r="R13" s="245"/>
      <c r="S13" s="245"/>
      <c r="T13" s="245"/>
      <c r="U13" s="245"/>
      <c r="V13" s="245"/>
      <c r="W13" s="245"/>
      <c r="X13" s="245"/>
      <c r="Y13" s="245"/>
      <c r="Z13" s="245"/>
      <c r="AA13" s="245"/>
      <c r="AB13" s="245"/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5"/>
      <c r="AP13" s="245"/>
      <c r="AQ13" s="245"/>
      <c r="AR13" s="245"/>
      <c r="AS13" s="245"/>
      <c r="AT13" s="245"/>
      <c r="AU13" s="245"/>
      <c r="AV13" s="245"/>
      <c r="AW13" s="245"/>
      <c r="AX13" s="245"/>
      <c r="AY13" s="245"/>
      <c r="AZ13" s="245"/>
      <c r="BA13" s="245"/>
      <c r="BB13" s="245"/>
      <c r="BC13" s="245"/>
      <c r="BD13" s="245"/>
      <c r="BE13" s="98"/>
      <c r="BF13" s="98"/>
      <c r="BG13" s="98"/>
      <c r="BH13" s="98"/>
      <c r="BI13" s="98"/>
      <c r="BJ13" s="98"/>
      <c r="BK13" s="98"/>
      <c r="BL13" s="98"/>
      <c r="BM13" s="98"/>
      <c r="BN13" s="98"/>
      <c r="BO13" s="98"/>
      <c r="BP13" s="98"/>
      <c r="BQ13" s="98"/>
      <c r="BR13" s="98"/>
      <c r="BS13" s="98"/>
      <c r="BT13" s="98"/>
      <c r="BU13" s="98"/>
      <c r="BV13" s="98"/>
      <c r="BW13" s="98"/>
      <c r="BX13" s="98"/>
      <c r="BY13" s="98"/>
      <c r="BZ13" s="98"/>
      <c r="CA13" s="98"/>
      <c r="CB13" s="98"/>
      <c r="CC13" s="246"/>
      <c r="CD13" s="246"/>
      <c r="CE13" s="246"/>
      <c r="CF13" s="246">
        <f t="shared" si="11"/>
        <v>0</v>
      </c>
      <c r="CG13" s="246"/>
      <c r="CH13" s="246"/>
      <c r="CI13" s="246"/>
      <c r="CJ13" s="232"/>
      <c r="CK13" s="232"/>
      <c r="CL13" s="247"/>
    </row>
    <row r="14" spans="1:91" s="146" customFormat="1" ht="15">
      <c r="A14" s="78" t="s">
        <v>38</v>
      </c>
      <c r="B14" s="83" t="s">
        <v>39</v>
      </c>
      <c r="C14" s="78"/>
      <c r="D14" s="103"/>
      <c r="E14" s="248"/>
      <c r="F14" s="248"/>
      <c r="G14" s="248"/>
      <c r="H14" s="248"/>
      <c r="I14" s="248"/>
      <c r="J14" s="248"/>
      <c r="K14" s="248"/>
      <c r="L14" s="248"/>
      <c r="M14" s="248"/>
      <c r="N14" s="248"/>
      <c r="O14" s="248"/>
      <c r="P14" s="248"/>
      <c r="Q14" s="248"/>
      <c r="R14" s="248"/>
      <c r="S14" s="248"/>
      <c r="T14" s="248"/>
      <c r="U14" s="248"/>
      <c r="V14" s="248"/>
      <c r="W14" s="248"/>
      <c r="X14" s="248"/>
      <c r="Y14" s="248"/>
      <c r="Z14" s="248"/>
      <c r="AA14" s="248"/>
      <c r="AB14" s="248"/>
      <c r="AC14" s="248"/>
      <c r="AD14" s="248"/>
      <c r="AE14" s="248"/>
      <c r="AF14" s="248"/>
      <c r="AG14" s="248"/>
      <c r="AH14" s="248"/>
      <c r="AI14" s="248"/>
      <c r="AJ14" s="248"/>
      <c r="AK14" s="248"/>
      <c r="AL14" s="248"/>
      <c r="AM14" s="248"/>
      <c r="AN14" s="248"/>
      <c r="AO14" s="248"/>
      <c r="AP14" s="248"/>
      <c r="AQ14" s="248"/>
      <c r="AR14" s="248"/>
      <c r="AS14" s="248"/>
      <c r="AT14" s="248"/>
      <c r="AU14" s="248"/>
      <c r="AV14" s="248"/>
      <c r="AW14" s="248"/>
      <c r="AX14" s="248"/>
      <c r="AY14" s="248"/>
      <c r="AZ14" s="248"/>
      <c r="BA14" s="248"/>
      <c r="BB14" s="248"/>
      <c r="BC14" s="248"/>
      <c r="BD14" s="248"/>
      <c r="BE14" s="103"/>
      <c r="BF14" s="103"/>
      <c r="BG14" s="103"/>
      <c r="BH14" s="103"/>
      <c r="BI14" s="103"/>
      <c r="BJ14" s="103"/>
      <c r="BK14" s="103"/>
      <c r="BL14" s="103"/>
      <c r="BM14" s="103"/>
      <c r="BN14" s="103"/>
      <c r="BO14" s="103"/>
      <c r="BP14" s="103"/>
      <c r="BQ14" s="103"/>
      <c r="BR14" s="103"/>
      <c r="BS14" s="103"/>
      <c r="BT14" s="103"/>
      <c r="BU14" s="103"/>
      <c r="BV14" s="103"/>
      <c r="BW14" s="103"/>
      <c r="BX14" s="103"/>
      <c r="BY14" s="103"/>
      <c r="BZ14" s="103"/>
      <c r="CA14" s="103"/>
      <c r="CB14" s="103"/>
      <c r="CC14" s="143"/>
      <c r="CD14" s="143"/>
      <c r="CE14" s="143"/>
      <c r="CF14" s="143">
        <f t="shared" si="11"/>
        <v>0</v>
      </c>
      <c r="CG14" s="143"/>
      <c r="CH14" s="143"/>
      <c r="CI14" s="143"/>
      <c r="CJ14" s="232"/>
      <c r="CK14" s="232"/>
      <c r="CL14" s="244"/>
    </row>
    <row r="15" spans="1:91" s="146" customFormat="1" ht="15">
      <c r="A15" s="78"/>
      <c r="B15" s="83" t="s">
        <v>40</v>
      </c>
      <c r="C15" s="78" t="s">
        <v>41</v>
      </c>
      <c r="D15" s="35">
        <f>[1]B2NN!$K$15</f>
        <v>3068.38</v>
      </c>
      <c r="E15" s="186">
        <f>SUM(F15:S15)</f>
        <v>2977.4</v>
      </c>
      <c r="F15" s="186">
        <f>F18+F21+F24</f>
        <v>13.4</v>
      </c>
      <c r="G15" s="186">
        <f t="shared" ref="G15:S15" si="21">G18+G21+G24</f>
        <v>203.4</v>
      </c>
      <c r="H15" s="186">
        <f t="shared" si="21"/>
        <v>282.5</v>
      </c>
      <c r="I15" s="186">
        <f t="shared" si="21"/>
        <v>205</v>
      </c>
      <c r="J15" s="186">
        <f t="shared" si="21"/>
        <v>362.29999999999995</v>
      </c>
      <c r="K15" s="186">
        <f t="shared" si="21"/>
        <v>93.7</v>
      </c>
      <c r="L15" s="186">
        <f t="shared" si="21"/>
        <v>253</v>
      </c>
      <c r="M15" s="186">
        <f t="shared" si="21"/>
        <v>195</v>
      </c>
      <c r="N15" s="186">
        <f t="shared" si="21"/>
        <v>190.4</v>
      </c>
      <c r="O15" s="186">
        <f t="shared" si="21"/>
        <v>126.5</v>
      </c>
      <c r="P15" s="186">
        <f t="shared" si="21"/>
        <v>164.2</v>
      </c>
      <c r="Q15" s="186">
        <f t="shared" si="21"/>
        <v>192.5</v>
      </c>
      <c r="R15" s="186">
        <f t="shared" si="21"/>
        <v>196.5</v>
      </c>
      <c r="S15" s="186">
        <f t="shared" si="21"/>
        <v>499</v>
      </c>
      <c r="T15" s="186">
        <f>SUM(U15:AH15)</f>
        <v>2995.2000000000003</v>
      </c>
      <c r="U15" s="186">
        <f t="shared" ref="U15:AH15" si="22">U18+U21+U24</f>
        <v>30.7</v>
      </c>
      <c r="V15" s="186">
        <f t="shared" si="22"/>
        <v>203.5</v>
      </c>
      <c r="W15" s="186">
        <f t="shared" si="22"/>
        <v>297</v>
      </c>
      <c r="X15" s="186">
        <f t="shared" si="22"/>
        <v>207</v>
      </c>
      <c r="Y15" s="186">
        <f t="shared" si="22"/>
        <v>365.7</v>
      </c>
      <c r="Z15" s="186">
        <f t="shared" si="22"/>
        <v>96.7</v>
      </c>
      <c r="AA15" s="186">
        <f t="shared" si="22"/>
        <v>255</v>
      </c>
      <c r="AB15" s="186">
        <f t="shared" si="22"/>
        <v>175</v>
      </c>
      <c r="AC15" s="186">
        <f t="shared" si="22"/>
        <v>192.4</v>
      </c>
      <c r="AD15" s="186">
        <f t="shared" si="22"/>
        <v>126.5</v>
      </c>
      <c r="AE15" s="186">
        <f t="shared" si="22"/>
        <v>164.2</v>
      </c>
      <c r="AF15" s="186">
        <f t="shared" si="22"/>
        <v>192.5</v>
      </c>
      <c r="AG15" s="186">
        <f t="shared" si="22"/>
        <v>196.5</v>
      </c>
      <c r="AH15" s="186">
        <f t="shared" si="22"/>
        <v>492.5</v>
      </c>
      <c r="AI15" s="186">
        <f>SUM(AJ15:AW15)</f>
        <v>2977.7000000000003</v>
      </c>
      <c r="AJ15" s="186">
        <f t="shared" ref="AJ15:AW15" si="23">AJ18+AJ21+AJ24</f>
        <v>25.7</v>
      </c>
      <c r="AK15" s="186">
        <f t="shared" si="23"/>
        <v>203.5</v>
      </c>
      <c r="AL15" s="186">
        <f t="shared" si="23"/>
        <v>284</v>
      </c>
      <c r="AM15" s="186">
        <f t="shared" si="23"/>
        <v>205</v>
      </c>
      <c r="AN15" s="186">
        <f t="shared" si="23"/>
        <v>367.7</v>
      </c>
      <c r="AO15" s="186">
        <f t="shared" si="23"/>
        <v>99.7</v>
      </c>
      <c r="AP15" s="186">
        <f t="shared" si="23"/>
        <v>250</v>
      </c>
      <c r="AQ15" s="186">
        <f t="shared" si="23"/>
        <v>172</v>
      </c>
      <c r="AR15" s="186">
        <f t="shared" si="23"/>
        <v>185.4</v>
      </c>
      <c r="AS15" s="186">
        <f t="shared" si="23"/>
        <v>126.5</v>
      </c>
      <c r="AT15" s="186">
        <f t="shared" si="23"/>
        <v>164.2</v>
      </c>
      <c r="AU15" s="186">
        <f t="shared" si="23"/>
        <v>192.5</v>
      </c>
      <c r="AV15" s="186">
        <f t="shared" si="23"/>
        <v>196.5</v>
      </c>
      <c r="AW15" s="186">
        <f t="shared" si="23"/>
        <v>505</v>
      </c>
      <c r="AX15" s="186">
        <f>SUM(AY15:BL15)</f>
        <v>2966.3</v>
      </c>
      <c r="AY15" s="186">
        <f t="shared" ref="AY15:BL15" si="24">AY18+AY21+AY24</f>
        <v>27</v>
      </c>
      <c r="AZ15" s="186">
        <f t="shared" si="24"/>
        <v>204</v>
      </c>
      <c r="BA15" s="186">
        <f t="shared" si="24"/>
        <v>287</v>
      </c>
      <c r="BB15" s="186">
        <f t="shared" si="24"/>
        <v>211</v>
      </c>
      <c r="BC15" s="186">
        <f t="shared" si="24"/>
        <v>368</v>
      </c>
      <c r="BD15" s="186">
        <f t="shared" si="24"/>
        <v>94.7</v>
      </c>
      <c r="BE15" s="35">
        <f t="shared" si="24"/>
        <v>250</v>
      </c>
      <c r="BF15" s="35">
        <f t="shared" si="24"/>
        <v>172</v>
      </c>
      <c r="BG15" s="35">
        <f t="shared" si="24"/>
        <v>185.4</v>
      </c>
      <c r="BH15" s="35">
        <f t="shared" si="24"/>
        <v>126.5</v>
      </c>
      <c r="BI15" s="35">
        <f t="shared" si="24"/>
        <v>164.2</v>
      </c>
      <c r="BJ15" s="35">
        <f t="shared" si="24"/>
        <v>193</v>
      </c>
      <c r="BK15" s="35">
        <f t="shared" si="24"/>
        <v>196.5</v>
      </c>
      <c r="BL15" s="35">
        <f t="shared" si="24"/>
        <v>487</v>
      </c>
      <c r="BM15" s="35">
        <f>SUM(BN15:CA15)</f>
        <v>2942.6000000000004</v>
      </c>
      <c r="BN15" s="35">
        <f t="shared" ref="BN15:CA15" si="25">BN18+BN21+BN24</f>
        <v>29.5</v>
      </c>
      <c r="BO15" s="35">
        <f t="shared" si="25"/>
        <v>204</v>
      </c>
      <c r="BP15" s="35">
        <f t="shared" si="25"/>
        <v>287</v>
      </c>
      <c r="BQ15" s="35">
        <f t="shared" si="25"/>
        <v>201.5</v>
      </c>
      <c r="BR15" s="35">
        <f t="shared" si="25"/>
        <v>368</v>
      </c>
      <c r="BS15" s="35">
        <f t="shared" si="25"/>
        <v>89.7</v>
      </c>
      <c r="BT15" s="35">
        <f t="shared" si="25"/>
        <v>250</v>
      </c>
      <c r="BU15" s="35">
        <f t="shared" si="25"/>
        <v>170</v>
      </c>
      <c r="BV15" s="35">
        <f t="shared" si="25"/>
        <v>175.4</v>
      </c>
      <c r="BW15" s="35">
        <f t="shared" si="25"/>
        <v>126.5</v>
      </c>
      <c r="BX15" s="35">
        <f t="shared" si="25"/>
        <v>164.5</v>
      </c>
      <c r="BY15" s="35">
        <f t="shared" si="25"/>
        <v>193</v>
      </c>
      <c r="BZ15" s="35">
        <f t="shared" si="25"/>
        <v>195.5</v>
      </c>
      <c r="CA15" s="35">
        <f t="shared" si="25"/>
        <v>488</v>
      </c>
      <c r="CB15" s="35">
        <f>BM15</f>
        <v>2942.6000000000004</v>
      </c>
      <c r="CC15" s="35">
        <v>3270.116</v>
      </c>
      <c r="CD15" s="35">
        <v>2996.15</v>
      </c>
      <c r="CE15" s="249">
        <f>CE18+CE21+CE24</f>
        <v>2875.2699999999995</v>
      </c>
      <c r="CF15" s="249">
        <f t="shared" si="11"/>
        <v>2875.2699999999995</v>
      </c>
      <c r="CG15" s="249">
        <f>AX15</f>
        <v>2966.3</v>
      </c>
      <c r="CH15" s="249">
        <f>BM15</f>
        <v>2942.6000000000004</v>
      </c>
      <c r="CI15" s="249">
        <f>CH15</f>
        <v>2942.6000000000004</v>
      </c>
      <c r="CJ15" s="232">
        <f t="shared" si="13"/>
        <v>97.711887446475885</v>
      </c>
      <c r="CK15" s="232">
        <f t="shared" si="14"/>
        <v>100</v>
      </c>
      <c r="CL15" s="244"/>
      <c r="CM15" s="380">
        <f>CF15-D15</f>
        <v>-193.11000000000058</v>
      </c>
    </row>
    <row r="16" spans="1:91" s="146" customFormat="1" ht="15">
      <c r="A16" s="78"/>
      <c r="B16" s="83" t="s">
        <v>42</v>
      </c>
      <c r="C16" s="78" t="s">
        <v>43</v>
      </c>
      <c r="D16" s="35">
        <f>[1]B2NN!$K$16</f>
        <v>41.66553230043214</v>
      </c>
      <c r="E16" s="186">
        <f>E17/E15*10</f>
        <v>43.628894337341308</v>
      </c>
      <c r="F16" s="186">
        <f>F17/F15*10</f>
        <v>34.268656716417915</v>
      </c>
      <c r="G16" s="186">
        <f>G17/G15*10</f>
        <v>53.146607669616515</v>
      </c>
      <c r="H16" s="186">
        <f t="shared" ref="H16:R16" si="26">H17/H15*10</f>
        <v>51.628318584070797</v>
      </c>
      <c r="I16" s="186">
        <f t="shared" si="26"/>
        <v>42.775609756097559</v>
      </c>
      <c r="J16" s="186">
        <f t="shared" si="26"/>
        <v>51.401600883245933</v>
      </c>
      <c r="K16" s="186">
        <f t="shared" si="26"/>
        <v>24.356990394877265</v>
      </c>
      <c r="L16" s="186">
        <f t="shared" si="26"/>
        <v>42.007905138339922</v>
      </c>
      <c r="M16" s="186">
        <f t="shared" si="26"/>
        <v>29.051282051282051</v>
      </c>
      <c r="N16" s="186">
        <f t="shared" si="26"/>
        <v>33.470063025210081</v>
      </c>
      <c r="O16" s="186">
        <f t="shared" si="26"/>
        <v>40.484189723320156</v>
      </c>
      <c r="P16" s="186">
        <f t="shared" si="26"/>
        <v>51</v>
      </c>
      <c r="Q16" s="186">
        <f t="shared" si="26"/>
        <v>51.2</v>
      </c>
      <c r="R16" s="186">
        <f t="shared" si="26"/>
        <v>40.222646310432566</v>
      </c>
      <c r="S16" s="186">
        <f>S17/S15*10</f>
        <v>40.984969939879761</v>
      </c>
      <c r="T16" s="186">
        <f>T17/T15*10</f>
        <v>44.781116486378203</v>
      </c>
      <c r="U16" s="186">
        <f t="shared" ref="U16:AH16" si="27">U17/U15*10</f>
        <v>30.726384364820852</v>
      </c>
      <c r="V16" s="186">
        <f t="shared" si="27"/>
        <v>54.595800982800988</v>
      </c>
      <c r="W16" s="186">
        <f t="shared" si="27"/>
        <v>51.540082828282827</v>
      </c>
      <c r="X16" s="186">
        <f t="shared" si="27"/>
        <v>44.028985507246375</v>
      </c>
      <c r="Y16" s="186">
        <f t="shared" si="27"/>
        <v>52.663658736669404</v>
      </c>
      <c r="Z16" s="186">
        <f t="shared" si="27"/>
        <v>29.385729058945188</v>
      </c>
      <c r="AA16" s="186">
        <f t="shared" si="27"/>
        <v>42.470588235294116</v>
      </c>
      <c r="AB16" s="186">
        <f t="shared" si="27"/>
        <v>31.271428571428572</v>
      </c>
      <c r="AC16" s="186">
        <f t="shared" si="27"/>
        <v>32.121621621621621</v>
      </c>
      <c r="AD16" s="186">
        <f t="shared" si="27"/>
        <v>40.885375494071148</v>
      </c>
      <c r="AE16" s="186">
        <f t="shared" si="27"/>
        <v>51.499999999999993</v>
      </c>
      <c r="AF16" s="186">
        <f t="shared" si="27"/>
        <v>52</v>
      </c>
      <c r="AG16" s="186">
        <f t="shared" si="27"/>
        <v>41.866412213740453</v>
      </c>
      <c r="AH16" s="186">
        <f t="shared" si="27"/>
        <v>43.055837563451782</v>
      </c>
      <c r="AI16" s="186">
        <f>AI17/AI15*10</f>
        <v>45.440749571817172</v>
      </c>
      <c r="AJ16" s="186">
        <f t="shared" ref="AJ16:AW16" si="28">AJ17/AJ15*10</f>
        <v>42.348249027237358</v>
      </c>
      <c r="AK16" s="186">
        <f t="shared" si="28"/>
        <v>55.132825552825551</v>
      </c>
      <c r="AL16" s="186">
        <f t="shared" si="28"/>
        <v>54.497887323943665</v>
      </c>
      <c r="AM16" s="186">
        <f t="shared" si="28"/>
        <v>44.575609756097556</v>
      </c>
      <c r="AN16" s="186">
        <f t="shared" si="28"/>
        <v>54.465651346206144</v>
      </c>
      <c r="AO16" s="186">
        <f t="shared" si="28"/>
        <v>30.452557673019061</v>
      </c>
      <c r="AP16" s="186">
        <f t="shared" si="28"/>
        <v>43.08</v>
      </c>
      <c r="AQ16" s="186">
        <f t="shared" si="28"/>
        <v>31.607558139534881</v>
      </c>
      <c r="AR16" s="186">
        <f t="shared" si="28"/>
        <v>32.673678532901832</v>
      </c>
      <c r="AS16" s="186">
        <f t="shared" si="28"/>
        <v>40.885375494071148</v>
      </c>
      <c r="AT16" s="186">
        <f t="shared" si="28"/>
        <v>51.499999999999993</v>
      </c>
      <c r="AU16" s="186">
        <f t="shared" si="28"/>
        <v>52.5</v>
      </c>
      <c r="AV16" s="186">
        <f t="shared" si="28"/>
        <v>41.100508905852415</v>
      </c>
      <c r="AW16" s="186">
        <f t="shared" si="28"/>
        <v>42.07425742574258</v>
      </c>
      <c r="AX16" s="186">
        <f>AX17/AX15*10</f>
        <v>46.258170110912573</v>
      </c>
      <c r="AY16" s="186">
        <f t="shared" ref="AY16:BL16" si="29">AY17/AY15*10</f>
        <v>42.518518518518519</v>
      </c>
      <c r="AZ16" s="186">
        <f t="shared" si="29"/>
        <v>55.75</v>
      </c>
      <c r="BA16" s="186">
        <f t="shared" si="29"/>
        <v>55.090592334494772</v>
      </c>
      <c r="BB16" s="186">
        <f t="shared" si="29"/>
        <v>44.671563981042652</v>
      </c>
      <c r="BC16" s="186">
        <f t="shared" si="29"/>
        <v>54.644728260869556</v>
      </c>
      <c r="BD16" s="186">
        <f t="shared" si="29"/>
        <v>31.655755015839489</v>
      </c>
      <c r="BE16" s="35">
        <f t="shared" si="29"/>
        <v>43.08</v>
      </c>
      <c r="BF16" s="35">
        <f t="shared" si="29"/>
        <v>32.159883720930232</v>
      </c>
      <c r="BG16" s="35">
        <f t="shared" si="29"/>
        <v>33.250269687162891</v>
      </c>
      <c r="BH16" s="35">
        <f t="shared" si="29"/>
        <v>41.286561264822133</v>
      </c>
      <c r="BI16" s="35">
        <f t="shared" si="29"/>
        <v>52.5</v>
      </c>
      <c r="BJ16" s="35">
        <f t="shared" si="29"/>
        <v>53</v>
      </c>
      <c r="BK16" s="35">
        <f t="shared" si="29"/>
        <v>42.234096692111962</v>
      </c>
      <c r="BL16" s="35">
        <f t="shared" si="29"/>
        <v>44.175564681724843</v>
      </c>
      <c r="BM16" s="35">
        <f>BM17/BM15*10</f>
        <v>47.072493713042888</v>
      </c>
      <c r="BN16" s="35">
        <f t="shared" ref="BN16:CA16" si="30">BN17/BN15*10</f>
        <v>45.30508474576272</v>
      </c>
      <c r="BO16" s="35">
        <f t="shared" si="30"/>
        <v>56.150000000000006</v>
      </c>
      <c r="BP16" s="35">
        <f t="shared" si="30"/>
        <v>55.590592334494779</v>
      </c>
      <c r="BQ16" s="35">
        <f t="shared" si="30"/>
        <v>47.150818858560797</v>
      </c>
      <c r="BR16" s="35">
        <f t="shared" si="30"/>
        <v>55.149456521739133</v>
      </c>
      <c r="BS16" s="35">
        <f t="shared" si="30"/>
        <v>33.277591973244142</v>
      </c>
      <c r="BT16" s="35">
        <f t="shared" si="30"/>
        <v>43.5</v>
      </c>
      <c r="BU16" s="35">
        <f t="shared" si="30"/>
        <v>32.173529411764711</v>
      </c>
      <c r="BV16" s="35">
        <f t="shared" si="30"/>
        <v>34.729361459521094</v>
      </c>
      <c r="BW16" s="35">
        <f t="shared" si="30"/>
        <v>41.687747035573125</v>
      </c>
      <c r="BX16" s="35">
        <f t="shared" si="30"/>
        <v>53</v>
      </c>
      <c r="BY16" s="35">
        <f t="shared" si="30"/>
        <v>54</v>
      </c>
      <c r="BZ16" s="35">
        <f t="shared" si="30"/>
        <v>42.419437340153451</v>
      </c>
      <c r="CA16" s="35">
        <f t="shared" si="30"/>
        <v>44.766393442622949</v>
      </c>
      <c r="CB16" s="35">
        <f>BM16</f>
        <v>47.072493713042888</v>
      </c>
      <c r="CC16" s="35">
        <v>40.429774723587791</v>
      </c>
      <c r="CD16" s="35">
        <v>45.417973732957293</v>
      </c>
      <c r="CE16" s="186">
        <f>CE17/CE15*10</f>
        <v>46.016557485036202</v>
      </c>
      <c r="CF16" s="186">
        <f t="shared" si="11"/>
        <v>46.016557485036202</v>
      </c>
      <c r="CG16" s="186">
        <f t="shared" ref="CG16:CG38" si="31">AX16</f>
        <v>46.258170110912573</v>
      </c>
      <c r="CH16" s="186">
        <f t="shared" ref="CH16:CH52" si="32">BM16</f>
        <v>47.072493713042888</v>
      </c>
      <c r="CI16" s="186">
        <f t="shared" ref="CI16:CI38" si="33">CH16</f>
        <v>47.072493713042888</v>
      </c>
      <c r="CJ16" s="232">
        <f t="shared" si="13"/>
        <v>97.756787149532073</v>
      </c>
      <c r="CK16" s="232">
        <f t="shared" si="14"/>
        <v>100</v>
      </c>
      <c r="CL16" s="244"/>
      <c r="CM16" s="380">
        <f>CF16-D16</f>
        <v>4.3510251846040617</v>
      </c>
    </row>
    <row r="17" spans="1:91" s="146" customFormat="1" ht="15">
      <c r="A17" s="78"/>
      <c r="B17" s="83" t="s">
        <v>44</v>
      </c>
      <c r="C17" s="78" t="s">
        <v>34</v>
      </c>
      <c r="D17" s="110">
        <f>[1]B2NN!$K$17</f>
        <v>12784.568599999997</v>
      </c>
      <c r="E17" s="135">
        <f>SUM(F17:S17)</f>
        <v>12990.067000000001</v>
      </c>
      <c r="F17" s="135">
        <f>F20+F23+F26</f>
        <v>45.920000000000009</v>
      </c>
      <c r="G17" s="135">
        <f t="shared" ref="G17:S17" si="34">G20+G23+G26</f>
        <v>1081.002</v>
      </c>
      <c r="H17" s="135">
        <f t="shared" si="34"/>
        <v>1458.5</v>
      </c>
      <c r="I17" s="135">
        <f t="shared" si="34"/>
        <v>876.9</v>
      </c>
      <c r="J17" s="135">
        <f t="shared" si="34"/>
        <v>1862.28</v>
      </c>
      <c r="K17" s="135">
        <f t="shared" si="34"/>
        <v>228.22499999999999</v>
      </c>
      <c r="L17" s="135">
        <f t="shared" si="34"/>
        <v>1062.8</v>
      </c>
      <c r="M17" s="135">
        <f t="shared" si="34"/>
        <v>566.5</v>
      </c>
      <c r="N17" s="135">
        <f t="shared" si="34"/>
        <v>637.27</v>
      </c>
      <c r="O17" s="135">
        <f t="shared" si="34"/>
        <v>512.125</v>
      </c>
      <c r="P17" s="135">
        <f t="shared" si="34"/>
        <v>837.41999999999985</v>
      </c>
      <c r="Q17" s="135">
        <f t="shared" si="34"/>
        <v>985.6</v>
      </c>
      <c r="R17" s="135">
        <f t="shared" si="34"/>
        <v>790.375</v>
      </c>
      <c r="S17" s="135">
        <f t="shared" si="34"/>
        <v>2045.15</v>
      </c>
      <c r="T17" s="135">
        <f>SUM(U17:AH17)</f>
        <v>13412.84001</v>
      </c>
      <c r="U17" s="135">
        <f>U20+U23+U26</f>
        <v>94.330000000000013</v>
      </c>
      <c r="V17" s="135">
        <f t="shared" ref="V17:AH17" si="35">V20+V23+V26</f>
        <v>1111.0245500000001</v>
      </c>
      <c r="W17" s="135">
        <f t="shared" si="35"/>
        <v>1530.74046</v>
      </c>
      <c r="X17" s="135">
        <f t="shared" si="35"/>
        <v>911.4</v>
      </c>
      <c r="Y17" s="135">
        <f t="shared" si="35"/>
        <v>1925.9099999999999</v>
      </c>
      <c r="Z17" s="135">
        <f t="shared" si="35"/>
        <v>284.15999999999997</v>
      </c>
      <c r="AA17" s="135">
        <f t="shared" si="35"/>
        <v>1083</v>
      </c>
      <c r="AB17" s="135">
        <f t="shared" si="35"/>
        <v>547.25</v>
      </c>
      <c r="AC17" s="135">
        <f t="shared" si="35"/>
        <v>618.02</v>
      </c>
      <c r="AD17" s="135">
        <f t="shared" si="35"/>
        <v>517.20000000000005</v>
      </c>
      <c r="AE17" s="135">
        <f t="shared" si="35"/>
        <v>845.62999999999988</v>
      </c>
      <c r="AF17" s="135">
        <f t="shared" si="35"/>
        <v>1001</v>
      </c>
      <c r="AG17" s="135">
        <f t="shared" si="35"/>
        <v>822.67499999999995</v>
      </c>
      <c r="AH17" s="135">
        <f t="shared" si="35"/>
        <v>2120.5</v>
      </c>
      <c r="AI17" s="135">
        <f>SUM(AJ17:AW17)</f>
        <v>13530.892</v>
      </c>
      <c r="AJ17" s="135">
        <f>AJ20+AJ23+AJ26</f>
        <v>108.83500000000001</v>
      </c>
      <c r="AK17" s="135">
        <f t="shared" ref="AK17:AW17" si="36">AK20+AK23+AK26</f>
        <v>1121.953</v>
      </c>
      <c r="AL17" s="135">
        <f t="shared" si="36"/>
        <v>1547.74</v>
      </c>
      <c r="AM17" s="135">
        <f t="shared" si="36"/>
        <v>913.8</v>
      </c>
      <c r="AN17" s="135">
        <f t="shared" si="36"/>
        <v>2002.702</v>
      </c>
      <c r="AO17" s="135">
        <f t="shared" si="36"/>
        <v>303.61200000000002</v>
      </c>
      <c r="AP17" s="135">
        <f t="shared" si="36"/>
        <v>1077</v>
      </c>
      <c r="AQ17" s="135">
        <f t="shared" si="36"/>
        <v>543.65</v>
      </c>
      <c r="AR17" s="135">
        <f t="shared" si="36"/>
        <v>605.77</v>
      </c>
      <c r="AS17" s="135">
        <f t="shared" si="36"/>
        <v>517.20000000000005</v>
      </c>
      <c r="AT17" s="135">
        <f t="shared" si="36"/>
        <v>845.62999999999988</v>
      </c>
      <c r="AU17" s="135">
        <f t="shared" si="36"/>
        <v>1010.625</v>
      </c>
      <c r="AV17" s="135">
        <f t="shared" si="36"/>
        <v>807.625</v>
      </c>
      <c r="AW17" s="135">
        <f t="shared" si="36"/>
        <v>2124.75</v>
      </c>
      <c r="AX17" s="135">
        <f>SUM(AY17:BL17)</f>
        <v>13721.560999999998</v>
      </c>
      <c r="AY17" s="135">
        <f>AY20+AY23+AY26</f>
        <v>114.8</v>
      </c>
      <c r="AZ17" s="135">
        <f t="shared" ref="AZ17:BL17" si="37">AZ20+AZ23+AZ26</f>
        <v>1137.3</v>
      </c>
      <c r="BA17" s="135">
        <f t="shared" si="37"/>
        <v>1581.1</v>
      </c>
      <c r="BB17" s="135">
        <f t="shared" si="37"/>
        <v>942.57</v>
      </c>
      <c r="BC17" s="135">
        <f t="shared" si="37"/>
        <v>2010.9259999999999</v>
      </c>
      <c r="BD17" s="135">
        <f t="shared" si="37"/>
        <v>299.77999999999997</v>
      </c>
      <c r="BE17" s="110">
        <f t="shared" si="37"/>
        <v>1077</v>
      </c>
      <c r="BF17" s="110">
        <f t="shared" si="37"/>
        <v>553.15</v>
      </c>
      <c r="BG17" s="110">
        <f t="shared" si="37"/>
        <v>616.46</v>
      </c>
      <c r="BH17" s="110">
        <f t="shared" si="37"/>
        <v>522.27499999999998</v>
      </c>
      <c r="BI17" s="110">
        <f t="shared" si="37"/>
        <v>862.05</v>
      </c>
      <c r="BJ17" s="110">
        <f t="shared" si="37"/>
        <v>1022.9</v>
      </c>
      <c r="BK17" s="110">
        <f t="shared" si="37"/>
        <v>829.9</v>
      </c>
      <c r="BL17" s="110">
        <f t="shared" si="37"/>
        <v>2151.35</v>
      </c>
      <c r="BM17" s="110">
        <f>SUM(BN17:CA17)</f>
        <v>13851.552000000001</v>
      </c>
      <c r="BN17" s="110">
        <f>BN20+BN23+BN26</f>
        <v>133.65</v>
      </c>
      <c r="BO17" s="110">
        <f t="shared" ref="BO17:CA17" si="38">BO20+BO23+BO26</f>
        <v>1145.46</v>
      </c>
      <c r="BP17" s="110">
        <f t="shared" si="38"/>
        <v>1595.45</v>
      </c>
      <c r="BQ17" s="110">
        <f t="shared" si="38"/>
        <v>950.08900000000006</v>
      </c>
      <c r="BR17" s="110">
        <f t="shared" si="38"/>
        <v>2029.5</v>
      </c>
      <c r="BS17" s="110">
        <f t="shared" si="38"/>
        <v>298.5</v>
      </c>
      <c r="BT17" s="110">
        <f t="shared" si="38"/>
        <v>1087.5</v>
      </c>
      <c r="BU17" s="110">
        <f t="shared" si="38"/>
        <v>546.95000000000005</v>
      </c>
      <c r="BV17" s="110">
        <f t="shared" si="38"/>
        <v>609.15300000000002</v>
      </c>
      <c r="BW17" s="110">
        <f t="shared" si="38"/>
        <v>527.35</v>
      </c>
      <c r="BX17" s="110">
        <f t="shared" si="38"/>
        <v>871.85</v>
      </c>
      <c r="BY17" s="110">
        <f t="shared" si="38"/>
        <v>1042.2</v>
      </c>
      <c r="BZ17" s="110">
        <f t="shared" si="38"/>
        <v>829.3</v>
      </c>
      <c r="CA17" s="110">
        <f t="shared" si="38"/>
        <v>2184.6</v>
      </c>
      <c r="CB17" s="110">
        <f>BM17</f>
        <v>13851.552000000001</v>
      </c>
      <c r="CC17" s="110">
        <v>13221.005320000002</v>
      </c>
      <c r="CD17" s="110">
        <v>13607.906200000001</v>
      </c>
      <c r="CE17" s="110">
        <f>CE20+CE23+CE26</f>
        <v>13231.002724000002</v>
      </c>
      <c r="CF17" s="110">
        <f t="shared" si="11"/>
        <v>13231.002724000002</v>
      </c>
      <c r="CG17" s="110">
        <f t="shared" si="31"/>
        <v>13721.560999999998</v>
      </c>
      <c r="CH17" s="110">
        <f t="shared" si="32"/>
        <v>13851.552000000001</v>
      </c>
      <c r="CI17" s="110">
        <f t="shared" si="33"/>
        <v>13851.552000000001</v>
      </c>
      <c r="CJ17" s="232">
        <f t="shared" si="13"/>
        <v>95.520001830841778</v>
      </c>
      <c r="CK17" s="232">
        <f t="shared" si="14"/>
        <v>100</v>
      </c>
      <c r="CL17" s="131"/>
      <c r="CM17" s="381">
        <f>CF17-D17</f>
        <v>446.43412400000489</v>
      </c>
    </row>
    <row r="18" spans="1:91" s="146" customFormat="1" ht="15">
      <c r="A18" s="78"/>
      <c r="B18" s="83" t="s">
        <v>45</v>
      </c>
      <c r="C18" s="78" t="s">
        <v>41</v>
      </c>
      <c r="D18" s="35">
        <f>[1]B2NN!$K$18</f>
        <v>476.71000000000004</v>
      </c>
      <c r="E18" s="186">
        <f>SUM(F18:S18)</f>
        <v>478.4</v>
      </c>
      <c r="F18" s="186">
        <v>3.7</v>
      </c>
      <c r="G18" s="186">
        <v>101.4</v>
      </c>
      <c r="H18" s="186">
        <v>97.5</v>
      </c>
      <c r="I18" s="186">
        <v>60</v>
      </c>
      <c r="J18" s="186">
        <v>168.7</v>
      </c>
      <c r="K18" s="186">
        <v>6.7</v>
      </c>
      <c r="L18" s="186"/>
      <c r="M18" s="186"/>
      <c r="N18" s="186">
        <v>28.4</v>
      </c>
      <c r="O18" s="186"/>
      <c r="P18" s="186"/>
      <c r="Q18" s="186"/>
      <c r="R18" s="186">
        <v>12</v>
      </c>
      <c r="S18" s="186"/>
      <c r="T18" s="186">
        <f>SUM(U18:AH18)</f>
        <v>478.99999999999994</v>
      </c>
      <c r="U18" s="186">
        <v>3.7</v>
      </c>
      <c r="V18" s="186">
        <v>101.5</v>
      </c>
      <c r="W18" s="186">
        <v>98</v>
      </c>
      <c r="X18" s="186">
        <v>60</v>
      </c>
      <c r="Y18" s="186">
        <v>168.7</v>
      </c>
      <c r="Z18" s="186">
        <v>6.7</v>
      </c>
      <c r="AA18" s="186"/>
      <c r="AB18" s="186"/>
      <c r="AC18" s="186">
        <v>28.4</v>
      </c>
      <c r="AD18" s="186"/>
      <c r="AE18" s="186"/>
      <c r="AF18" s="186"/>
      <c r="AG18" s="186">
        <v>12</v>
      </c>
      <c r="AH18" s="186"/>
      <c r="AI18" s="186">
        <f>SUM(AJ18:AW18)</f>
        <v>478.99999999999994</v>
      </c>
      <c r="AJ18" s="250">
        <v>3.7</v>
      </c>
      <c r="AK18" s="250">
        <v>101.5</v>
      </c>
      <c r="AL18" s="250">
        <v>98</v>
      </c>
      <c r="AM18" s="250">
        <v>60</v>
      </c>
      <c r="AN18" s="250">
        <v>168.7</v>
      </c>
      <c r="AO18" s="250">
        <v>6.7</v>
      </c>
      <c r="AP18" s="250"/>
      <c r="AQ18" s="250"/>
      <c r="AR18" s="250">
        <v>28.4</v>
      </c>
      <c r="AS18" s="250"/>
      <c r="AT18" s="250"/>
      <c r="AU18" s="250"/>
      <c r="AV18" s="250">
        <v>12</v>
      </c>
      <c r="AW18" s="250"/>
      <c r="AX18" s="186">
        <f>SUM(AY18:BL18)</f>
        <v>483.09999999999997</v>
      </c>
      <c r="AY18" s="250">
        <v>5</v>
      </c>
      <c r="AZ18" s="250">
        <v>102</v>
      </c>
      <c r="BA18" s="250">
        <v>100</v>
      </c>
      <c r="BB18" s="250">
        <v>60</v>
      </c>
      <c r="BC18" s="250">
        <v>169</v>
      </c>
      <c r="BD18" s="250">
        <v>6.7</v>
      </c>
      <c r="BE18" s="250"/>
      <c r="BF18" s="250"/>
      <c r="BG18" s="250">
        <v>28.4</v>
      </c>
      <c r="BH18" s="250"/>
      <c r="BI18" s="250"/>
      <c r="BJ18" s="250"/>
      <c r="BK18" s="250">
        <v>12</v>
      </c>
      <c r="BL18" s="250"/>
      <c r="BM18" s="35">
        <f>SUM(BN18:CA18)</f>
        <v>483.09999999999997</v>
      </c>
      <c r="BN18" s="250">
        <v>5</v>
      </c>
      <c r="BO18" s="250">
        <v>102</v>
      </c>
      <c r="BP18" s="250">
        <v>100</v>
      </c>
      <c r="BQ18" s="250">
        <v>60</v>
      </c>
      <c r="BR18" s="250">
        <v>169</v>
      </c>
      <c r="BS18" s="250">
        <v>6.7</v>
      </c>
      <c r="BT18" s="250"/>
      <c r="BU18" s="250"/>
      <c r="BV18" s="250">
        <v>28.4</v>
      </c>
      <c r="BW18" s="250"/>
      <c r="BX18" s="250"/>
      <c r="BY18" s="250"/>
      <c r="BZ18" s="250">
        <v>12</v>
      </c>
      <c r="CA18" s="250"/>
      <c r="CB18" s="35">
        <f t="shared" ref="CB18:CB38" si="39">BM18</f>
        <v>483.09999999999997</v>
      </c>
      <c r="CC18" s="35">
        <v>476.09999999999997</v>
      </c>
      <c r="CD18" s="35">
        <v>478.99999999999989</v>
      </c>
      <c r="CE18" s="35">
        <v>455.97</v>
      </c>
      <c r="CF18" s="35">
        <f t="shared" si="11"/>
        <v>455.97</v>
      </c>
      <c r="CG18" s="35">
        <f t="shared" si="31"/>
        <v>483.09999999999997</v>
      </c>
      <c r="CH18" s="35">
        <f t="shared" si="32"/>
        <v>483.09999999999997</v>
      </c>
      <c r="CI18" s="35">
        <f t="shared" si="33"/>
        <v>483.09999999999997</v>
      </c>
      <c r="CJ18" s="232">
        <f t="shared" si="13"/>
        <v>94.384185468847051</v>
      </c>
      <c r="CK18" s="232">
        <f t="shared" si="14"/>
        <v>100</v>
      </c>
      <c r="CL18" s="131"/>
    </row>
    <row r="19" spans="1:91" s="146" customFormat="1" ht="15">
      <c r="A19" s="78"/>
      <c r="B19" s="83" t="s">
        <v>46</v>
      </c>
      <c r="C19" s="78" t="s">
        <v>43</v>
      </c>
      <c r="D19" s="35">
        <f>[1]B2NN!$K$19</f>
        <v>54.71120807199344</v>
      </c>
      <c r="E19" s="186">
        <f>E20/E18*10</f>
        <v>51.837729933110374</v>
      </c>
      <c r="F19" s="186">
        <v>48</v>
      </c>
      <c r="G19" s="186">
        <v>54.3</v>
      </c>
      <c r="H19" s="186">
        <v>53</v>
      </c>
      <c r="I19" s="186">
        <v>48.4</v>
      </c>
      <c r="J19" s="186">
        <v>52</v>
      </c>
      <c r="K19" s="186">
        <v>47.5</v>
      </c>
      <c r="L19" s="186"/>
      <c r="M19" s="186"/>
      <c r="N19" s="186">
        <v>48.5</v>
      </c>
      <c r="O19" s="186"/>
      <c r="P19" s="186"/>
      <c r="Q19" s="186"/>
      <c r="R19" s="186">
        <v>48</v>
      </c>
      <c r="S19" s="186"/>
      <c r="T19" s="186">
        <f>T20/T18*10</f>
        <v>52.969415657620054</v>
      </c>
      <c r="U19" s="186">
        <v>49</v>
      </c>
      <c r="V19" s="186">
        <v>55.697000000000003</v>
      </c>
      <c r="W19" s="186">
        <v>55.182099999999998</v>
      </c>
      <c r="X19" s="186">
        <v>48.5</v>
      </c>
      <c r="Y19" s="186">
        <v>53</v>
      </c>
      <c r="Z19" s="186">
        <v>48</v>
      </c>
      <c r="AA19" s="186"/>
      <c r="AB19" s="186"/>
      <c r="AC19" s="186">
        <v>48</v>
      </c>
      <c r="AD19" s="186"/>
      <c r="AE19" s="186"/>
      <c r="AF19" s="186"/>
      <c r="AG19" s="186">
        <v>49.5</v>
      </c>
      <c r="AH19" s="186"/>
      <c r="AI19" s="186">
        <f>AI20/AI18*10</f>
        <v>53.605824634655548</v>
      </c>
      <c r="AJ19" s="250">
        <v>50.5</v>
      </c>
      <c r="AK19" s="250">
        <v>55</v>
      </c>
      <c r="AL19" s="250">
        <v>55</v>
      </c>
      <c r="AM19" s="250">
        <v>50.5</v>
      </c>
      <c r="AN19" s="250">
        <v>54.6</v>
      </c>
      <c r="AO19" s="250">
        <v>48.6</v>
      </c>
      <c r="AP19" s="250"/>
      <c r="AQ19" s="250"/>
      <c r="AR19" s="250">
        <v>48</v>
      </c>
      <c r="AS19" s="250"/>
      <c r="AT19" s="250"/>
      <c r="AU19" s="250"/>
      <c r="AV19" s="250">
        <v>49</v>
      </c>
      <c r="AW19" s="250"/>
      <c r="AX19" s="186">
        <f>AX20/AX18*10</f>
        <v>54.693852204512517</v>
      </c>
      <c r="AY19" s="250">
        <v>51</v>
      </c>
      <c r="AZ19" s="250">
        <v>56.5</v>
      </c>
      <c r="BA19" s="250">
        <v>56.5</v>
      </c>
      <c r="BB19" s="250">
        <v>51.02</v>
      </c>
      <c r="BC19" s="250">
        <v>55.5</v>
      </c>
      <c r="BD19" s="250">
        <v>49</v>
      </c>
      <c r="BE19" s="250"/>
      <c r="BF19" s="250"/>
      <c r="BG19" s="250">
        <v>49</v>
      </c>
      <c r="BH19" s="250"/>
      <c r="BI19" s="250"/>
      <c r="BJ19" s="250"/>
      <c r="BK19" s="250">
        <v>49.5</v>
      </c>
      <c r="BL19" s="250"/>
      <c r="BM19" s="35">
        <f>BM20/BM18*10</f>
        <v>55.048437176568001</v>
      </c>
      <c r="BN19" s="250">
        <v>52</v>
      </c>
      <c r="BO19" s="250">
        <v>56.8</v>
      </c>
      <c r="BP19" s="250">
        <v>57</v>
      </c>
      <c r="BQ19" s="250">
        <v>52</v>
      </c>
      <c r="BR19" s="250">
        <v>55.5</v>
      </c>
      <c r="BS19" s="250">
        <v>50</v>
      </c>
      <c r="BT19" s="250"/>
      <c r="BU19" s="250"/>
      <c r="BV19" s="250">
        <v>49.5</v>
      </c>
      <c r="BW19" s="250"/>
      <c r="BX19" s="250"/>
      <c r="BY19" s="250"/>
      <c r="BZ19" s="250">
        <v>50</v>
      </c>
      <c r="CA19" s="250"/>
      <c r="CB19" s="35">
        <f t="shared" si="39"/>
        <v>55.048437176568001</v>
      </c>
      <c r="CC19" s="35">
        <v>51.883986557445922</v>
      </c>
      <c r="CD19" s="35">
        <v>53.69</v>
      </c>
      <c r="CE19" s="35">
        <v>53.095642257166034</v>
      </c>
      <c r="CF19" s="35">
        <f t="shared" si="11"/>
        <v>53.095642257166034</v>
      </c>
      <c r="CG19" s="35">
        <f t="shared" si="31"/>
        <v>54.693852204512517</v>
      </c>
      <c r="CH19" s="35">
        <f t="shared" si="32"/>
        <v>55.048437176568001</v>
      </c>
      <c r="CI19" s="35">
        <f t="shared" si="33"/>
        <v>55.048437176568001</v>
      </c>
      <c r="CJ19" s="232">
        <f t="shared" ref="CJ19:CJ82" si="40">CF19/CB19%</f>
        <v>96.452587903379765</v>
      </c>
      <c r="CK19" s="232">
        <f t="shared" ref="CK19:CK82" si="41">CI19/CB19%</f>
        <v>100</v>
      </c>
      <c r="CL19" s="131"/>
    </row>
    <row r="20" spans="1:91" s="146" customFormat="1" ht="15">
      <c r="A20" s="78"/>
      <c r="B20" s="83" t="s">
        <v>47</v>
      </c>
      <c r="C20" s="78" t="s">
        <v>34</v>
      </c>
      <c r="D20" s="110">
        <f>[1]B2NN!$K$20</f>
        <v>2608.1379999999995</v>
      </c>
      <c r="E20" s="135">
        <f>SUM(F20:S20)</f>
        <v>2479.9169999999999</v>
      </c>
      <c r="F20" s="135">
        <v>17.760000000000002</v>
      </c>
      <c r="G20" s="135">
        <v>550.60200000000009</v>
      </c>
      <c r="H20" s="135">
        <v>516.75</v>
      </c>
      <c r="I20" s="135">
        <v>290.39999999999998</v>
      </c>
      <c r="J20" s="135">
        <v>877.24</v>
      </c>
      <c r="K20" s="135">
        <v>31.824999999999999</v>
      </c>
      <c r="L20" s="135">
        <v>0</v>
      </c>
      <c r="M20" s="135">
        <v>0</v>
      </c>
      <c r="N20" s="135">
        <v>137.73999999999998</v>
      </c>
      <c r="O20" s="135">
        <v>0</v>
      </c>
      <c r="P20" s="135">
        <v>0</v>
      </c>
      <c r="Q20" s="135">
        <v>0</v>
      </c>
      <c r="R20" s="135">
        <v>57.6</v>
      </c>
      <c r="S20" s="135">
        <v>0</v>
      </c>
      <c r="T20" s="135">
        <f>SUM(U20:AH20)</f>
        <v>2537.2350100000003</v>
      </c>
      <c r="U20" s="135">
        <v>18.130000000000003</v>
      </c>
      <c r="V20" s="135">
        <v>565.32455000000004</v>
      </c>
      <c r="W20" s="135">
        <v>540.79045999999994</v>
      </c>
      <c r="X20" s="135">
        <v>291</v>
      </c>
      <c r="Y20" s="135">
        <v>894.1099999999999</v>
      </c>
      <c r="Z20" s="135">
        <v>32.160000000000004</v>
      </c>
      <c r="AA20" s="135">
        <v>0</v>
      </c>
      <c r="AB20" s="135">
        <v>0</v>
      </c>
      <c r="AC20" s="135">
        <v>136.32</v>
      </c>
      <c r="AD20" s="135">
        <v>0</v>
      </c>
      <c r="AE20" s="135">
        <v>0</v>
      </c>
      <c r="AF20" s="135">
        <v>0</v>
      </c>
      <c r="AG20" s="135">
        <v>59.4</v>
      </c>
      <c r="AH20" s="135">
        <v>0</v>
      </c>
      <c r="AI20" s="135">
        <f>SUM(AJ20:AW20)</f>
        <v>2567.7190000000005</v>
      </c>
      <c r="AJ20" s="191">
        <f>AJ18*AJ19/10</f>
        <v>18.685000000000002</v>
      </c>
      <c r="AK20" s="191">
        <f t="shared" ref="AK20:AW20" si="42">AK18*AK19/10</f>
        <v>558.25</v>
      </c>
      <c r="AL20" s="191">
        <f t="shared" si="42"/>
        <v>539</v>
      </c>
      <c r="AM20" s="191">
        <f t="shared" si="42"/>
        <v>303</v>
      </c>
      <c r="AN20" s="191">
        <f t="shared" si="42"/>
        <v>921.10200000000009</v>
      </c>
      <c r="AO20" s="191">
        <f t="shared" si="42"/>
        <v>32.561999999999998</v>
      </c>
      <c r="AP20" s="191">
        <f t="shared" si="42"/>
        <v>0</v>
      </c>
      <c r="AQ20" s="191">
        <f t="shared" si="42"/>
        <v>0</v>
      </c>
      <c r="AR20" s="191">
        <f t="shared" si="42"/>
        <v>136.32</v>
      </c>
      <c r="AS20" s="191">
        <f t="shared" si="42"/>
        <v>0</v>
      </c>
      <c r="AT20" s="191">
        <f t="shared" si="42"/>
        <v>0</v>
      </c>
      <c r="AU20" s="191">
        <f t="shared" si="42"/>
        <v>0</v>
      </c>
      <c r="AV20" s="191">
        <f t="shared" si="42"/>
        <v>58.8</v>
      </c>
      <c r="AW20" s="191">
        <f t="shared" si="42"/>
        <v>0</v>
      </c>
      <c r="AX20" s="135">
        <f>SUM(AY20:BL20)</f>
        <v>2642.2599999999998</v>
      </c>
      <c r="AY20" s="191">
        <f>AY18*AY19/10</f>
        <v>25.5</v>
      </c>
      <c r="AZ20" s="191">
        <f t="shared" ref="AZ20:BL20" si="43">AZ18*AZ19/10</f>
        <v>576.29999999999995</v>
      </c>
      <c r="BA20" s="191">
        <f t="shared" si="43"/>
        <v>565</v>
      </c>
      <c r="BB20" s="191">
        <f t="shared" si="43"/>
        <v>306.12</v>
      </c>
      <c r="BC20" s="191">
        <f t="shared" si="43"/>
        <v>937.95</v>
      </c>
      <c r="BD20" s="191">
        <f t="shared" si="43"/>
        <v>32.83</v>
      </c>
      <c r="BE20" s="191">
        <f t="shared" si="43"/>
        <v>0</v>
      </c>
      <c r="BF20" s="191">
        <f t="shared" si="43"/>
        <v>0</v>
      </c>
      <c r="BG20" s="191">
        <f t="shared" si="43"/>
        <v>139.16</v>
      </c>
      <c r="BH20" s="191">
        <f t="shared" si="43"/>
        <v>0</v>
      </c>
      <c r="BI20" s="191">
        <f t="shared" si="43"/>
        <v>0</v>
      </c>
      <c r="BJ20" s="191">
        <f t="shared" si="43"/>
        <v>0</v>
      </c>
      <c r="BK20" s="191">
        <f t="shared" si="43"/>
        <v>59.4</v>
      </c>
      <c r="BL20" s="191">
        <f t="shared" si="43"/>
        <v>0</v>
      </c>
      <c r="BM20" s="110">
        <f>SUM(BN20:CA20)</f>
        <v>2659.39</v>
      </c>
      <c r="BN20" s="191">
        <f>BN18*BN19/10</f>
        <v>26</v>
      </c>
      <c r="BO20" s="191">
        <f t="shared" ref="BO20:CA20" si="44">BO18*BO19/10</f>
        <v>579.3599999999999</v>
      </c>
      <c r="BP20" s="191">
        <f t="shared" si="44"/>
        <v>570</v>
      </c>
      <c r="BQ20" s="191">
        <f t="shared" si="44"/>
        <v>312</v>
      </c>
      <c r="BR20" s="191">
        <f t="shared" si="44"/>
        <v>937.95</v>
      </c>
      <c r="BS20" s="191">
        <f t="shared" si="44"/>
        <v>33.5</v>
      </c>
      <c r="BT20" s="191">
        <f t="shared" si="44"/>
        <v>0</v>
      </c>
      <c r="BU20" s="191">
        <f t="shared" si="44"/>
        <v>0</v>
      </c>
      <c r="BV20" s="191">
        <f t="shared" si="44"/>
        <v>140.57999999999998</v>
      </c>
      <c r="BW20" s="191">
        <f t="shared" si="44"/>
        <v>0</v>
      </c>
      <c r="BX20" s="191">
        <f t="shared" si="44"/>
        <v>0</v>
      </c>
      <c r="BY20" s="191">
        <f t="shared" si="44"/>
        <v>0</v>
      </c>
      <c r="BZ20" s="191">
        <f t="shared" si="44"/>
        <v>60</v>
      </c>
      <c r="CA20" s="191">
        <f t="shared" si="44"/>
        <v>0</v>
      </c>
      <c r="CB20" s="110">
        <f t="shared" si="39"/>
        <v>2659.39</v>
      </c>
      <c r="CC20" s="110">
        <v>2470.1966000000002</v>
      </c>
      <c r="CD20" s="110">
        <v>2571.9531999999999</v>
      </c>
      <c r="CE20" s="110">
        <v>2421.002</v>
      </c>
      <c r="CF20" s="110">
        <f t="shared" si="11"/>
        <v>2421.002</v>
      </c>
      <c r="CG20" s="110">
        <f t="shared" si="31"/>
        <v>2642.2599999999998</v>
      </c>
      <c r="CH20" s="110">
        <f t="shared" si="32"/>
        <v>2659.39</v>
      </c>
      <c r="CI20" s="110">
        <f t="shared" si="33"/>
        <v>2659.39</v>
      </c>
      <c r="CJ20" s="232">
        <f t="shared" si="40"/>
        <v>91.035989456228691</v>
      </c>
      <c r="CK20" s="232">
        <f t="shared" si="41"/>
        <v>100</v>
      </c>
      <c r="CL20" s="125"/>
    </row>
    <row r="21" spans="1:91" s="146" customFormat="1" ht="15">
      <c r="A21" s="78"/>
      <c r="B21" s="83" t="s">
        <v>48</v>
      </c>
      <c r="C21" s="78" t="s">
        <v>41</v>
      </c>
      <c r="D21" s="35">
        <f>[1]B2NN!$K$20</f>
        <v>2608.1379999999995</v>
      </c>
      <c r="E21" s="186">
        <f>SUM(F21:S21)</f>
        <v>1999</v>
      </c>
      <c r="F21" s="186">
        <v>4.7</v>
      </c>
      <c r="G21" s="186">
        <v>102</v>
      </c>
      <c r="H21" s="186">
        <v>180</v>
      </c>
      <c r="I21" s="186">
        <v>115</v>
      </c>
      <c r="J21" s="186">
        <v>190.6</v>
      </c>
      <c r="K21" s="186">
        <v>25</v>
      </c>
      <c r="L21" s="186">
        <v>208</v>
      </c>
      <c r="M21" s="186">
        <v>95</v>
      </c>
      <c r="N21" s="186">
        <v>77</v>
      </c>
      <c r="O21" s="186">
        <v>101.5</v>
      </c>
      <c r="P21" s="186">
        <v>164.2</v>
      </c>
      <c r="Q21" s="186">
        <v>192.5</v>
      </c>
      <c r="R21" s="186">
        <v>144.5</v>
      </c>
      <c r="S21" s="186">
        <v>399</v>
      </c>
      <c r="T21" s="186">
        <f>SUM(U21:AH21)</f>
        <v>2036.2</v>
      </c>
      <c r="U21" s="186">
        <v>12</v>
      </c>
      <c r="V21" s="186">
        <v>102</v>
      </c>
      <c r="W21" s="186">
        <v>181</v>
      </c>
      <c r="X21" s="186">
        <v>120</v>
      </c>
      <c r="Y21" s="186">
        <v>194</v>
      </c>
      <c r="Z21" s="186">
        <v>40</v>
      </c>
      <c r="AA21" s="186">
        <v>210</v>
      </c>
      <c r="AB21" s="186">
        <v>95</v>
      </c>
      <c r="AC21" s="186">
        <v>77</v>
      </c>
      <c r="AD21" s="186">
        <v>101.5</v>
      </c>
      <c r="AE21" s="186">
        <v>164.2</v>
      </c>
      <c r="AF21" s="186">
        <v>192.5</v>
      </c>
      <c r="AG21" s="186">
        <v>144.5</v>
      </c>
      <c r="AH21" s="186">
        <v>402.5</v>
      </c>
      <c r="AI21" s="186">
        <f>SUM(AJ21:AW21)</f>
        <v>2048.6999999999998</v>
      </c>
      <c r="AJ21" s="250">
        <v>17</v>
      </c>
      <c r="AK21" s="250">
        <v>102</v>
      </c>
      <c r="AL21" s="250">
        <v>181</v>
      </c>
      <c r="AM21" s="250">
        <v>120</v>
      </c>
      <c r="AN21" s="250">
        <v>196</v>
      </c>
      <c r="AO21" s="250">
        <v>43</v>
      </c>
      <c r="AP21" s="250">
        <v>210</v>
      </c>
      <c r="AQ21" s="250">
        <v>95</v>
      </c>
      <c r="AR21" s="250">
        <v>77</v>
      </c>
      <c r="AS21" s="250">
        <v>101.5</v>
      </c>
      <c r="AT21" s="250">
        <v>164.2</v>
      </c>
      <c r="AU21" s="250">
        <v>192.5</v>
      </c>
      <c r="AV21" s="250">
        <v>144.5</v>
      </c>
      <c r="AW21" s="250">
        <v>405</v>
      </c>
      <c r="AX21" s="186">
        <f>SUM(AY21:BL21)</f>
        <v>2053.1999999999998</v>
      </c>
      <c r="AY21" s="250">
        <v>17</v>
      </c>
      <c r="AZ21" s="250">
        <v>102</v>
      </c>
      <c r="BA21" s="250">
        <v>182</v>
      </c>
      <c r="BB21" s="250">
        <v>121</v>
      </c>
      <c r="BC21" s="250">
        <v>196</v>
      </c>
      <c r="BD21" s="250">
        <v>43</v>
      </c>
      <c r="BE21" s="250">
        <v>210</v>
      </c>
      <c r="BF21" s="250">
        <v>95</v>
      </c>
      <c r="BG21" s="250">
        <v>77</v>
      </c>
      <c r="BH21" s="250">
        <v>101.5</v>
      </c>
      <c r="BI21" s="250">
        <v>164.2</v>
      </c>
      <c r="BJ21" s="250">
        <v>193</v>
      </c>
      <c r="BK21" s="250">
        <v>144.5</v>
      </c>
      <c r="BL21" s="250">
        <v>407</v>
      </c>
      <c r="BM21" s="35">
        <f>SUM(BN21:CA21)</f>
        <v>2059.5</v>
      </c>
      <c r="BN21" s="250">
        <v>19.5</v>
      </c>
      <c r="BO21" s="250">
        <v>102</v>
      </c>
      <c r="BP21" s="250">
        <v>182</v>
      </c>
      <c r="BQ21" s="250">
        <v>121.5</v>
      </c>
      <c r="BR21" s="250">
        <v>196</v>
      </c>
      <c r="BS21" s="250">
        <v>43</v>
      </c>
      <c r="BT21" s="250">
        <v>210</v>
      </c>
      <c r="BU21" s="250">
        <v>95</v>
      </c>
      <c r="BV21" s="250">
        <v>77</v>
      </c>
      <c r="BW21" s="250">
        <v>101.5</v>
      </c>
      <c r="BX21" s="250">
        <v>164.5</v>
      </c>
      <c r="BY21" s="250">
        <v>193</v>
      </c>
      <c r="BZ21" s="250">
        <v>144.5</v>
      </c>
      <c r="CA21" s="250">
        <v>410</v>
      </c>
      <c r="CB21" s="35">
        <f t="shared" si="39"/>
        <v>2059.5</v>
      </c>
      <c r="CC21" s="35">
        <v>2014.0160000000001</v>
      </c>
      <c r="CD21" s="35">
        <v>2027.15</v>
      </c>
      <c r="CE21" s="35">
        <v>2044.2999999999997</v>
      </c>
      <c r="CF21" s="35">
        <f t="shared" si="11"/>
        <v>2044.2999999999997</v>
      </c>
      <c r="CG21" s="35">
        <f t="shared" si="31"/>
        <v>2053.1999999999998</v>
      </c>
      <c r="CH21" s="35">
        <f t="shared" si="32"/>
        <v>2059.5</v>
      </c>
      <c r="CI21" s="35">
        <f t="shared" si="33"/>
        <v>2059.5</v>
      </c>
      <c r="CJ21" s="232">
        <f t="shared" si="40"/>
        <v>99.261956785627575</v>
      </c>
      <c r="CK21" s="232">
        <f t="shared" si="41"/>
        <v>100</v>
      </c>
      <c r="CL21" s="125"/>
    </row>
    <row r="22" spans="1:91" s="146" customFormat="1" ht="15">
      <c r="A22" s="78"/>
      <c r="B22" s="83" t="s">
        <v>368</v>
      </c>
      <c r="C22" s="78" t="s">
        <v>43</v>
      </c>
      <c r="D22" s="35">
        <f>[1]B2NN!$K$22</f>
        <v>49.107175017165723</v>
      </c>
      <c r="E22" s="186">
        <f>E23/E21*10</f>
        <v>49.674837418709359</v>
      </c>
      <c r="F22" s="186">
        <v>48</v>
      </c>
      <c r="G22" s="186">
        <v>52</v>
      </c>
      <c r="H22" s="186">
        <v>52</v>
      </c>
      <c r="I22" s="186">
        <v>48</v>
      </c>
      <c r="J22" s="186">
        <v>51.5</v>
      </c>
      <c r="K22" s="186">
        <v>48.8</v>
      </c>
      <c r="L22" s="186">
        <v>48.5</v>
      </c>
      <c r="M22" s="186">
        <v>47</v>
      </c>
      <c r="N22" s="186">
        <v>52.4</v>
      </c>
      <c r="O22" s="186">
        <v>47.5</v>
      </c>
      <c r="P22" s="186">
        <v>51</v>
      </c>
      <c r="Q22" s="186">
        <v>51.2</v>
      </c>
      <c r="R22" s="186">
        <v>47.5</v>
      </c>
      <c r="S22" s="186">
        <v>48.5</v>
      </c>
      <c r="T22" s="186">
        <f>T23/T21*10</f>
        <v>50.5824820744524</v>
      </c>
      <c r="U22" s="186">
        <v>49</v>
      </c>
      <c r="V22" s="186">
        <v>54</v>
      </c>
      <c r="W22" s="186">
        <v>53.5</v>
      </c>
      <c r="X22" s="186">
        <v>49</v>
      </c>
      <c r="Y22" s="186">
        <v>53</v>
      </c>
      <c r="Z22" s="186">
        <v>48</v>
      </c>
      <c r="AA22" s="186">
        <v>49</v>
      </c>
      <c r="AB22" s="186">
        <v>47.5</v>
      </c>
      <c r="AC22" s="186">
        <v>49</v>
      </c>
      <c r="AD22" s="186">
        <v>48</v>
      </c>
      <c r="AE22" s="186">
        <v>51.5</v>
      </c>
      <c r="AF22" s="186">
        <v>52</v>
      </c>
      <c r="AG22" s="186">
        <v>49.5</v>
      </c>
      <c r="AH22" s="186">
        <v>50</v>
      </c>
      <c r="AI22" s="186">
        <f>AI23/AI21*10</f>
        <v>50.864806950749262</v>
      </c>
      <c r="AJ22" s="250">
        <v>49.5</v>
      </c>
      <c r="AK22" s="250">
        <v>55.265000000000001</v>
      </c>
      <c r="AL22" s="250">
        <v>55.4</v>
      </c>
      <c r="AM22" s="250">
        <v>48.4</v>
      </c>
      <c r="AN22" s="250">
        <v>55</v>
      </c>
      <c r="AO22" s="250">
        <v>48.5</v>
      </c>
      <c r="AP22" s="250">
        <v>49</v>
      </c>
      <c r="AQ22" s="250">
        <v>47.5</v>
      </c>
      <c r="AR22" s="250">
        <v>48.5</v>
      </c>
      <c r="AS22" s="250">
        <v>48</v>
      </c>
      <c r="AT22" s="250">
        <v>51.5</v>
      </c>
      <c r="AU22" s="250">
        <v>52.5</v>
      </c>
      <c r="AV22" s="250">
        <v>48.5</v>
      </c>
      <c r="AW22" s="250">
        <v>49.5</v>
      </c>
      <c r="AX22" s="186">
        <f>AX23/AX21*10</f>
        <v>51.410242548217433</v>
      </c>
      <c r="AY22" s="250">
        <v>49</v>
      </c>
      <c r="AZ22" s="250">
        <v>55</v>
      </c>
      <c r="BA22" s="250">
        <v>55.5</v>
      </c>
      <c r="BB22" s="250">
        <v>49.5</v>
      </c>
      <c r="BC22" s="250">
        <v>54.56</v>
      </c>
      <c r="BD22" s="250">
        <v>49</v>
      </c>
      <c r="BE22" s="250">
        <v>49</v>
      </c>
      <c r="BF22" s="250">
        <v>48.5</v>
      </c>
      <c r="BG22" s="250">
        <v>49</v>
      </c>
      <c r="BH22" s="250">
        <v>48.5</v>
      </c>
      <c r="BI22" s="250">
        <v>52.5</v>
      </c>
      <c r="BJ22" s="250">
        <v>53</v>
      </c>
      <c r="BK22" s="250">
        <v>50</v>
      </c>
      <c r="BL22" s="250">
        <v>50.5</v>
      </c>
      <c r="BM22" s="35">
        <f>BM23/BM21*10</f>
        <v>51.978693857732459</v>
      </c>
      <c r="BN22" s="250">
        <v>52</v>
      </c>
      <c r="BO22" s="250">
        <v>55.5</v>
      </c>
      <c r="BP22" s="250">
        <v>56</v>
      </c>
      <c r="BQ22" s="250">
        <v>50.46</v>
      </c>
      <c r="BR22" s="250">
        <v>55.5</v>
      </c>
      <c r="BS22" s="250">
        <v>50</v>
      </c>
      <c r="BT22" s="250">
        <v>49.5</v>
      </c>
      <c r="BU22" s="250">
        <v>48.1</v>
      </c>
      <c r="BV22" s="250">
        <v>49.49</v>
      </c>
      <c r="BW22" s="250">
        <v>49</v>
      </c>
      <c r="BX22" s="250">
        <v>53</v>
      </c>
      <c r="BY22" s="250">
        <v>54</v>
      </c>
      <c r="BZ22" s="250">
        <v>50</v>
      </c>
      <c r="CA22" s="250">
        <v>51</v>
      </c>
      <c r="CB22" s="35">
        <f t="shared" si="39"/>
        <v>51.978693857732459</v>
      </c>
      <c r="CC22" s="35">
        <v>50.499393847913822</v>
      </c>
      <c r="CD22" s="35">
        <v>51.604928101028534</v>
      </c>
      <c r="CE22" s="35">
        <v>50.70194552658613</v>
      </c>
      <c r="CF22" s="35">
        <f t="shared" si="11"/>
        <v>50.70194552658613</v>
      </c>
      <c r="CG22" s="35">
        <f t="shared" si="31"/>
        <v>51.410242548217433</v>
      </c>
      <c r="CH22" s="35">
        <f t="shared" si="32"/>
        <v>51.978693857732459</v>
      </c>
      <c r="CI22" s="35">
        <f t="shared" si="33"/>
        <v>51.978693857732459</v>
      </c>
      <c r="CJ22" s="232">
        <f t="shared" si="40"/>
        <v>97.543708322796959</v>
      </c>
      <c r="CK22" s="232">
        <f t="shared" si="41"/>
        <v>100</v>
      </c>
      <c r="CL22" s="125"/>
    </row>
    <row r="23" spans="1:91" s="146" customFormat="1" ht="15">
      <c r="A23" s="78"/>
      <c r="B23" s="83" t="s">
        <v>369</v>
      </c>
      <c r="C23" s="78" t="s">
        <v>34</v>
      </c>
      <c r="D23" s="110">
        <f>[1]B2NN!$K$23</f>
        <v>9369.0105999999978</v>
      </c>
      <c r="E23" s="135">
        <f>SUM(F23:S23)</f>
        <v>9930</v>
      </c>
      <c r="F23" s="135">
        <v>22.560000000000002</v>
      </c>
      <c r="G23" s="135">
        <v>530.4</v>
      </c>
      <c r="H23" s="135">
        <v>936</v>
      </c>
      <c r="I23" s="135">
        <v>552</v>
      </c>
      <c r="J23" s="135">
        <v>981.58999999999992</v>
      </c>
      <c r="K23" s="135">
        <v>122</v>
      </c>
      <c r="L23" s="135">
        <v>1008.8</v>
      </c>
      <c r="M23" s="135">
        <v>446.5</v>
      </c>
      <c r="N23" s="135">
        <v>403.47999999999996</v>
      </c>
      <c r="O23" s="135">
        <v>482.125</v>
      </c>
      <c r="P23" s="135">
        <v>837.41999999999985</v>
      </c>
      <c r="Q23" s="135">
        <v>985.6</v>
      </c>
      <c r="R23" s="135">
        <v>686.375</v>
      </c>
      <c r="S23" s="135">
        <v>1935.15</v>
      </c>
      <c r="T23" s="135">
        <f>SUM(U23:AH23)</f>
        <v>10299.605</v>
      </c>
      <c r="U23" s="135">
        <v>58.2</v>
      </c>
      <c r="V23" s="135">
        <v>545.70000000000005</v>
      </c>
      <c r="W23" s="135">
        <v>968.35</v>
      </c>
      <c r="X23" s="135">
        <v>588</v>
      </c>
      <c r="Y23" s="135">
        <v>1028.2</v>
      </c>
      <c r="Z23" s="135">
        <v>192</v>
      </c>
      <c r="AA23" s="135">
        <v>1029</v>
      </c>
      <c r="AB23" s="135">
        <v>451.25</v>
      </c>
      <c r="AC23" s="135">
        <v>377.3</v>
      </c>
      <c r="AD23" s="135">
        <v>487.2</v>
      </c>
      <c r="AE23" s="135">
        <v>845.62999999999988</v>
      </c>
      <c r="AF23" s="135">
        <v>1001</v>
      </c>
      <c r="AG23" s="135">
        <v>715.27499999999998</v>
      </c>
      <c r="AH23" s="135">
        <v>2012.5</v>
      </c>
      <c r="AI23" s="135">
        <f>SUM(AJ23:AW23)</f>
        <v>10420.673000000001</v>
      </c>
      <c r="AJ23" s="191">
        <f>AJ21*AJ22/10</f>
        <v>84.15</v>
      </c>
      <c r="AK23" s="191">
        <f t="shared" ref="AK23:AW23" si="45">AK21*AK22/10</f>
        <v>563.70299999999997</v>
      </c>
      <c r="AL23" s="191">
        <f t="shared" si="45"/>
        <v>1002.74</v>
      </c>
      <c r="AM23" s="191">
        <f t="shared" si="45"/>
        <v>580.79999999999995</v>
      </c>
      <c r="AN23" s="191">
        <f t="shared" si="45"/>
        <v>1078</v>
      </c>
      <c r="AO23" s="191">
        <f t="shared" si="45"/>
        <v>208.55</v>
      </c>
      <c r="AP23" s="191">
        <f t="shared" si="45"/>
        <v>1029</v>
      </c>
      <c r="AQ23" s="191">
        <f t="shared" si="45"/>
        <v>451.25</v>
      </c>
      <c r="AR23" s="191">
        <f t="shared" si="45"/>
        <v>373.45</v>
      </c>
      <c r="AS23" s="191">
        <f t="shared" si="45"/>
        <v>487.2</v>
      </c>
      <c r="AT23" s="191">
        <f t="shared" si="45"/>
        <v>845.62999999999988</v>
      </c>
      <c r="AU23" s="191">
        <f t="shared" si="45"/>
        <v>1010.625</v>
      </c>
      <c r="AV23" s="191">
        <f t="shared" si="45"/>
        <v>700.82500000000005</v>
      </c>
      <c r="AW23" s="191">
        <f t="shared" si="45"/>
        <v>2004.75</v>
      </c>
      <c r="AX23" s="135">
        <f>SUM(AY23:BL23)</f>
        <v>10555.551000000001</v>
      </c>
      <c r="AY23" s="191">
        <f>AY21*AY22/10</f>
        <v>83.3</v>
      </c>
      <c r="AZ23" s="191">
        <f t="shared" ref="AZ23:BL23" si="46">AZ21*AZ22/10</f>
        <v>561</v>
      </c>
      <c r="BA23" s="191">
        <f t="shared" si="46"/>
        <v>1010.1</v>
      </c>
      <c r="BB23" s="191">
        <f t="shared" si="46"/>
        <v>598.95000000000005</v>
      </c>
      <c r="BC23" s="191">
        <f t="shared" si="46"/>
        <v>1069.376</v>
      </c>
      <c r="BD23" s="191">
        <f t="shared" si="46"/>
        <v>210.7</v>
      </c>
      <c r="BE23" s="191">
        <f t="shared" si="46"/>
        <v>1029</v>
      </c>
      <c r="BF23" s="191">
        <f t="shared" si="46"/>
        <v>460.75</v>
      </c>
      <c r="BG23" s="191">
        <f t="shared" si="46"/>
        <v>377.3</v>
      </c>
      <c r="BH23" s="191">
        <f t="shared" si="46"/>
        <v>492.27499999999998</v>
      </c>
      <c r="BI23" s="191">
        <f t="shared" si="46"/>
        <v>862.05</v>
      </c>
      <c r="BJ23" s="191">
        <f t="shared" si="46"/>
        <v>1022.9</v>
      </c>
      <c r="BK23" s="191">
        <f t="shared" si="46"/>
        <v>722.5</v>
      </c>
      <c r="BL23" s="191">
        <f t="shared" si="46"/>
        <v>2055.35</v>
      </c>
      <c r="BM23" s="110">
        <f>SUM(BN23:CA23)</f>
        <v>10705.012000000001</v>
      </c>
      <c r="BN23" s="191">
        <f>BN21*BN22/10</f>
        <v>101.4</v>
      </c>
      <c r="BO23" s="191">
        <f t="shared" ref="BO23:CA23" si="47">BO21*BO22/10</f>
        <v>566.1</v>
      </c>
      <c r="BP23" s="191">
        <f t="shared" si="47"/>
        <v>1019.2</v>
      </c>
      <c r="BQ23" s="191">
        <f t="shared" si="47"/>
        <v>613.08900000000006</v>
      </c>
      <c r="BR23" s="191">
        <f t="shared" si="47"/>
        <v>1087.8</v>
      </c>
      <c r="BS23" s="191">
        <f t="shared" si="47"/>
        <v>215</v>
      </c>
      <c r="BT23" s="191">
        <f t="shared" si="47"/>
        <v>1039.5</v>
      </c>
      <c r="BU23" s="191">
        <f t="shared" si="47"/>
        <v>456.95</v>
      </c>
      <c r="BV23" s="191">
        <f t="shared" si="47"/>
        <v>381.07299999999998</v>
      </c>
      <c r="BW23" s="191">
        <f t="shared" si="47"/>
        <v>497.35</v>
      </c>
      <c r="BX23" s="191">
        <f t="shared" si="47"/>
        <v>871.85</v>
      </c>
      <c r="BY23" s="191">
        <f t="shared" si="47"/>
        <v>1042.2</v>
      </c>
      <c r="BZ23" s="191">
        <f t="shared" si="47"/>
        <v>722.5</v>
      </c>
      <c r="CA23" s="191">
        <f t="shared" si="47"/>
        <v>2091</v>
      </c>
      <c r="CB23" s="110">
        <f t="shared" si="39"/>
        <v>10705.012000000001</v>
      </c>
      <c r="CC23" s="110">
        <v>10170.658720000001</v>
      </c>
      <c r="CD23" s="110">
        <v>10461.093000000001</v>
      </c>
      <c r="CE23" s="110">
        <v>10364.998724000001</v>
      </c>
      <c r="CF23" s="110">
        <f t="shared" si="11"/>
        <v>10364.998724000001</v>
      </c>
      <c r="CG23" s="110">
        <f t="shared" si="31"/>
        <v>10555.551000000001</v>
      </c>
      <c r="CH23" s="110">
        <f t="shared" si="32"/>
        <v>10705.012000000001</v>
      </c>
      <c r="CI23" s="110">
        <f t="shared" si="33"/>
        <v>10705.012000000001</v>
      </c>
      <c r="CJ23" s="232">
        <f t="shared" si="40"/>
        <v>96.823793602473316</v>
      </c>
      <c r="CK23" s="232">
        <f t="shared" si="41"/>
        <v>100</v>
      </c>
      <c r="CL23" s="126"/>
    </row>
    <row r="24" spans="1:91" s="146" customFormat="1" ht="15">
      <c r="A24" s="78"/>
      <c r="B24" s="83" t="s">
        <v>49</v>
      </c>
      <c r="C24" s="78" t="s">
        <v>41</v>
      </c>
      <c r="D24" s="35">
        <f>[1]B2NN!$K$24</f>
        <v>683.8</v>
      </c>
      <c r="E24" s="186">
        <f>SUM(F24:S24)</f>
        <v>500</v>
      </c>
      <c r="F24" s="186">
        <v>5</v>
      </c>
      <c r="G24" s="186"/>
      <c r="H24" s="186">
        <v>5</v>
      </c>
      <c r="I24" s="186">
        <v>30</v>
      </c>
      <c r="J24" s="186">
        <v>3</v>
      </c>
      <c r="K24" s="186">
        <v>62</v>
      </c>
      <c r="L24" s="186">
        <v>45</v>
      </c>
      <c r="M24" s="186">
        <v>100</v>
      </c>
      <c r="N24" s="186">
        <v>85</v>
      </c>
      <c r="O24" s="186">
        <v>25</v>
      </c>
      <c r="P24" s="186"/>
      <c r="Q24" s="186"/>
      <c r="R24" s="186">
        <v>40</v>
      </c>
      <c r="S24" s="186">
        <v>100</v>
      </c>
      <c r="T24" s="186">
        <f>SUM(U24:AH24)</f>
        <v>480</v>
      </c>
      <c r="U24" s="186">
        <v>15</v>
      </c>
      <c r="V24" s="186"/>
      <c r="W24" s="186">
        <v>18</v>
      </c>
      <c r="X24" s="186">
        <v>27</v>
      </c>
      <c r="Y24" s="186">
        <v>3</v>
      </c>
      <c r="Z24" s="186">
        <v>50</v>
      </c>
      <c r="AA24" s="186">
        <v>45</v>
      </c>
      <c r="AB24" s="186">
        <v>80</v>
      </c>
      <c r="AC24" s="186">
        <v>87</v>
      </c>
      <c r="AD24" s="186">
        <v>25</v>
      </c>
      <c r="AE24" s="186"/>
      <c r="AF24" s="186"/>
      <c r="AG24" s="186">
        <v>40</v>
      </c>
      <c r="AH24" s="186">
        <v>90</v>
      </c>
      <c r="AI24" s="186">
        <f>SUM(AJ24:AW24)</f>
        <v>450</v>
      </c>
      <c r="AJ24" s="250">
        <v>5</v>
      </c>
      <c r="AK24" s="250"/>
      <c r="AL24" s="250">
        <v>5</v>
      </c>
      <c r="AM24" s="250">
        <v>25</v>
      </c>
      <c r="AN24" s="250">
        <v>3</v>
      </c>
      <c r="AO24" s="250">
        <v>50</v>
      </c>
      <c r="AP24" s="250">
        <v>40</v>
      </c>
      <c r="AQ24" s="250">
        <v>77</v>
      </c>
      <c r="AR24" s="250">
        <v>80</v>
      </c>
      <c r="AS24" s="250">
        <v>25</v>
      </c>
      <c r="AT24" s="250"/>
      <c r="AU24" s="250"/>
      <c r="AV24" s="250">
        <v>40</v>
      </c>
      <c r="AW24" s="250">
        <v>100</v>
      </c>
      <c r="AX24" s="186">
        <f>SUM(AY24:BL24)</f>
        <v>430</v>
      </c>
      <c r="AY24" s="250">
        <v>5</v>
      </c>
      <c r="AZ24" s="250"/>
      <c r="BA24" s="250">
        <v>5</v>
      </c>
      <c r="BB24" s="250">
        <v>30</v>
      </c>
      <c r="BC24" s="250">
        <v>3</v>
      </c>
      <c r="BD24" s="250">
        <v>45</v>
      </c>
      <c r="BE24" s="250">
        <v>40</v>
      </c>
      <c r="BF24" s="250">
        <v>77</v>
      </c>
      <c r="BG24" s="250">
        <v>80</v>
      </c>
      <c r="BH24" s="250">
        <v>25</v>
      </c>
      <c r="BI24" s="250"/>
      <c r="BJ24" s="250"/>
      <c r="BK24" s="250">
        <v>40</v>
      </c>
      <c r="BL24" s="250">
        <v>80</v>
      </c>
      <c r="BM24" s="35">
        <f>SUM(BN24:CA24)</f>
        <v>400</v>
      </c>
      <c r="BN24" s="250">
        <v>5</v>
      </c>
      <c r="BO24" s="250"/>
      <c r="BP24" s="250">
        <v>5</v>
      </c>
      <c r="BQ24" s="250">
        <v>20</v>
      </c>
      <c r="BR24" s="250">
        <v>3</v>
      </c>
      <c r="BS24" s="250">
        <v>40</v>
      </c>
      <c r="BT24" s="250">
        <v>40</v>
      </c>
      <c r="BU24" s="250">
        <v>75</v>
      </c>
      <c r="BV24" s="250">
        <v>70</v>
      </c>
      <c r="BW24" s="250">
        <v>25</v>
      </c>
      <c r="BX24" s="250"/>
      <c r="BY24" s="250"/>
      <c r="BZ24" s="250">
        <v>39</v>
      </c>
      <c r="CA24" s="250">
        <v>78</v>
      </c>
      <c r="CB24" s="35">
        <f t="shared" si="39"/>
        <v>400</v>
      </c>
      <c r="CC24" s="35">
        <v>500</v>
      </c>
      <c r="CD24" s="35">
        <v>490</v>
      </c>
      <c r="CE24" s="35">
        <v>375</v>
      </c>
      <c r="CF24" s="35">
        <f t="shared" si="11"/>
        <v>375</v>
      </c>
      <c r="CG24" s="35">
        <f t="shared" si="31"/>
        <v>430</v>
      </c>
      <c r="CH24" s="35">
        <f t="shared" si="32"/>
        <v>400</v>
      </c>
      <c r="CI24" s="35">
        <f t="shared" si="33"/>
        <v>400</v>
      </c>
      <c r="CJ24" s="232">
        <f t="shared" si="40"/>
        <v>93.75</v>
      </c>
      <c r="CK24" s="232">
        <f t="shared" si="41"/>
        <v>100</v>
      </c>
      <c r="CL24" s="125"/>
    </row>
    <row r="25" spans="1:91" s="146" customFormat="1" ht="15">
      <c r="A25" s="78"/>
      <c r="B25" s="83" t="s">
        <v>366</v>
      </c>
      <c r="C25" s="78" t="s">
        <v>43</v>
      </c>
      <c r="D25" s="35">
        <f>[1]B2NN!$K$25</f>
        <v>11.807838549283415</v>
      </c>
      <c r="E25" s="186">
        <f>E26/E24*10</f>
        <v>11.603000000000002</v>
      </c>
      <c r="F25" s="186">
        <v>11.2</v>
      </c>
      <c r="G25" s="186"/>
      <c r="H25" s="186">
        <v>11.5</v>
      </c>
      <c r="I25" s="186">
        <v>11.5</v>
      </c>
      <c r="J25" s="186">
        <v>11.5</v>
      </c>
      <c r="K25" s="186">
        <v>12</v>
      </c>
      <c r="L25" s="186">
        <v>12</v>
      </c>
      <c r="M25" s="186">
        <v>12</v>
      </c>
      <c r="N25" s="186">
        <v>11.3</v>
      </c>
      <c r="O25" s="186">
        <v>12</v>
      </c>
      <c r="P25" s="186"/>
      <c r="Q25" s="186"/>
      <c r="R25" s="186">
        <v>11.6</v>
      </c>
      <c r="S25" s="186">
        <v>11</v>
      </c>
      <c r="T25" s="186">
        <f>T26/T24*10</f>
        <v>12</v>
      </c>
      <c r="U25" s="186">
        <v>12</v>
      </c>
      <c r="V25" s="186"/>
      <c r="W25" s="186">
        <v>12</v>
      </c>
      <c r="X25" s="186">
        <v>12</v>
      </c>
      <c r="Y25" s="186">
        <v>12</v>
      </c>
      <c r="Z25" s="186">
        <v>12</v>
      </c>
      <c r="AA25" s="186">
        <v>12</v>
      </c>
      <c r="AB25" s="186">
        <v>12</v>
      </c>
      <c r="AC25" s="186">
        <v>12</v>
      </c>
      <c r="AD25" s="186">
        <v>12</v>
      </c>
      <c r="AE25" s="186"/>
      <c r="AF25" s="186"/>
      <c r="AG25" s="186">
        <v>12</v>
      </c>
      <c r="AH25" s="186">
        <v>12</v>
      </c>
      <c r="AI25" s="186">
        <f>AI26/AI24*10</f>
        <v>12.055555555555555</v>
      </c>
      <c r="AJ25" s="250">
        <v>12</v>
      </c>
      <c r="AK25" s="250"/>
      <c r="AL25" s="250">
        <v>12</v>
      </c>
      <c r="AM25" s="250">
        <v>12</v>
      </c>
      <c r="AN25" s="250">
        <v>12</v>
      </c>
      <c r="AO25" s="250">
        <v>12.5</v>
      </c>
      <c r="AP25" s="250">
        <v>12</v>
      </c>
      <c r="AQ25" s="250">
        <v>12</v>
      </c>
      <c r="AR25" s="250">
        <v>12</v>
      </c>
      <c r="AS25" s="250">
        <v>12</v>
      </c>
      <c r="AT25" s="250"/>
      <c r="AU25" s="250"/>
      <c r="AV25" s="250">
        <v>12</v>
      </c>
      <c r="AW25" s="250">
        <v>12</v>
      </c>
      <c r="AX25" s="186">
        <f>AX26/AX24*10</f>
        <v>12.180232558139535</v>
      </c>
      <c r="AY25" s="250">
        <v>12</v>
      </c>
      <c r="AZ25" s="250"/>
      <c r="BA25" s="250">
        <v>12</v>
      </c>
      <c r="BB25" s="250">
        <v>12.5</v>
      </c>
      <c r="BC25" s="250">
        <v>12</v>
      </c>
      <c r="BD25" s="250">
        <v>12.5</v>
      </c>
      <c r="BE25" s="250">
        <v>12</v>
      </c>
      <c r="BF25" s="250">
        <v>12</v>
      </c>
      <c r="BG25" s="250">
        <v>12.5</v>
      </c>
      <c r="BH25" s="250">
        <v>12</v>
      </c>
      <c r="BI25" s="250"/>
      <c r="BJ25" s="250"/>
      <c r="BK25" s="250">
        <v>12</v>
      </c>
      <c r="BL25" s="250">
        <v>12</v>
      </c>
      <c r="BM25" s="35">
        <f>BM26/BM24*10</f>
        <v>12.178750000000001</v>
      </c>
      <c r="BN25" s="250">
        <v>12.5</v>
      </c>
      <c r="BO25" s="250"/>
      <c r="BP25" s="250">
        <v>12.5</v>
      </c>
      <c r="BQ25" s="250">
        <v>12.5</v>
      </c>
      <c r="BR25" s="250">
        <v>12.5</v>
      </c>
      <c r="BS25" s="250">
        <v>12.5</v>
      </c>
      <c r="BT25" s="250">
        <v>12</v>
      </c>
      <c r="BU25" s="250">
        <v>12</v>
      </c>
      <c r="BV25" s="250">
        <v>12.5</v>
      </c>
      <c r="BW25" s="250">
        <v>12</v>
      </c>
      <c r="BX25" s="250"/>
      <c r="BY25" s="250"/>
      <c r="BZ25" s="250">
        <v>12</v>
      </c>
      <c r="CA25" s="250">
        <v>12</v>
      </c>
      <c r="CB25" s="35">
        <f t="shared" si="39"/>
        <v>12.178750000000001</v>
      </c>
      <c r="CC25" s="35">
        <v>11.603000000000002</v>
      </c>
      <c r="CD25" s="35">
        <v>11.731836734693877</v>
      </c>
      <c r="CE25" s="35">
        <v>11.866719999999999</v>
      </c>
      <c r="CF25" s="35">
        <f t="shared" si="11"/>
        <v>11.866719999999999</v>
      </c>
      <c r="CG25" s="35">
        <f t="shared" si="31"/>
        <v>12.180232558139535</v>
      </c>
      <c r="CH25" s="35">
        <f t="shared" si="32"/>
        <v>12.178750000000001</v>
      </c>
      <c r="CI25" s="35">
        <f t="shared" si="33"/>
        <v>12.178750000000001</v>
      </c>
      <c r="CJ25" s="232">
        <f t="shared" si="40"/>
        <v>97.437914400082093</v>
      </c>
      <c r="CK25" s="232">
        <f t="shared" si="41"/>
        <v>100</v>
      </c>
      <c r="CL25" s="126"/>
    </row>
    <row r="26" spans="1:91" s="146" customFormat="1" ht="15">
      <c r="A26" s="78"/>
      <c r="B26" s="83" t="s">
        <v>367</v>
      </c>
      <c r="C26" s="78" t="s">
        <v>34</v>
      </c>
      <c r="D26" s="110">
        <f>[1]B2NN!$K$26</f>
        <v>807.42</v>
      </c>
      <c r="E26" s="135">
        <f>SUM(F26:S26)</f>
        <v>580.15000000000009</v>
      </c>
      <c r="F26" s="135">
        <v>5.6</v>
      </c>
      <c r="G26" s="135">
        <v>0</v>
      </c>
      <c r="H26" s="135">
        <v>5.75</v>
      </c>
      <c r="I26" s="135">
        <v>34.5</v>
      </c>
      <c r="J26" s="135">
        <v>3.45</v>
      </c>
      <c r="K26" s="135">
        <v>74.400000000000006</v>
      </c>
      <c r="L26" s="135">
        <v>54</v>
      </c>
      <c r="M26" s="135">
        <v>120</v>
      </c>
      <c r="N26" s="135">
        <v>96.050000000000011</v>
      </c>
      <c r="O26" s="135">
        <v>30</v>
      </c>
      <c r="P26" s="135">
        <v>0</v>
      </c>
      <c r="Q26" s="135">
        <v>0</v>
      </c>
      <c r="R26" s="135">
        <v>46.4</v>
      </c>
      <c r="S26" s="135">
        <v>110</v>
      </c>
      <c r="T26" s="135">
        <f>SUM(U26:AH26)</f>
        <v>576</v>
      </c>
      <c r="U26" s="135">
        <v>18</v>
      </c>
      <c r="V26" s="135">
        <v>0</v>
      </c>
      <c r="W26" s="135">
        <v>21.6</v>
      </c>
      <c r="X26" s="135">
        <v>32.4</v>
      </c>
      <c r="Y26" s="135">
        <v>3.6</v>
      </c>
      <c r="Z26" s="135">
        <v>60</v>
      </c>
      <c r="AA26" s="135">
        <v>54</v>
      </c>
      <c r="AB26" s="135">
        <v>96</v>
      </c>
      <c r="AC26" s="135">
        <v>104.4</v>
      </c>
      <c r="AD26" s="135">
        <v>30</v>
      </c>
      <c r="AE26" s="135">
        <v>0</v>
      </c>
      <c r="AF26" s="135">
        <v>0</v>
      </c>
      <c r="AG26" s="135">
        <v>48</v>
      </c>
      <c r="AH26" s="135">
        <v>108</v>
      </c>
      <c r="AI26" s="135">
        <f>SUM(AJ26:AW26)</f>
        <v>542.5</v>
      </c>
      <c r="AJ26" s="191">
        <f>AJ24*AJ25/10</f>
        <v>6</v>
      </c>
      <c r="AK26" s="191">
        <f t="shared" ref="AK26:AW26" si="48">AK24*AK25/10</f>
        <v>0</v>
      </c>
      <c r="AL26" s="191">
        <f t="shared" si="48"/>
        <v>6</v>
      </c>
      <c r="AM26" s="191">
        <f t="shared" si="48"/>
        <v>30</v>
      </c>
      <c r="AN26" s="191">
        <f t="shared" si="48"/>
        <v>3.6</v>
      </c>
      <c r="AO26" s="191">
        <f t="shared" si="48"/>
        <v>62.5</v>
      </c>
      <c r="AP26" s="191">
        <f t="shared" si="48"/>
        <v>48</v>
      </c>
      <c r="AQ26" s="191">
        <f t="shared" si="48"/>
        <v>92.4</v>
      </c>
      <c r="AR26" s="191">
        <f t="shared" si="48"/>
        <v>96</v>
      </c>
      <c r="AS26" s="191">
        <f t="shared" si="48"/>
        <v>30</v>
      </c>
      <c r="AT26" s="191">
        <f t="shared" si="48"/>
        <v>0</v>
      </c>
      <c r="AU26" s="191">
        <f t="shared" si="48"/>
        <v>0</v>
      </c>
      <c r="AV26" s="191">
        <f t="shared" si="48"/>
        <v>48</v>
      </c>
      <c r="AW26" s="191">
        <f t="shared" si="48"/>
        <v>120</v>
      </c>
      <c r="AX26" s="135">
        <f>SUM(AY26:BL26)</f>
        <v>523.75</v>
      </c>
      <c r="AY26" s="191">
        <f>AY24*AY25/10</f>
        <v>6</v>
      </c>
      <c r="AZ26" s="191">
        <f t="shared" ref="AZ26:BL26" si="49">AZ24*AZ25/10</f>
        <v>0</v>
      </c>
      <c r="BA26" s="191">
        <f t="shared" si="49"/>
        <v>6</v>
      </c>
      <c r="BB26" s="191">
        <f t="shared" si="49"/>
        <v>37.5</v>
      </c>
      <c r="BC26" s="191">
        <f t="shared" si="49"/>
        <v>3.6</v>
      </c>
      <c r="BD26" s="191">
        <f t="shared" si="49"/>
        <v>56.25</v>
      </c>
      <c r="BE26" s="191">
        <f t="shared" si="49"/>
        <v>48</v>
      </c>
      <c r="BF26" s="191">
        <f t="shared" si="49"/>
        <v>92.4</v>
      </c>
      <c r="BG26" s="191">
        <f t="shared" si="49"/>
        <v>100</v>
      </c>
      <c r="BH26" s="191">
        <f t="shared" si="49"/>
        <v>30</v>
      </c>
      <c r="BI26" s="191">
        <f t="shared" si="49"/>
        <v>0</v>
      </c>
      <c r="BJ26" s="191">
        <f t="shared" si="49"/>
        <v>0</v>
      </c>
      <c r="BK26" s="191">
        <f t="shared" si="49"/>
        <v>48</v>
      </c>
      <c r="BL26" s="191">
        <f t="shared" si="49"/>
        <v>96</v>
      </c>
      <c r="BM26" s="110">
        <f>SUM(BN26:CA26)</f>
        <v>487.15</v>
      </c>
      <c r="BN26" s="191">
        <f>BN24*BN25/10</f>
        <v>6.25</v>
      </c>
      <c r="BO26" s="191">
        <f t="shared" ref="BO26:CA26" si="50">BO24*BO25/10</f>
        <v>0</v>
      </c>
      <c r="BP26" s="191">
        <f t="shared" si="50"/>
        <v>6.25</v>
      </c>
      <c r="BQ26" s="191">
        <f t="shared" si="50"/>
        <v>25</v>
      </c>
      <c r="BR26" s="191">
        <f t="shared" si="50"/>
        <v>3.75</v>
      </c>
      <c r="BS26" s="191">
        <f t="shared" si="50"/>
        <v>50</v>
      </c>
      <c r="BT26" s="191">
        <f t="shared" si="50"/>
        <v>48</v>
      </c>
      <c r="BU26" s="191">
        <f t="shared" si="50"/>
        <v>90</v>
      </c>
      <c r="BV26" s="191">
        <f t="shared" si="50"/>
        <v>87.5</v>
      </c>
      <c r="BW26" s="191">
        <f t="shared" si="50"/>
        <v>30</v>
      </c>
      <c r="BX26" s="191">
        <f t="shared" si="50"/>
        <v>0</v>
      </c>
      <c r="BY26" s="191">
        <f t="shared" si="50"/>
        <v>0</v>
      </c>
      <c r="BZ26" s="191">
        <f t="shared" si="50"/>
        <v>46.8</v>
      </c>
      <c r="CA26" s="191">
        <f t="shared" si="50"/>
        <v>93.6</v>
      </c>
      <c r="CB26" s="110">
        <f t="shared" si="39"/>
        <v>487.15</v>
      </c>
      <c r="CC26" s="110">
        <v>580.15000000000009</v>
      </c>
      <c r="CD26" s="110">
        <v>574.86</v>
      </c>
      <c r="CE26" s="110">
        <v>445.00200000000001</v>
      </c>
      <c r="CF26" s="110">
        <f t="shared" si="11"/>
        <v>445.00200000000001</v>
      </c>
      <c r="CG26" s="110">
        <f t="shared" si="31"/>
        <v>523.75</v>
      </c>
      <c r="CH26" s="110">
        <f t="shared" si="32"/>
        <v>487.15</v>
      </c>
      <c r="CI26" s="110">
        <f t="shared" si="33"/>
        <v>487.15</v>
      </c>
      <c r="CJ26" s="232">
        <f t="shared" si="40"/>
        <v>91.34804475007698</v>
      </c>
      <c r="CK26" s="232">
        <f t="shared" si="41"/>
        <v>99.999999999999986</v>
      </c>
      <c r="CL26" s="132"/>
    </row>
    <row r="27" spans="1:91" s="146" customFormat="1" ht="30">
      <c r="A27" s="78"/>
      <c r="B27" s="83" t="s">
        <v>50</v>
      </c>
      <c r="C27" s="78" t="s">
        <v>41</v>
      </c>
      <c r="D27" s="35">
        <f>[1]B2NN!$K$27</f>
        <v>280</v>
      </c>
      <c r="E27" s="186">
        <f>SUM(F27:S27)</f>
        <v>280</v>
      </c>
      <c r="F27" s="186"/>
      <c r="G27" s="186">
        <v>100</v>
      </c>
      <c r="H27" s="186">
        <v>80</v>
      </c>
      <c r="I27" s="186"/>
      <c r="J27" s="186">
        <v>100</v>
      </c>
      <c r="K27" s="186"/>
      <c r="L27" s="186"/>
      <c r="M27" s="186"/>
      <c r="N27" s="186"/>
      <c r="O27" s="186"/>
      <c r="P27" s="186"/>
      <c r="Q27" s="186"/>
      <c r="R27" s="186"/>
      <c r="S27" s="186"/>
      <c r="T27" s="186">
        <f>SUM(U27:AH27)</f>
        <v>280</v>
      </c>
      <c r="U27" s="186"/>
      <c r="V27" s="186">
        <v>100</v>
      </c>
      <c r="W27" s="186">
        <v>80</v>
      </c>
      <c r="X27" s="186"/>
      <c r="Y27" s="186">
        <v>100</v>
      </c>
      <c r="Z27" s="186"/>
      <c r="AA27" s="186"/>
      <c r="AB27" s="186"/>
      <c r="AC27" s="186"/>
      <c r="AD27" s="186"/>
      <c r="AE27" s="186"/>
      <c r="AF27" s="186"/>
      <c r="AG27" s="186"/>
      <c r="AH27" s="186"/>
      <c r="AI27" s="186">
        <f>SUM(AJ27:AW27)</f>
        <v>280</v>
      </c>
      <c r="AJ27" s="250"/>
      <c r="AK27" s="250">
        <v>100</v>
      </c>
      <c r="AL27" s="250">
        <v>80</v>
      </c>
      <c r="AM27" s="250"/>
      <c r="AN27" s="250">
        <v>100</v>
      </c>
      <c r="AO27" s="250"/>
      <c r="AP27" s="250"/>
      <c r="AQ27" s="250"/>
      <c r="AR27" s="250"/>
      <c r="AS27" s="250"/>
      <c r="AT27" s="250"/>
      <c r="AU27" s="250"/>
      <c r="AV27" s="250"/>
      <c r="AW27" s="250"/>
      <c r="AX27" s="186">
        <f>SUM(AY27:BL27)</f>
        <v>280</v>
      </c>
      <c r="AY27" s="250"/>
      <c r="AZ27" s="250">
        <v>100</v>
      </c>
      <c r="BA27" s="250">
        <v>80</v>
      </c>
      <c r="BB27" s="250"/>
      <c r="BC27" s="250">
        <v>100</v>
      </c>
      <c r="BD27" s="250"/>
      <c r="BE27" s="250"/>
      <c r="BF27" s="250"/>
      <c r="BG27" s="250"/>
      <c r="BH27" s="250"/>
      <c r="BI27" s="250"/>
      <c r="BJ27" s="250"/>
      <c r="BK27" s="250"/>
      <c r="BL27" s="250"/>
      <c r="BM27" s="35">
        <f>SUM(BN27:CA27)</f>
        <v>280</v>
      </c>
      <c r="BN27" s="250"/>
      <c r="BO27" s="250">
        <v>100</v>
      </c>
      <c r="BP27" s="250">
        <v>80</v>
      </c>
      <c r="BQ27" s="250"/>
      <c r="BR27" s="250">
        <v>100</v>
      </c>
      <c r="BS27" s="250"/>
      <c r="BT27" s="250"/>
      <c r="BU27" s="250"/>
      <c r="BV27" s="250"/>
      <c r="BW27" s="250"/>
      <c r="BX27" s="250"/>
      <c r="BY27" s="250"/>
      <c r="BZ27" s="250"/>
      <c r="CA27" s="250"/>
      <c r="CB27" s="35">
        <f t="shared" si="39"/>
        <v>280</v>
      </c>
      <c r="CC27" s="35">
        <v>280</v>
      </c>
      <c r="CD27" s="35">
        <v>320.3</v>
      </c>
      <c r="CE27" s="35">
        <v>320</v>
      </c>
      <c r="CF27" s="35">
        <f t="shared" si="11"/>
        <v>320</v>
      </c>
      <c r="CG27" s="35">
        <v>320</v>
      </c>
      <c r="CH27" s="35">
        <v>320</v>
      </c>
      <c r="CI27" s="35">
        <f t="shared" si="33"/>
        <v>320</v>
      </c>
      <c r="CJ27" s="232">
        <f t="shared" si="40"/>
        <v>114.28571428571429</v>
      </c>
      <c r="CK27" s="232">
        <f t="shared" si="41"/>
        <v>114.28571428571429</v>
      </c>
      <c r="CL27" s="132"/>
      <c r="CM27" s="380"/>
    </row>
    <row r="28" spans="1:91" s="146" customFormat="1" ht="15">
      <c r="A28" s="78"/>
      <c r="B28" s="83" t="s">
        <v>51</v>
      </c>
      <c r="C28" s="78" t="s">
        <v>43</v>
      </c>
      <c r="D28" s="35">
        <f>[1]B2NN!$K$28</f>
        <v>52.714285714285715</v>
      </c>
      <c r="E28" s="186">
        <f>E29/E27*10</f>
        <v>52.535714285714292</v>
      </c>
      <c r="F28" s="186"/>
      <c r="G28" s="186">
        <v>53</v>
      </c>
      <c r="H28" s="186">
        <v>52</v>
      </c>
      <c r="I28" s="186"/>
      <c r="J28" s="186">
        <v>52.5</v>
      </c>
      <c r="K28" s="186"/>
      <c r="L28" s="186"/>
      <c r="M28" s="186"/>
      <c r="N28" s="186"/>
      <c r="O28" s="186"/>
      <c r="P28" s="186"/>
      <c r="Q28" s="186"/>
      <c r="R28" s="186"/>
      <c r="S28" s="186"/>
      <c r="T28" s="186">
        <f>T29/T27*10</f>
        <v>53.321428571428569</v>
      </c>
      <c r="U28" s="186"/>
      <c r="V28" s="186">
        <v>54</v>
      </c>
      <c r="W28" s="186">
        <v>54</v>
      </c>
      <c r="X28" s="186"/>
      <c r="Y28" s="186">
        <v>52.1</v>
      </c>
      <c r="Z28" s="186"/>
      <c r="AA28" s="186"/>
      <c r="AB28" s="186"/>
      <c r="AC28" s="186"/>
      <c r="AD28" s="186"/>
      <c r="AE28" s="186"/>
      <c r="AF28" s="186"/>
      <c r="AG28" s="186"/>
      <c r="AH28" s="186"/>
      <c r="AI28" s="186">
        <f>AI29/AI27*10</f>
        <v>53.901428571428568</v>
      </c>
      <c r="AJ28" s="250"/>
      <c r="AK28" s="250">
        <v>54.3</v>
      </c>
      <c r="AL28" s="250">
        <v>54.53</v>
      </c>
      <c r="AM28" s="250"/>
      <c r="AN28" s="250">
        <v>53</v>
      </c>
      <c r="AO28" s="250"/>
      <c r="AP28" s="250"/>
      <c r="AQ28" s="250"/>
      <c r="AR28" s="250"/>
      <c r="AS28" s="250"/>
      <c r="AT28" s="250"/>
      <c r="AU28" s="250"/>
      <c r="AV28" s="250"/>
      <c r="AW28" s="250"/>
      <c r="AX28" s="186">
        <f>AX29/AX27*10</f>
        <v>54.5</v>
      </c>
      <c r="AY28" s="250"/>
      <c r="AZ28" s="250">
        <v>54.6</v>
      </c>
      <c r="BA28" s="250">
        <v>55</v>
      </c>
      <c r="BB28" s="250"/>
      <c r="BC28" s="250">
        <v>54</v>
      </c>
      <c r="BD28" s="250"/>
      <c r="BE28" s="250"/>
      <c r="BF28" s="250"/>
      <c r="BG28" s="250"/>
      <c r="BH28" s="250"/>
      <c r="BI28" s="250"/>
      <c r="BJ28" s="250"/>
      <c r="BK28" s="250"/>
      <c r="BL28" s="250"/>
      <c r="BM28" s="35">
        <f>BM29/BM27*10</f>
        <v>55.107142857142861</v>
      </c>
      <c r="BN28" s="250"/>
      <c r="BO28" s="250">
        <v>55.4</v>
      </c>
      <c r="BP28" s="250">
        <v>55.5</v>
      </c>
      <c r="BQ28" s="250"/>
      <c r="BR28" s="250">
        <v>54.5</v>
      </c>
      <c r="BS28" s="250"/>
      <c r="BT28" s="250"/>
      <c r="BU28" s="250"/>
      <c r="BV28" s="250"/>
      <c r="BW28" s="250"/>
      <c r="BX28" s="250"/>
      <c r="BY28" s="250"/>
      <c r="BZ28" s="250"/>
      <c r="CA28" s="250"/>
      <c r="CB28" s="35">
        <f t="shared" si="39"/>
        <v>55.107142857142861</v>
      </c>
      <c r="CC28" s="35">
        <v>53.446428571428577</v>
      </c>
      <c r="CD28" s="35">
        <v>50.931938807368091</v>
      </c>
      <c r="CE28" s="35">
        <v>49.999875000000003</v>
      </c>
      <c r="CF28" s="35">
        <f t="shared" si="11"/>
        <v>49.999875000000003</v>
      </c>
      <c r="CG28" s="35">
        <f t="shared" si="31"/>
        <v>54.5</v>
      </c>
      <c r="CH28" s="35">
        <f t="shared" si="32"/>
        <v>55.107142857142861</v>
      </c>
      <c r="CI28" s="35">
        <f t="shared" si="33"/>
        <v>55.107142857142861</v>
      </c>
      <c r="CJ28" s="232">
        <f t="shared" si="40"/>
        <v>90.732112767336346</v>
      </c>
      <c r="CK28" s="232">
        <f t="shared" si="41"/>
        <v>99.999999999999986</v>
      </c>
      <c r="CL28" s="132"/>
    </row>
    <row r="29" spans="1:91" s="146" customFormat="1" ht="15">
      <c r="A29" s="78"/>
      <c r="B29" s="83" t="s">
        <v>52</v>
      </c>
      <c r="C29" s="78" t="s">
        <v>34</v>
      </c>
      <c r="D29" s="110">
        <f>[1]B2NN!$K$29</f>
        <v>1476</v>
      </c>
      <c r="E29" s="135">
        <f>SUM(F29:S29)</f>
        <v>1471</v>
      </c>
      <c r="F29" s="135"/>
      <c r="G29" s="135">
        <v>530</v>
      </c>
      <c r="H29" s="135">
        <v>416</v>
      </c>
      <c r="I29" s="135">
        <v>0</v>
      </c>
      <c r="J29" s="135">
        <v>525</v>
      </c>
      <c r="K29" s="135"/>
      <c r="L29" s="135"/>
      <c r="M29" s="135"/>
      <c r="N29" s="135"/>
      <c r="O29" s="135"/>
      <c r="P29" s="135"/>
      <c r="Q29" s="135"/>
      <c r="R29" s="135"/>
      <c r="S29" s="135"/>
      <c r="T29" s="135">
        <f>SUM(U29:AH29)</f>
        <v>1493</v>
      </c>
      <c r="U29" s="135"/>
      <c r="V29" s="135">
        <f>V27*V28/10</f>
        <v>540</v>
      </c>
      <c r="W29" s="135">
        <f t="shared" ref="W29:Y29" si="51">W27*W28/10</f>
        <v>432</v>
      </c>
      <c r="X29" s="135">
        <f t="shared" si="51"/>
        <v>0</v>
      </c>
      <c r="Y29" s="135">
        <f t="shared" si="51"/>
        <v>521</v>
      </c>
      <c r="Z29" s="135"/>
      <c r="AA29" s="135"/>
      <c r="AB29" s="135"/>
      <c r="AC29" s="135"/>
      <c r="AD29" s="135"/>
      <c r="AE29" s="135"/>
      <c r="AF29" s="135"/>
      <c r="AG29" s="135"/>
      <c r="AH29" s="135"/>
      <c r="AI29" s="135">
        <f>SUM(AJ29:AW29)</f>
        <v>1509.24</v>
      </c>
      <c r="AJ29" s="191"/>
      <c r="AK29" s="191">
        <f>AK27*AK28/10</f>
        <v>543</v>
      </c>
      <c r="AL29" s="191">
        <f t="shared" ref="AL29:AN29" si="52">AL27*AL28/10</f>
        <v>436.23999999999995</v>
      </c>
      <c r="AM29" s="191">
        <f t="shared" si="52"/>
        <v>0</v>
      </c>
      <c r="AN29" s="191">
        <f t="shared" si="52"/>
        <v>530</v>
      </c>
      <c r="AO29" s="191"/>
      <c r="AP29" s="191"/>
      <c r="AQ29" s="191"/>
      <c r="AR29" s="191"/>
      <c r="AS29" s="191"/>
      <c r="AT29" s="191"/>
      <c r="AU29" s="191"/>
      <c r="AV29" s="191"/>
      <c r="AW29" s="191"/>
      <c r="AX29" s="135">
        <f>SUM(AY29:BL29)</f>
        <v>1526</v>
      </c>
      <c r="AY29" s="191"/>
      <c r="AZ29" s="191">
        <f>AZ27*AZ28/10</f>
        <v>546</v>
      </c>
      <c r="BA29" s="191">
        <f t="shared" ref="BA29:BC29" si="53">BA27*BA28/10</f>
        <v>440</v>
      </c>
      <c r="BB29" s="191">
        <f t="shared" si="53"/>
        <v>0</v>
      </c>
      <c r="BC29" s="191">
        <f t="shared" si="53"/>
        <v>540</v>
      </c>
      <c r="BD29" s="191"/>
      <c r="BE29" s="191"/>
      <c r="BF29" s="191"/>
      <c r="BG29" s="191"/>
      <c r="BH29" s="191"/>
      <c r="BI29" s="191"/>
      <c r="BJ29" s="191"/>
      <c r="BK29" s="191"/>
      <c r="BL29" s="191"/>
      <c r="BM29" s="110">
        <f>SUM(BN29:CA29)</f>
        <v>1543</v>
      </c>
      <c r="BN29" s="191"/>
      <c r="BO29" s="191">
        <f>BO27*BO28/10</f>
        <v>554</v>
      </c>
      <c r="BP29" s="191">
        <f t="shared" ref="BP29:BR29" si="54">BP27*BP28/10</f>
        <v>444</v>
      </c>
      <c r="BQ29" s="191">
        <f t="shared" si="54"/>
        <v>0</v>
      </c>
      <c r="BR29" s="191">
        <f t="shared" si="54"/>
        <v>545</v>
      </c>
      <c r="BS29" s="191"/>
      <c r="BT29" s="191"/>
      <c r="BU29" s="191"/>
      <c r="BV29" s="191"/>
      <c r="BW29" s="191"/>
      <c r="BX29" s="191"/>
      <c r="BY29" s="191"/>
      <c r="BZ29" s="191"/>
      <c r="CA29" s="191"/>
      <c r="CB29" s="110">
        <f t="shared" si="39"/>
        <v>1543</v>
      </c>
      <c r="CC29" s="110">
        <v>1496.5</v>
      </c>
      <c r="CD29" s="110">
        <v>1631.35</v>
      </c>
      <c r="CE29" s="110">
        <v>1599.9960000000001</v>
      </c>
      <c r="CF29" s="110">
        <f t="shared" si="11"/>
        <v>1599.9960000000001</v>
      </c>
      <c r="CG29" s="110">
        <f t="shared" si="31"/>
        <v>1526</v>
      </c>
      <c r="CH29" s="110">
        <f t="shared" si="32"/>
        <v>1543</v>
      </c>
      <c r="CI29" s="110">
        <f t="shared" si="33"/>
        <v>1543</v>
      </c>
      <c r="CJ29" s="232">
        <f t="shared" si="40"/>
        <v>103.69384316267013</v>
      </c>
      <c r="CK29" s="232">
        <f t="shared" si="41"/>
        <v>100</v>
      </c>
      <c r="CL29" s="131"/>
    </row>
    <row r="30" spans="1:91" s="146" customFormat="1" ht="15">
      <c r="A30" s="78"/>
      <c r="B30" s="83" t="s">
        <v>53</v>
      </c>
      <c r="C30" s="78" t="s">
        <v>41</v>
      </c>
      <c r="D30" s="35">
        <f>[1]B2NN!$K$30</f>
        <v>1916.8</v>
      </c>
      <c r="E30" s="186">
        <f>SUM(F30:S30)</f>
        <v>1495</v>
      </c>
      <c r="F30" s="186">
        <f>F33+F36</f>
        <v>12</v>
      </c>
      <c r="G30" s="186">
        <f t="shared" ref="G30:S30" si="55">G33+G36</f>
        <v>53</v>
      </c>
      <c r="H30" s="186">
        <f t="shared" si="55"/>
        <v>115</v>
      </c>
      <c r="I30" s="186">
        <f t="shared" si="55"/>
        <v>72</v>
      </c>
      <c r="J30" s="186">
        <f t="shared" si="55"/>
        <v>79</v>
      </c>
      <c r="K30" s="186">
        <f t="shared" si="55"/>
        <v>72</v>
      </c>
      <c r="L30" s="186">
        <f t="shared" si="55"/>
        <v>182</v>
      </c>
      <c r="M30" s="186">
        <f t="shared" si="55"/>
        <v>150</v>
      </c>
      <c r="N30" s="186">
        <f t="shared" si="55"/>
        <v>204</v>
      </c>
      <c r="O30" s="186">
        <f t="shared" si="55"/>
        <v>80</v>
      </c>
      <c r="P30" s="186">
        <f t="shared" si="55"/>
        <v>110</v>
      </c>
      <c r="Q30" s="186">
        <f t="shared" si="55"/>
        <v>50</v>
      </c>
      <c r="R30" s="186">
        <f t="shared" si="55"/>
        <v>105</v>
      </c>
      <c r="S30" s="186">
        <f t="shared" si="55"/>
        <v>211</v>
      </c>
      <c r="T30" s="186">
        <f>SUM(U30:AH30)</f>
        <v>1365</v>
      </c>
      <c r="U30" s="186">
        <f>U33+U36</f>
        <v>12</v>
      </c>
      <c r="V30" s="186">
        <f t="shared" ref="V30:AH30" si="56">V33+V36</f>
        <v>48</v>
      </c>
      <c r="W30" s="186">
        <f t="shared" si="56"/>
        <v>98</v>
      </c>
      <c r="X30" s="186">
        <f t="shared" si="56"/>
        <v>62</v>
      </c>
      <c r="Y30" s="186">
        <f t="shared" si="56"/>
        <v>64</v>
      </c>
      <c r="Z30" s="186">
        <f t="shared" si="56"/>
        <v>82</v>
      </c>
      <c r="AA30" s="186">
        <f t="shared" si="56"/>
        <v>177</v>
      </c>
      <c r="AB30" s="186">
        <f t="shared" si="56"/>
        <v>145</v>
      </c>
      <c r="AC30" s="186">
        <f t="shared" si="56"/>
        <v>184</v>
      </c>
      <c r="AD30" s="186">
        <f t="shared" si="56"/>
        <v>60</v>
      </c>
      <c r="AE30" s="186">
        <f t="shared" si="56"/>
        <v>93</v>
      </c>
      <c r="AF30" s="186">
        <f t="shared" si="56"/>
        <v>50</v>
      </c>
      <c r="AG30" s="186">
        <f t="shared" si="56"/>
        <v>104</v>
      </c>
      <c r="AH30" s="186">
        <f t="shared" si="56"/>
        <v>186</v>
      </c>
      <c r="AI30" s="186">
        <f>SUM(AJ30:AW30)</f>
        <v>1345</v>
      </c>
      <c r="AJ30" s="186">
        <f>AJ33+AJ36</f>
        <v>12</v>
      </c>
      <c r="AK30" s="186">
        <f t="shared" ref="AK30:AW30" si="57">AK33+AK36</f>
        <v>43</v>
      </c>
      <c r="AL30" s="186">
        <f t="shared" si="57"/>
        <v>93</v>
      </c>
      <c r="AM30" s="186">
        <f t="shared" si="57"/>
        <v>62</v>
      </c>
      <c r="AN30" s="186">
        <f t="shared" si="57"/>
        <v>63</v>
      </c>
      <c r="AO30" s="186">
        <f t="shared" si="57"/>
        <v>82</v>
      </c>
      <c r="AP30" s="186">
        <f t="shared" si="57"/>
        <v>172</v>
      </c>
      <c r="AQ30" s="186">
        <f t="shared" si="57"/>
        <v>145</v>
      </c>
      <c r="AR30" s="186">
        <f t="shared" si="57"/>
        <v>183</v>
      </c>
      <c r="AS30" s="186">
        <f t="shared" si="57"/>
        <v>60</v>
      </c>
      <c r="AT30" s="186">
        <f t="shared" si="57"/>
        <v>93</v>
      </c>
      <c r="AU30" s="186">
        <f t="shared" si="57"/>
        <v>50</v>
      </c>
      <c r="AV30" s="186">
        <f t="shared" si="57"/>
        <v>103</v>
      </c>
      <c r="AW30" s="186">
        <f t="shared" si="57"/>
        <v>184</v>
      </c>
      <c r="AX30" s="186">
        <f>SUM(AY30:BL30)</f>
        <v>1310</v>
      </c>
      <c r="AY30" s="186">
        <f>AY33+AY36</f>
        <v>12</v>
      </c>
      <c r="AZ30" s="186">
        <f t="shared" ref="AZ30:BL30" si="58">AZ33+AZ36</f>
        <v>43</v>
      </c>
      <c r="BA30" s="186">
        <f t="shared" si="58"/>
        <v>93</v>
      </c>
      <c r="BB30" s="186">
        <f t="shared" si="58"/>
        <v>62</v>
      </c>
      <c r="BC30" s="186">
        <f t="shared" si="58"/>
        <v>63</v>
      </c>
      <c r="BD30" s="186">
        <f t="shared" si="58"/>
        <v>77</v>
      </c>
      <c r="BE30" s="35">
        <f t="shared" si="58"/>
        <v>172</v>
      </c>
      <c r="BF30" s="35">
        <f t="shared" si="58"/>
        <v>145</v>
      </c>
      <c r="BG30" s="35">
        <f t="shared" si="58"/>
        <v>153</v>
      </c>
      <c r="BH30" s="35">
        <f t="shared" si="58"/>
        <v>60</v>
      </c>
      <c r="BI30" s="35">
        <f t="shared" si="58"/>
        <v>93</v>
      </c>
      <c r="BJ30" s="35">
        <f t="shared" si="58"/>
        <v>50</v>
      </c>
      <c r="BK30" s="35">
        <f t="shared" si="58"/>
        <v>103</v>
      </c>
      <c r="BL30" s="35">
        <f t="shared" si="58"/>
        <v>184</v>
      </c>
      <c r="BM30" s="35">
        <f>SUM(BN30:CA30)</f>
        <v>1310</v>
      </c>
      <c r="BN30" s="35">
        <f>BN33+BN36</f>
        <v>12</v>
      </c>
      <c r="BO30" s="35">
        <f t="shared" ref="BO30:CA30" si="59">BO33+BO36</f>
        <v>43</v>
      </c>
      <c r="BP30" s="35">
        <f t="shared" si="59"/>
        <v>93</v>
      </c>
      <c r="BQ30" s="35">
        <f t="shared" si="59"/>
        <v>62</v>
      </c>
      <c r="BR30" s="35">
        <f t="shared" si="59"/>
        <v>63</v>
      </c>
      <c r="BS30" s="35">
        <f t="shared" si="59"/>
        <v>77</v>
      </c>
      <c r="BT30" s="35">
        <f t="shared" si="59"/>
        <v>172</v>
      </c>
      <c r="BU30" s="35">
        <f t="shared" si="59"/>
        <v>145</v>
      </c>
      <c r="BV30" s="35">
        <f t="shared" si="59"/>
        <v>153</v>
      </c>
      <c r="BW30" s="35">
        <f t="shared" si="59"/>
        <v>60</v>
      </c>
      <c r="BX30" s="35">
        <f t="shared" si="59"/>
        <v>93</v>
      </c>
      <c r="BY30" s="35">
        <f t="shared" si="59"/>
        <v>50</v>
      </c>
      <c r="BZ30" s="35">
        <f t="shared" si="59"/>
        <v>103</v>
      </c>
      <c r="CA30" s="35">
        <f t="shared" si="59"/>
        <v>184</v>
      </c>
      <c r="CB30" s="35">
        <f t="shared" si="39"/>
        <v>1310</v>
      </c>
      <c r="CC30" s="35">
        <v>1562.65</v>
      </c>
      <c r="CD30" s="35">
        <v>1421.8</v>
      </c>
      <c r="CE30" s="35">
        <f>+CE33+CE36</f>
        <v>1229</v>
      </c>
      <c r="CF30" s="35">
        <f t="shared" si="11"/>
        <v>1229</v>
      </c>
      <c r="CG30" s="35">
        <f t="shared" si="31"/>
        <v>1310</v>
      </c>
      <c r="CH30" s="35">
        <f t="shared" si="32"/>
        <v>1310</v>
      </c>
      <c r="CI30" s="35">
        <f t="shared" si="33"/>
        <v>1310</v>
      </c>
      <c r="CJ30" s="232">
        <f t="shared" si="40"/>
        <v>93.81679389312977</v>
      </c>
      <c r="CK30" s="232">
        <f t="shared" si="41"/>
        <v>100</v>
      </c>
      <c r="CL30" s="192"/>
      <c r="CM30" s="380">
        <f>CF30-D30</f>
        <v>-687.8</v>
      </c>
    </row>
    <row r="31" spans="1:91" s="146" customFormat="1" ht="15">
      <c r="A31" s="78"/>
      <c r="B31" s="83" t="s">
        <v>42</v>
      </c>
      <c r="C31" s="78" t="s">
        <v>43</v>
      </c>
      <c r="D31" s="35">
        <f>[1]B2NN!$K$31</f>
        <v>30.634129799666109</v>
      </c>
      <c r="E31" s="186">
        <f>E32/E30*10</f>
        <v>29.900267558528427</v>
      </c>
      <c r="F31" s="186">
        <f t="shared" ref="F31:R31" si="60">F32/F30*10</f>
        <v>29.19166666666667</v>
      </c>
      <c r="G31" s="186">
        <f t="shared" si="60"/>
        <v>30.483018867924528</v>
      </c>
      <c r="H31" s="186">
        <f t="shared" si="60"/>
        <v>30.5</v>
      </c>
      <c r="I31" s="186">
        <f t="shared" si="60"/>
        <v>29.972222222222221</v>
      </c>
      <c r="J31" s="186">
        <f t="shared" si="60"/>
        <v>30.5</v>
      </c>
      <c r="K31" s="186">
        <f t="shared" si="60"/>
        <v>30</v>
      </c>
      <c r="L31" s="186">
        <f t="shared" si="60"/>
        <v>30</v>
      </c>
      <c r="M31" s="186">
        <f t="shared" si="60"/>
        <v>29.5</v>
      </c>
      <c r="N31" s="186">
        <f t="shared" si="60"/>
        <v>29.509803921568629</v>
      </c>
      <c r="O31" s="186">
        <f t="shared" si="60"/>
        <v>29</v>
      </c>
      <c r="P31" s="186">
        <f t="shared" si="60"/>
        <v>29.954545454545457</v>
      </c>
      <c r="Q31" s="186">
        <f t="shared" si="60"/>
        <v>30</v>
      </c>
      <c r="R31" s="186">
        <f t="shared" si="60"/>
        <v>30</v>
      </c>
      <c r="S31" s="186">
        <v>29.854368932038831</v>
      </c>
      <c r="T31" s="186">
        <f t="shared" ref="T31:AG31" si="61">T32/T30*10</f>
        <v>30.309164835164836</v>
      </c>
      <c r="U31" s="186">
        <f t="shared" si="61"/>
        <v>30</v>
      </c>
      <c r="V31" s="186">
        <f t="shared" si="61"/>
        <v>31.418750000000003</v>
      </c>
      <c r="W31" s="186">
        <f t="shared" si="61"/>
        <v>31.448061224489798</v>
      </c>
      <c r="X31" s="186">
        <f t="shared" si="61"/>
        <v>29.967741935483872</v>
      </c>
      <c r="Y31" s="186">
        <f t="shared" si="61"/>
        <v>31.4375</v>
      </c>
      <c r="Z31" s="186">
        <f t="shared" si="61"/>
        <v>30</v>
      </c>
      <c r="AA31" s="186">
        <f t="shared" si="61"/>
        <v>30</v>
      </c>
      <c r="AB31" s="186">
        <f t="shared" si="61"/>
        <v>30</v>
      </c>
      <c r="AC31" s="186">
        <f t="shared" si="61"/>
        <v>30</v>
      </c>
      <c r="AD31" s="186">
        <f t="shared" si="61"/>
        <v>29</v>
      </c>
      <c r="AE31" s="186">
        <f t="shared" si="61"/>
        <v>30.451612903225804</v>
      </c>
      <c r="AF31" s="186">
        <f t="shared" si="61"/>
        <v>31</v>
      </c>
      <c r="AG31" s="186">
        <f t="shared" si="61"/>
        <v>30</v>
      </c>
      <c r="AH31" s="186">
        <v>29.854368932038831</v>
      </c>
      <c r="AI31" s="186">
        <f t="shared" ref="AI31:AV31" si="62">AI32/AI30*10</f>
        <v>30.476654275092937</v>
      </c>
      <c r="AJ31" s="186">
        <f t="shared" si="62"/>
        <v>30.416666666666664</v>
      </c>
      <c r="AK31" s="186">
        <f t="shared" si="62"/>
        <v>31.409302325581393</v>
      </c>
      <c r="AL31" s="186">
        <f t="shared" si="62"/>
        <v>31.467741935483868</v>
      </c>
      <c r="AM31" s="186">
        <f t="shared" si="62"/>
        <v>30.451612903225808</v>
      </c>
      <c r="AN31" s="186">
        <f t="shared" si="62"/>
        <v>31.452380952380953</v>
      </c>
      <c r="AO31" s="186">
        <f t="shared" si="62"/>
        <v>30.487804878048781</v>
      </c>
      <c r="AP31" s="186">
        <f t="shared" si="62"/>
        <v>30.494186046511626</v>
      </c>
      <c r="AQ31" s="186">
        <f t="shared" si="62"/>
        <v>30.5</v>
      </c>
      <c r="AR31" s="186">
        <f t="shared" si="62"/>
        <v>30</v>
      </c>
      <c r="AS31" s="186">
        <f t="shared" si="62"/>
        <v>29</v>
      </c>
      <c r="AT31" s="186">
        <f t="shared" si="62"/>
        <v>30.451612903225804</v>
      </c>
      <c r="AU31" s="186">
        <f t="shared" si="62"/>
        <v>31</v>
      </c>
      <c r="AV31" s="186">
        <f t="shared" si="62"/>
        <v>30</v>
      </c>
      <c r="AW31" s="186">
        <v>29.854368932038831</v>
      </c>
      <c r="AX31" s="186">
        <f t="shared" ref="AX31:BK31" si="63">AX32/AX30*10</f>
        <v>30.522519083969467</v>
      </c>
      <c r="AY31" s="186">
        <f t="shared" si="63"/>
        <v>30.416666666666664</v>
      </c>
      <c r="AZ31" s="186">
        <f t="shared" si="63"/>
        <v>31.430232558139537</v>
      </c>
      <c r="BA31" s="186">
        <f t="shared" si="63"/>
        <v>31.951612903225804</v>
      </c>
      <c r="BB31" s="186">
        <f t="shared" si="63"/>
        <v>30.451612903225808</v>
      </c>
      <c r="BC31" s="186">
        <f t="shared" si="63"/>
        <v>31.452380952380953</v>
      </c>
      <c r="BD31" s="186">
        <f t="shared" si="63"/>
        <v>30.487012987012989</v>
      </c>
      <c r="BE31" s="35">
        <f t="shared" si="63"/>
        <v>30.494186046511626</v>
      </c>
      <c r="BF31" s="35">
        <f t="shared" si="63"/>
        <v>30.5</v>
      </c>
      <c r="BG31" s="35">
        <f t="shared" si="63"/>
        <v>30</v>
      </c>
      <c r="BH31" s="35">
        <f t="shared" si="63"/>
        <v>29</v>
      </c>
      <c r="BI31" s="35">
        <f t="shared" si="63"/>
        <v>30.451612903225804</v>
      </c>
      <c r="BJ31" s="35">
        <f t="shared" si="63"/>
        <v>31</v>
      </c>
      <c r="BK31" s="35">
        <f t="shared" si="63"/>
        <v>30</v>
      </c>
      <c r="BL31" s="35">
        <v>29.854368932038831</v>
      </c>
      <c r="BM31" s="35">
        <f t="shared" ref="BM31:BZ31" si="64">BM32/BM30*10</f>
        <v>30.59885496183206</v>
      </c>
      <c r="BN31" s="35">
        <f t="shared" si="64"/>
        <v>30.833333333333336</v>
      </c>
      <c r="BO31" s="35">
        <f t="shared" si="64"/>
        <v>31.895348837209305</v>
      </c>
      <c r="BP31" s="35">
        <f t="shared" si="64"/>
        <v>32.435483870967737</v>
      </c>
      <c r="BQ31" s="35">
        <f t="shared" si="64"/>
        <v>30.935483870967744</v>
      </c>
      <c r="BR31" s="35">
        <f t="shared" si="64"/>
        <v>31.452380952380953</v>
      </c>
      <c r="BS31" s="35">
        <f t="shared" si="64"/>
        <v>30.487012987012989</v>
      </c>
      <c r="BT31" s="35">
        <f t="shared" si="64"/>
        <v>30.494186046511626</v>
      </c>
      <c r="BU31" s="35">
        <f t="shared" si="64"/>
        <v>30.5</v>
      </c>
      <c r="BV31" s="35">
        <f t="shared" si="64"/>
        <v>30</v>
      </c>
      <c r="BW31" s="35">
        <f t="shared" si="64"/>
        <v>29</v>
      </c>
      <c r="BX31" s="35">
        <f t="shared" si="64"/>
        <v>30.451612903225804</v>
      </c>
      <c r="BY31" s="35">
        <f t="shared" si="64"/>
        <v>31</v>
      </c>
      <c r="BZ31" s="35">
        <f t="shared" si="64"/>
        <v>30</v>
      </c>
      <c r="CA31" s="35">
        <v>29.854368932038831</v>
      </c>
      <c r="CB31" s="35">
        <f t="shared" si="39"/>
        <v>30.59885496183206</v>
      </c>
      <c r="CC31" s="186">
        <f t="shared" ref="CC31:CF31" si="65">CC32/CC30*10</f>
        <v>29.639982721658718</v>
      </c>
      <c r="CD31" s="186">
        <f t="shared" si="65"/>
        <v>30.769658179772122</v>
      </c>
      <c r="CE31" s="186">
        <f t="shared" si="65"/>
        <v>30.324247355573636</v>
      </c>
      <c r="CF31" s="186">
        <f t="shared" si="65"/>
        <v>30.324247355573636</v>
      </c>
      <c r="CG31" s="35">
        <f t="shared" si="31"/>
        <v>30.522519083969467</v>
      </c>
      <c r="CH31" s="35">
        <f t="shared" si="32"/>
        <v>30.59885496183206</v>
      </c>
      <c r="CI31" s="35">
        <f t="shared" si="33"/>
        <v>30.59885496183206</v>
      </c>
      <c r="CJ31" s="232">
        <f t="shared" si="40"/>
        <v>99.102555940080236</v>
      </c>
      <c r="CK31" s="232">
        <f t="shared" si="41"/>
        <v>100</v>
      </c>
      <c r="CL31" s="192"/>
      <c r="CM31" s="380">
        <f>CF31-D31</f>
        <v>-0.30988244409247301</v>
      </c>
    </row>
    <row r="32" spans="1:91" s="146" customFormat="1" ht="15">
      <c r="A32" s="78"/>
      <c r="B32" s="83" t="s">
        <v>44</v>
      </c>
      <c r="C32" s="78" t="s">
        <v>34</v>
      </c>
      <c r="D32" s="110">
        <f>[1]B2NN!$K$32</f>
        <v>5871.95</v>
      </c>
      <c r="E32" s="135">
        <f>SUM(F32:S32)</f>
        <v>4470.09</v>
      </c>
      <c r="F32" s="135">
        <f>F35+F38</f>
        <v>35.03</v>
      </c>
      <c r="G32" s="135">
        <f t="shared" ref="G32:S32" si="66">G35+G38</f>
        <v>161.56</v>
      </c>
      <c r="H32" s="135">
        <f t="shared" si="66"/>
        <v>350.75</v>
      </c>
      <c r="I32" s="135">
        <f t="shared" si="66"/>
        <v>215.8</v>
      </c>
      <c r="J32" s="135">
        <f t="shared" si="66"/>
        <v>240.95</v>
      </c>
      <c r="K32" s="135">
        <f t="shared" si="66"/>
        <v>216</v>
      </c>
      <c r="L32" s="135">
        <f t="shared" si="66"/>
        <v>546</v>
      </c>
      <c r="M32" s="135">
        <f t="shared" si="66"/>
        <v>442.5</v>
      </c>
      <c r="N32" s="135">
        <f t="shared" si="66"/>
        <v>602</v>
      </c>
      <c r="O32" s="135">
        <f t="shared" si="66"/>
        <v>232</v>
      </c>
      <c r="P32" s="135">
        <f t="shared" si="66"/>
        <v>329.5</v>
      </c>
      <c r="Q32" s="135">
        <f t="shared" si="66"/>
        <v>150</v>
      </c>
      <c r="R32" s="135">
        <f t="shared" si="66"/>
        <v>315</v>
      </c>
      <c r="S32" s="135">
        <f t="shared" si="66"/>
        <v>633</v>
      </c>
      <c r="T32" s="135">
        <f>SUM(U32:AH32)</f>
        <v>4137.201</v>
      </c>
      <c r="U32" s="135">
        <f>U35+U38</f>
        <v>36</v>
      </c>
      <c r="V32" s="135">
        <f t="shared" ref="V32:AH32" si="67">V35+V38</f>
        <v>150.81</v>
      </c>
      <c r="W32" s="135">
        <f t="shared" si="67"/>
        <v>308.19100000000003</v>
      </c>
      <c r="X32" s="135">
        <f t="shared" si="67"/>
        <v>185.8</v>
      </c>
      <c r="Y32" s="135">
        <f t="shared" si="67"/>
        <v>201.2</v>
      </c>
      <c r="Z32" s="135">
        <f t="shared" si="67"/>
        <v>246</v>
      </c>
      <c r="AA32" s="135">
        <f t="shared" si="67"/>
        <v>531</v>
      </c>
      <c r="AB32" s="135">
        <f t="shared" si="67"/>
        <v>435</v>
      </c>
      <c r="AC32" s="135">
        <f t="shared" si="67"/>
        <v>552</v>
      </c>
      <c r="AD32" s="135">
        <f t="shared" si="67"/>
        <v>174</v>
      </c>
      <c r="AE32" s="135">
        <f t="shared" si="67"/>
        <v>283.2</v>
      </c>
      <c r="AF32" s="135">
        <f t="shared" si="67"/>
        <v>155</v>
      </c>
      <c r="AG32" s="135">
        <f t="shared" si="67"/>
        <v>312</v>
      </c>
      <c r="AH32" s="135">
        <f t="shared" si="67"/>
        <v>567</v>
      </c>
      <c r="AI32" s="135">
        <f>SUM(AJ32:AW32)</f>
        <v>4099.1099999999997</v>
      </c>
      <c r="AJ32" s="135">
        <f>AJ35+AJ38</f>
        <v>36.5</v>
      </c>
      <c r="AK32" s="135">
        <f t="shared" ref="AK32:AW32" si="68">AK35+AK38</f>
        <v>135.06</v>
      </c>
      <c r="AL32" s="135">
        <f t="shared" si="68"/>
        <v>292.64999999999998</v>
      </c>
      <c r="AM32" s="135">
        <f t="shared" si="68"/>
        <v>188.8</v>
      </c>
      <c r="AN32" s="135">
        <f t="shared" si="68"/>
        <v>198.15</v>
      </c>
      <c r="AO32" s="135">
        <f t="shared" si="68"/>
        <v>250</v>
      </c>
      <c r="AP32" s="135">
        <f t="shared" si="68"/>
        <v>524.5</v>
      </c>
      <c r="AQ32" s="135">
        <f t="shared" si="68"/>
        <v>442.25</v>
      </c>
      <c r="AR32" s="135">
        <f t="shared" si="68"/>
        <v>549</v>
      </c>
      <c r="AS32" s="135">
        <f t="shared" si="68"/>
        <v>174</v>
      </c>
      <c r="AT32" s="135">
        <f t="shared" si="68"/>
        <v>283.2</v>
      </c>
      <c r="AU32" s="135">
        <f t="shared" si="68"/>
        <v>155</v>
      </c>
      <c r="AV32" s="135">
        <f t="shared" si="68"/>
        <v>309</v>
      </c>
      <c r="AW32" s="135">
        <f t="shared" si="68"/>
        <v>561</v>
      </c>
      <c r="AX32" s="135">
        <f>SUM(AY32:BL32)</f>
        <v>3998.45</v>
      </c>
      <c r="AY32" s="135">
        <f>AY35+AY38</f>
        <v>36.5</v>
      </c>
      <c r="AZ32" s="135">
        <f t="shared" ref="AZ32:BL32" si="69">AZ35+AZ38</f>
        <v>135.15</v>
      </c>
      <c r="BA32" s="135">
        <f t="shared" si="69"/>
        <v>297.14999999999998</v>
      </c>
      <c r="BB32" s="135">
        <f t="shared" si="69"/>
        <v>188.8</v>
      </c>
      <c r="BC32" s="135">
        <f t="shared" si="69"/>
        <v>198.15</v>
      </c>
      <c r="BD32" s="135">
        <f t="shared" si="69"/>
        <v>234.75</v>
      </c>
      <c r="BE32" s="110">
        <f t="shared" si="69"/>
        <v>524.5</v>
      </c>
      <c r="BF32" s="110">
        <f t="shared" si="69"/>
        <v>442.25</v>
      </c>
      <c r="BG32" s="110">
        <f t="shared" si="69"/>
        <v>459</v>
      </c>
      <c r="BH32" s="110">
        <f t="shared" si="69"/>
        <v>174</v>
      </c>
      <c r="BI32" s="110">
        <f t="shared" si="69"/>
        <v>283.2</v>
      </c>
      <c r="BJ32" s="110">
        <f t="shared" si="69"/>
        <v>155</v>
      </c>
      <c r="BK32" s="110">
        <f t="shared" si="69"/>
        <v>309</v>
      </c>
      <c r="BL32" s="110">
        <f t="shared" si="69"/>
        <v>561</v>
      </c>
      <c r="BM32" s="110">
        <f>SUM(BN32:CA32)</f>
        <v>4008.45</v>
      </c>
      <c r="BN32" s="110">
        <f>BN35+BN38</f>
        <v>37</v>
      </c>
      <c r="BO32" s="110">
        <f t="shared" ref="BO32:CA32" si="70">BO35+BO38</f>
        <v>137.15</v>
      </c>
      <c r="BP32" s="110">
        <f t="shared" si="70"/>
        <v>301.64999999999998</v>
      </c>
      <c r="BQ32" s="110">
        <f t="shared" si="70"/>
        <v>191.8</v>
      </c>
      <c r="BR32" s="110">
        <f t="shared" si="70"/>
        <v>198.15</v>
      </c>
      <c r="BS32" s="110">
        <f t="shared" si="70"/>
        <v>234.75</v>
      </c>
      <c r="BT32" s="110">
        <f t="shared" si="70"/>
        <v>524.5</v>
      </c>
      <c r="BU32" s="110">
        <f t="shared" si="70"/>
        <v>442.25</v>
      </c>
      <c r="BV32" s="110">
        <f t="shared" si="70"/>
        <v>459</v>
      </c>
      <c r="BW32" s="110">
        <f t="shared" si="70"/>
        <v>174</v>
      </c>
      <c r="BX32" s="110">
        <f t="shared" si="70"/>
        <v>283.2</v>
      </c>
      <c r="BY32" s="110">
        <f t="shared" si="70"/>
        <v>155</v>
      </c>
      <c r="BZ32" s="110">
        <f t="shared" si="70"/>
        <v>309</v>
      </c>
      <c r="CA32" s="110">
        <f t="shared" si="70"/>
        <v>561</v>
      </c>
      <c r="CB32" s="110">
        <f t="shared" si="39"/>
        <v>4008.45</v>
      </c>
      <c r="CC32" s="110">
        <v>4631.6918999999998</v>
      </c>
      <c r="CD32" s="110">
        <v>4374.83</v>
      </c>
      <c r="CE32" s="110">
        <f>CE35+CE38</f>
        <v>3726.85</v>
      </c>
      <c r="CF32" s="110">
        <f>+CF35+CF38</f>
        <v>3726.85</v>
      </c>
      <c r="CG32" s="110">
        <f t="shared" si="31"/>
        <v>3998.45</v>
      </c>
      <c r="CH32" s="110">
        <f t="shared" si="32"/>
        <v>4008.45</v>
      </c>
      <c r="CI32" s="110">
        <f t="shared" si="33"/>
        <v>4008.45</v>
      </c>
      <c r="CJ32" s="232">
        <f t="shared" si="40"/>
        <v>92.974840649128723</v>
      </c>
      <c r="CK32" s="232">
        <f t="shared" si="41"/>
        <v>100</v>
      </c>
      <c r="CL32" s="131"/>
    </row>
    <row r="33" spans="1:90" s="146" customFormat="1" ht="15">
      <c r="A33" s="78"/>
      <c r="B33" s="83" t="s">
        <v>54</v>
      </c>
      <c r="C33" s="78" t="s">
        <v>41</v>
      </c>
      <c r="D33" s="35">
        <f>[1]B2NN!$K$33</f>
        <v>1740</v>
      </c>
      <c r="E33" s="186">
        <f>SUM(F33:S33)</f>
        <v>1455</v>
      </c>
      <c r="F33" s="186">
        <v>10</v>
      </c>
      <c r="G33" s="186">
        <v>50</v>
      </c>
      <c r="H33" s="186">
        <v>110</v>
      </c>
      <c r="I33" s="186">
        <v>70</v>
      </c>
      <c r="J33" s="186">
        <v>75</v>
      </c>
      <c r="K33" s="186">
        <v>70</v>
      </c>
      <c r="L33" s="186">
        <v>180</v>
      </c>
      <c r="M33" s="186">
        <v>150</v>
      </c>
      <c r="N33" s="186">
        <v>200</v>
      </c>
      <c r="O33" s="186">
        <v>80</v>
      </c>
      <c r="P33" s="186">
        <v>105</v>
      </c>
      <c r="Q33" s="186">
        <v>50</v>
      </c>
      <c r="R33" s="186">
        <v>100</v>
      </c>
      <c r="S33" s="186">
        <v>205</v>
      </c>
      <c r="T33" s="186">
        <f>SUM(U33:AH33)</f>
        <v>1330</v>
      </c>
      <c r="U33" s="250">
        <v>10</v>
      </c>
      <c r="V33" s="250">
        <v>45</v>
      </c>
      <c r="W33" s="250">
        <v>95</v>
      </c>
      <c r="X33" s="250">
        <v>60</v>
      </c>
      <c r="Y33" s="250">
        <v>60</v>
      </c>
      <c r="Z33" s="250">
        <v>80</v>
      </c>
      <c r="AA33" s="250">
        <v>175</v>
      </c>
      <c r="AB33" s="250">
        <v>145</v>
      </c>
      <c r="AC33" s="250">
        <v>180</v>
      </c>
      <c r="AD33" s="250">
        <v>60</v>
      </c>
      <c r="AE33" s="250">
        <v>90</v>
      </c>
      <c r="AF33" s="250">
        <v>50</v>
      </c>
      <c r="AG33" s="250">
        <v>100</v>
      </c>
      <c r="AH33" s="250">
        <v>180</v>
      </c>
      <c r="AI33" s="186">
        <f>SUM(AJ33:AW33)</f>
        <v>1315</v>
      </c>
      <c r="AJ33" s="250">
        <v>10</v>
      </c>
      <c r="AK33" s="250">
        <v>40</v>
      </c>
      <c r="AL33" s="250">
        <v>90</v>
      </c>
      <c r="AM33" s="250">
        <v>60</v>
      </c>
      <c r="AN33" s="250">
        <v>60</v>
      </c>
      <c r="AO33" s="250">
        <v>80</v>
      </c>
      <c r="AP33" s="250">
        <v>170</v>
      </c>
      <c r="AQ33" s="250">
        <v>145</v>
      </c>
      <c r="AR33" s="250">
        <v>180</v>
      </c>
      <c r="AS33" s="250">
        <v>60</v>
      </c>
      <c r="AT33" s="250">
        <v>90</v>
      </c>
      <c r="AU33" s="250">
        <v>50</v>
      </c>
      <c r="AV33" s="250">
        <v>100</v>
      </c>
      <c r="AW33" s="250">
        <v>180</v>
      </c>
      <c r="AX33" s="186">
        <f>SUM(AY33:BL33)</f>
        <v>1280</v>
      </c>
      <c r="AY33" s="250">
        <v>10</v>
      </c>
      <c r="AZ33" s="250">
        <v>40</v>
      </c>
      <c r="BA33" s="250">
        <v>90</v>
      </c>
      <c r="BB33" s="250">
        <v>60</v>
      </c>
      <c r="BC33" s="250">
        <v>60</v>
      </c>
      <c r="BD33" s="250">
        <v>75</v>
      </c>
      <c r="BE33" s="250">
        <v>170</v>
      </c>
      <c r="BF33" s="250">
        <v>145</v>
      </c>
      <c r="BG33" s="250">
        <v>150</v>
      </c>
      <c r="BH33" s="250">
        <v>60</v>
      </c>
      <c r="BI33" s="250">
        <v>90</v>
      </c>
      <c r="BJ33" s="250">
        <v>50</v>
      </c>
      <c r="BK33" s="250">
        <v>100</v>
      </c>
      <c r="BL33" s="250">
        <v>180</v>
      </c>
      <c r="BM33" s="35">
        <f>SUM(BN33:CA33)</f>
        <v>1280</v>
      </c>
      <c r="BN33" s="250">
        <v>10</v>
      </c>
      <c r="BO33" s="250">
        <v>40</v>
      </c>
      <c r="BP33" s="250">
        <v>90</v>
      </c>
      <c r="BQ33" s="250">
        <v>60</v>
      </c>
      <c r="BR33" s="250">
        <v>60</v>
      </c>
      <c r="BS33" s="250">
        <v>75</v>
      </c>
      <c r="BT33" s="250">
        <v>170</v>
      </c>
      <c r="BU33" s="250">
        <v>145</v>
      </c>
      <c r="BV33" s="250">
        <v>150</v>
      </c>
      <c r="BW33" s="250">
        <v>60</v>
      </c>
      <c r="BX33" s="250">
        <v>90</v>
      </c>
      <c r="BY33" s="250">
        <v>50</v>
      </c>
      <c r="BZ33" s="250">
        <v>100</v>
      </c>
      <c r="CA33" s="250">
        <v>180</v>
      </c>
      <c r="CB33" s="35">
        <f t="shared" si="39"/>
        <v>1280</v>
      </c>
      <c r="CC33" s="35">
        <v>1455</v>
      </c>
      <c r="CD33" s="35">
        <v>1367.5</v>
      </c>
      <c r="CE33" s="35">
        <v>1214</v>
      </c>
      <c r="CF33" s="35">
        <f t="shared" si="11"/>
        <v>1214</v>
      </c>
      <c r="CG33" s="35">
        <f t="shared" si="31"/>
        <v>1280</v>
      </c>
      <c r="CH33" s="35">
        <f t="shared" si="32"/>
        <v>1280</v>
      </c>
      <c r="CI33" s="35">
        <f t="shared" si="33"/>
        <v>1280</v>
      </c>
      <c r="CJ33" s="232">
        <f t="shared" si="40"/>
        <v>94.84375</v>
      </c>
      <c r="CK33" s="232">
        <f t="shared" si="41"/>
        <v>100</v>
      </c>
      <c r="CL33" s="131"/>
    </row>
    <row r="34" spans="1:90" s="146" customFormat="1" ht="15">
      <c r="A34" s="78"/>
      <c r="B34" s="83" t="s">
        <v>46</v>
      </c>
      <c r="C34" s="78" t="s">
        <v>43</v>
      </c>
      <c r="D34" s="35">
        <f>[1]B2NN!$K$34</f>
        <v>31.439655172413794</v>
      </c>
      <c r="E34" s="186">
        <f>E35/E33*10</f>
        <v>29.898831615120272</v>
      </c>
      <c r="F34" s="186">
        <v>29.03</v>
      </c>
      <c r="G34" s="186">
        <v>30.5</v>
      </c>
      <c r="H34" s="186">
        <v>30.5</v>
      </c>
      <c r="I34" s="186">
        <v>30</v>
      </c>
      <c r="J34" s="186">
        <v>30.5</v>
      </c>
      <c r="K34" s="186">
        <v>30</v>
      </c>
      <c r="L34" s="186">
        <v>30</v>
      </c>
      <c r="M34" s="186">
        <v>29.5</v>
      </c>
      <c r="N34" s="186">
        <v>29.5</v>
      </c>
      <c r="O34" s="186">
        <v>29</v>
      </c>
      <c r="P34" s="186">
        <v>30</v>
      </c>
      <c r="Q34" s="186">
        <v>30</v>
      </c>
      <c r="R34" s="186">
        <v>30</v>
      </c>
      <c r="S34" s="186">
        <v>30</v>
      </c>
      <c r="T34" s="186">
        <f>T35/T33*10</f>
        <v>30.317977443609024</v>
      </c>
      <c r="U34" s="186">
        <v>30</v>
      </c>
      <c r="V34" s="186">
        <v>31.5</v>
      </c>
      <c r="W34" s="186">
        <v>31.478000000000002</v>
      </c>
      <c r="X34" s="186">
        <v>30</v>
      </c>
      <c r="Y34" s="186">
        <v>31.5</v>
      </c>
      <c r="Z34" s="186">
        <v>30</v>
      </c>
      <c r="AA34" s="186">
        <v>30</v>
      </c>
      <c r="AB34" s="186">
        <v>30</v>
      </c>
      <c r="AC34" s="186">
        <v>30</v>
      </c>
      <c r="AD34" s="186">
        <v>29</v>
      </c>
      <c r="AE34" s="186">
        <v>30.5</v>
      </c>
      <c r="AF34" s="186">
        <v>31</v>
      </c>
      <c r="AG34" s="186">
        <v>30</v>
      </c>
      <c r="AH34" s="186">
        <v>30.5</v>
      </c>
      <c r="AI34" s="186">
        <f>AI35/AI33*10</f>
        <v>30.488593155893536</v>
      </c>
      <c r="AJ34" s="186">
        <v>30.5</v>
      </c>
      <c r="AK34" s="186">
        <v>31.5</v>
      </c>
      <c r="AL34" s="186">
        <v>31.5</v>
      </c>
      <c r="AM34" s="186">
        <v>30.5</v>
      </c>
      <c r="AN34" s="186">
        <v>31.5</v>
      </c>
      <c r="AO34" s="186">
        <v>30.5</v>
      </c>
      <c r="AP34" s="186">
        <v>30.5</v>
      </c>
      <c r="AQ34" s="186">
        <v>30.5</v>
      </c>
      <c r="AR34" s="186">
        <v>30</v>
      </c>
      <c r="AS34" s="186">
        <v>29</v>
      </c>
      <c r="AT34" s="186">
        <v>30.5</v>
      </c>
      <c r="AU34" s="186">
        <v>31</v>
      </c>
      <c r="AV34" s="186">
        <v>30</v>
      </c>
      <c r="AW34" s="186">
        <v>30.5</v>
      </c>
      <c r="AX34" s="186">
        <f>AX35/AX33*10</f>
        <v>30.53515625</v>
      </c>
      <c r="AY34" s="250">
        <v>30.5</v>
      </c>
      <c r="AZ34" s="250">
        <v>31.5</v>
      </c>
      <c r="BA34" s="250">
        <v>32</v>
      </c>
      <c r="BB34" s="250">
        <v>30.5</v>
      </c>
      <c r="BC34" s="250">
        <v>31.5</v>
      </c>
      <c r="BD34" s="250">
        <v>30.5</v>
      </c>
      <c r="BE34" s="250">
        <v>30.5</v>
      </c>
      <c r="BF34" s="250">
        <v>30.5</v>
      </c>
      <c r="BG34" s="250">
        <v>30</v>
      </c>
      <c r="BH34" s="250">
        <v>29</v>
      </c>
      <c r="BI34" s="250">
        <v>30.5</v>
      </c>
      <c r="BJ34" s="250">
        <v>31</v>
      </c>
      <c r="BK34" s="250">
        <v>30</v>
      </c>
      <c r="BL34" s="250">
        <v>30.5</v>
      </c>
      <c r="BM34" s="35">
        <f>BM35/BM33*10</f>
        <v>30.61328125</v>
      </c>
      <c r="BN34" s="186">
        <v>31</v>
      </c>
      <c r="BO34" s="186">
        <v>32</v>
      </c>
      <c r="BP34" s="186">
        <v>32.5</v>
      </c>
      <c r="BQ34" s="186">
        <v>31</v>
      </c>
      <c r="BR34" s="186">
        <v>31.5</v>
      </c>
      <c r="BS34" s="186">
        <v>30.5</v>
      </c>
      <c r="BT34" s="186">
        <v>30.5</v>
      </c>
      <c r="BU34" s="186">
        <v>30.5</v>
      </c>
      <c r="BV34" s="186">
        <v>30</v>
      </c>
      <c r="BW34" s="186">
        <v>29</v>
      </c>
      <c r="BX34" s="186">
        <v>30.5</v>
      </c>
      <c r="BY34" s="186">
        <v>31</v>
      </c>
      <c r="BZ34" s="186">
        <v>30</v>
      </c>
      <c r="CA34" s="186">
        <v>30.5</v>
      </c>
      <c r="CB34" s="35">
        <f t="shared" si="39"/>
        <v>30.61328125</v>
      </c>
      <c r="CC34" s="35">
        <v>29.628882474226799</v>
      </c>
      <c r="CD34" s="35">
        <v>30.926361974405854</v>
      </c>
      <c r="CE34" s="35">
        <v>30.28706754530478</v>
      </c>
      <c r="CF34" s="35">
        <f t="shared" si="11"/>
        <v>30.28706754530478</v>
      </c>
      <c r="CG34" s="35">
        <f t="shared" si="31"/>
        <v>30.53515625</v>
      </c>
      <c r="CH34" s="35">
        <f t="shared" si="32"/>
        <v>30.61328125</v>
      </c>
      <c r="CI34" s="35">
        <f t="shared" si="33"/>
        <v>30.61328125</v>
      </c>
      <c r="CJ34" s="232">
        <f t="shared" si="40"/>
        <v>98.934404639505203</v>
      </c>
      <c r="CK34" s="232">
        <f t="shared" si="41"/>
        <v>100</v>
      </c>
      <c r="CL34" s="131"/>
    </row>
    <row r="35" spans="1:90" s="146" customFormat="1" ht="15">
      <c r="A35" s="78"/>
      <c r="B35" s="83" t="s">
        <v>47</v>
      </c>
      <c r="C35" s="78" t="s">
        <v>34</v>
      </c>
      <c r="D35" s="110">
        <f>[1]B2NN!$K$35</f>
        <v>5470.5</v>
      </c>
      <c r="E35" s="135">
        <f>SUM(F35:S35)</f>
        <v>4350.28</v>
      </c>
      <c r="F35" s="135">
        <v>29.03</v>
      </c>
      <c r="G35" s="135">
        <v>152.5</v>
      </c>
      <c r="H35" s="135">
        <v>335.5</v>
      </c>
      <c r="I35" s="135">
        <v>210</v>
      </c>
      <c r="J35" s="135">
        <v>228.75</v>
      </c>
      <c r="K35" s="135">
        <v>210</v>
      </c>
      <c r="L35" s="135">
        <v>540</v>
      </c>
      <c r="M35" s="135">
        <v>442.5</v>
      </c>
      <c r="N35" s="135">
        <v>590</v>
      </c>
      <c r="O35" s="135">
        <v>232</v>
      </c>
      <c r="P35" s="135">
        <v>315</v>
      </c>
      <c r="Q35" s="135">
        <v>150</v>
      </c>
      <c r="R35" s="135">
        <v>300</v>
      </c>
      <c r="S35" s="135">
        <v>615</v>
      </c>
      <c r="T35" s="135">
        <f>SUM(U35:AH35)</f>
        <v>4032.2910000000002</v>
      </c>
      <c r="U35" s="135">
        <f>U33*U34/10</f>
        <v>30</v>
      </c>
      <c r="V35" s="135">
        <f t="shared" ref="V35:AH35" si="71">V33*V34/10</f>
        <v>141.75</v>
      </c>
      <c r="W35" s="135">
        <f t="shared" si="71"/>
        <v>299.04100000000005</v>
      </c>
      <c r="X35" s="135">
        <f t="shared" si="71"/>
        <v>180</v>
      </c>
      <c r="Y35" s="135">
        <f t="shared" si="71"/>
        <v>189</v>
      </c>
      <c r="Z35" s="135">
        <f t="shared" si="71"/>
        <v>240</v>
      </c>
      <c r="AA35" s="135">
        <f t="shared" si="71"/>
        <v>525</v>
      </c>
      <c r="AB35" s="135">
        <f t="shared" si="71"/>
        <v>435</v>
      </c>
      <c r="AC35" s="135">
        <f t="shared" si="71"/>
        <v>540</v>
      </c>
      <c r="AD35" s="135">
        <f t="shared" si="71"/>
        <v>174</v>
      </c>
      <c r="AE35" s="135">
        <f t="shared" si="71"/>
        <v>274.5</v>
      </c>
      <c r="AF35" s="135">
        <f t="shared" si="71"/>
        <v>155</v>
      </c>
      <c r="AG35" s="135">
        <f t="shared" si="71"/>
        <v>300</v>
      </c>
      <c r="AH35" s="135">
        <f t="shared" si="71"/>
        <v>549</v>
      </c>
      <c r="AI35" s="135">
        <f>SUM(AJ35:AW35)</f>
        <v>4009.25</v>
      </c>
      <c r="AJ35" s="135">
        <f>AJ33*AJ34/10</f>
        <v>30.5</v>
      </c>
      <c r="AK35" s="135">
        <f t="shared" ref="AK35:AW35" si="72">AK33*AK34/10</f>
        <v>126</v>
      </c>
      <c r="AL35" s="135">
        <f t="shared" si="72"/>
        <v>283.5</v>
      </c>
      <c r="AM35" s="135">
        <f t="shared" si="72"/>
        <v>183</v>
      </c>
      <c r="AN35" s="135">
        <f t="shared" si="72"/>
        <v>189</v>
      </c>
      <c r="AO35" s="135">
        <f t="shared" si="72"/>
        <v>244</v>
      </c>
      <c r="AP35" s="135">
        <f t="shared" si="72"/>
        <v>518.5</v>
      </c>
      <c r="AQ35" s="135">
        <f t="shared" si="72"/>
        <v>442.25</v>
      </c>
      <c r="AR35" s="135">
        <f t="shared" si="72"/>
        <v>540</v>
      </c>
      <c r="AS35" s="135">
        <f t="shared" si="72"/>
        <v>174</v>
      </c>
      <c r="AT35" s="135">
        <f t="shared" si="72"/>
        <v>274.5</v>
      </c>
      <c r="AU35" s="135">
        <f t="shared" si="72"/>
        <v>155</v>
      </c>
      <c r="AV35" s="135">
        <f t="shared" si="72"/>
        <v>300</v>
      </c>
      <c r="AW35" s="135">
        <f t="shared" si="72"/>
        <v>549</v>
      </c>
      <c r="AX35" s="135">
        <f>SUM(AY35:BL35)</f>
        <v>3908.5</v>
      </c>
      <c r="AY35" s="191">
        <f>AY33*AY34/10</f>
        <v>30.5</v>
      </c>
      <c r="AZ35" s="191">
        <f t="shared" ref="AZ35:BL35" si="73">AZ33*AZ34/10</f>
        <v>126</v>
      </c>
      <c r="BA35" s="191">
        <f t="shared" si="73"/>
        <v>288</v>
      </c>
      <c r="BB35" s="191">
        <f t="shared" si="73"/>
        <v>183</v>
      </c>
      <c r="BC35" s="191">
        <f t="shared" si="73"/>
        <v>189</v>
      </c>
      <c r="BD35" s="191">
        <f t="shared" si="73"/>
        <v>228.75</v>
      </c>
      <c r="BE35" s="191">
        <f t="shared" si="73"/>
        <v>518.5</v>
      </c>
      <c r="BF35" s="191">
        <f t="shared" si="73"/>
        <v>442.25</v>
      </c>
      <c r="BG35" s="191">
        <f t="shared" si="73"/>
        <v>450</v>
      </c>
      <c r="BH35" s="191">
        <f t="shared" si="73"/>
        <v>174</v>
      </c>
      <c r="BI35" s="191">
        <f t="shared" si="73"/>
        <v>274.5</v>
      </c>
      <c r="BJ35" s="191">
        <f t="shared" si="73"/>
        <v>155</v>
      </c>
      <c r="BK35" s="191">
        <f t="shared" si="73"/>
        <v>300</v>
      </c>
      <c r="BL35" s="191">
        <f t="shared" si="73"/>
        <v>549</v>
      </c>
      <c r="BM35" s="110">
        <f>SUM(BN35:CA35)</f>
        <v>3918.5</v>
      </c>
      <c r="BN35" s="135">
        <f>BN33*BN34/10</f>
        <v>31</v>
      </c>
      <c r="BO35" s="135">
        <f t="shared" ref="BO35:CA35" si="74">BO33*BO34/10</f>
        <v>128</v>
      </c>
      <c r="BP35" s="135">
        <f t="shared" si="74"/>
        <v>292.5</v>
      </c>
      <c r="BQ35" s="135">
        <f t="shared" si="74"/>
        <v>186</v>
      </c>
      <c r="BR35" s="135">
        <f t="shared" si="74"/>
        <v>189</v>
      </c>
      <c r="BS35" s="135">
        <f t="shared" si="74"/>
        <v>228.75</v>
      </c>
      <c r="BT35" s="135">
        <f t="shared" si="74"/>
        <v>518.5</v>
      </c>
      <c r="BU35" s="135">
        <f t="shared" si="74"/>
        <v>442.25</v>
      </c>
      <c r="BV35" s="135">
        <f t="shared" si="74"/>
        <v>450</v>
      </c>
      <c r="BW35" s="135">
        <f t="shared" si="74"/>
        <v>174</v>
      </c>
      <c r="BX35" s="135">
        <f t="shared" si="74"/>
        <v>274.5</v>
      </c>
      <c r="BY35" s="135">
        <f t="shared" si="74"/>
        <v>155</v>
      </c>
      <c r="BZ35" s="135">
        <f t="shared" si="74"/>
        <v>300</v>
      </c>
      <c r="CA35" s="135">
        <f t="shared" si="74"/>
        <v>549</v>
      </c>
      <c r="CB35" s="110">
        <f t="shared" si="39"/>
        <v>3918.5</v>
      </c>
      <c r="CC35" s="110">
        <v>4311.0023999999994</v>
      </c>
      <c r="CD35" s="110">
        <v>4229.18</v>
      </c>
      <c r="CE35" s="110">
        <v>3676.85</v>
      </c>
      <c r="CF35" s="110">
        <f t="shared" si="11"/>
        <v>3676.85</v>
      </c>
      <c r="CG35" s="110">
        <f t="shared" si="31"/>
        <v>3908.5</v>
      </c>
      <c r="CH35" s="110">
        <f t="shared" si="32"/>
        <v>3918.5</v>
      </c>
      <c r="CI35" s="110">
        <f t="shared" si="33"/>
        <v>3918.5</v>
      </c>
      <c r="CJ35" s="232">
        <f t="shared" si="40"/>
        <v>93.833099400280716</v>
      </c>
      <c r="CK35" s="232">
        <f t="shared" si="41"/>
        <v>100</v>
      </c>
      <c r="CL35" s="125"/>
    </row>
    <row r="36" spans="1:90" s="146" customFormat="1" ht="15">
      <c r="A36" s="78"/>
      <c r="B36" s="83" t="s">
        <v>55</v>
      </c>
      <c r="C36" s="78" t="s">
        <v>41</v>
      </c>
      <c r="D36" s="35">
        <f>[1]B2NN!$K$36</f>
        <v>176.8</v>
      </c>
      <c r="E36" s="186">
        <f>SUM(F36:S36)</f>
        <v>40</v>
      </c>
      <c r="F36" s="186">
        <v>2</v>
      </c>
      <c r="G36" s="186">
        <v>3</v>
      </c>
      <c r="H36" s="186">
        <v>5</v>
      </c>
      <c r="I36" s="186">
        <v>2</v>
      </c>
      <c r="J36" s="186">
        <v>4</v>
      </c>
      <c r="K36" s="186">
        <v>2</v>
      </c>
      <c r="L36" s="186">
        <v>2</v>
      </c>
      <c r="M36" s="186"/>
      <c r="N36" s="186">
        <v>4</v>
      </c>
      <c r="O36" s="186"/>
      <c r="P36" s="186">
        <v>5</v>
      </c>
      <c r="Q36" s="186"/>
      <c r="R36" s="186">
        <v>5</v>
      </c>
      <c r="S36" s="186">
        <v>6</v>
      </c>
      <c r="T36" s="186">
        <f>SUM(U36:AH36)</f>
        <v>35</v>
      </c>
      <c r="U36" s="186">
        <v>2</v>
      </c>
      <c r="V36" s="186">
        <v>3</v>
      </c>
      <c r="W36" s="186">
        <v>3</v>
      </c>
      <c r="X36" s="186">
        <v>2</v>
      </c>
      <c r="Y36" s="186">
        <v>4</v>
      </c>
      <c r="Z36" s="186">
        <v>2</v>
      </c>
      <c r="AA36" s="186">
        <v>2</v>
      </c>
      <c r="AB36" s="186"/>
      <c r="AC36" s="186">
        <v>4</v>
      </c>
      <c r="AD36" s="186"/>
      <c r="AE36" s="186">
        <v>3</v>
      </c>
      <c r="AF36" s="186"/>
      <c r="AG36" s="186">
        <v>4</v>
      </c>
      <c r="AH36" s="186">
        <v>6</v>
      </c>
      <c r="AI36" s="186">
        <f>SUM(AJ36:AW36)</f>
        <v>30</v>
      </c>
      <c r="AJ36" s="186">
        <v>2</v>
      </c>
      <c r="AK36" s="186">
        <v>3</v>
      </c>
      <c r="AL36" s="186">
        <v>3</v>
      </c>
      <c r="AM36" s="186">
        <v>2</v>
      </c>
      <c r="AN36" s="186">
        <v>3</v>
      </c>
      <c r="AO36" s="186">
        <v>2</v>
      </c>
      <c r="AP36" s="186">
        <v>2</v>
      </c>
      <c r="AQ36" s="186"/>
      <c r="AR36" s="186">
        <v>3</v>
      </c>
      <c r="AS36" s="186"/>
      <c r="AT36" s="186">
        <v>3</v>
      </c>
      <c r="AU36" s="186"/>
      <c r="AV36" s="186">
        <v>3</v>
      </c>
      <c r="AW36" s="186">
        <v>4</v>
      </c>
      <c r="AX36" s="186">
        <f>SUM(AY36:BL36)</f>
        <v>30</v>
      </c>
      <c r="AY36" s="250">
        <v>2</v>
      </c>
      <c r="AZ36" s="250">
        <v>3</v>
      </c>
      <c r="BA36" s="250">
        <v>3</v>
      </c>
      <c r="BB36" s="250">
        <v>2</v>
      </c>
      <c r="BC36" s="250">
        <v>3</v>
      </c>
      <c r="BD36" s="250">
        <v>2</v>
      </c>
      <c r="BE36" s="250">
        <v>2</v>
      </c>
      <c r="BF36" s="250"/>
      <c r="BG36" s="250">
        <v>3</v>
      </c>
      <c r="BH36" s="250"/>
      <c r="BI36" s="250">
        <v>3</v>
      </c>
      <c r="BJ36" s="250"/>
      <c r="BK36" s="250">
        <v>3</v>
      </c>
      <c r="BL36" s="250">
        <v>4</v>
      </c>
      <c r="BM36" s="35">
        <f>SUM(BN36:CA36)</f>
        <v>30</v>
      </c>
      <c r="BN36" s="186">
        <v>2</v>
      </c>
      <c r="BO36" s="186">
        <v>3</v>
      </c>
      <c r="BP36" s="186">
        <v>3</v>
      </c>
      <c r="BQ36" s="186">
        <v>2</v>
      </c>
      <c r="BR36" s="186">
        <v>3</v>
      </c>
      <c r="BS36" s="186">
        <v>2</v>
      </c>
      <c r="BT36" s="186">
        <v>2</v>
      </c>
      <c r="BU36" s="186"/>
      <c r="BV36" s="186">
        <v>3</v>
      </c>
      <c r="BW36" s="186"/>
      <c r="BX36" s="186">
        <v>3</v>
      </c>
      <c r="BY36" s="186"/>
      <c r="BZ36" s="186">
        <v>3</v>
      </c>
      <c r="CA36" s="186">
        <v>4</v>
      </c>
      <c r="CB36" s="35">
        <f t="shared" si="39"/>
        <v>30</v>
      </c>
      <c r="CC36" s="35">
        <v>107.65</v>
      </c>
      <c r="CD36" s="35">
        <v>54.300000000000004</v>
      </c>
      <c r="CE36" s="35">
        <v>15</v>
      </c>
      <c r="CF36" s="35">
        <f t="shared" si="11"/>
        <v>15</v>
      </c>
      <c r="CG36" s="35">
        <f t="shared" si="31"/>
        <v>30</v>
      </c>
      <c r="CH36" s="35">
        <f t="shared" si="32"/>
        <v>30</v>
      </c>
      <c r="CI36" s="35">
        <f t="shared" si="33"/>
        <v>30</v>
      </c>
      <c r="CJ36" s="232">
        <f t="shared" si="40"/>
        <v>50</v>
      </c>
      <c r="CK36" s="232">
        <f t="shared" si="41"/>
        <v>100</v>
      </c>
      <c r="CL36" s="125"/>
    </row>
    <row r="37" spans="1:90" s="146" customFormat="1" ht="15">
      <c r="A37" s="78"/>
      <c r="B37" s="83" t="s">
        <v>46</v>
      </c>
      <c r="C37" s="78" t="s">
        <v>43</v>
      </c>
      <c r="D37" s="35">
        <f>[1]B2NN!$K$37</f>
        <v>22.706447963800901</v>
      </c>
      <c r="E37" s="186">
        <f>E38/E36*10</f>
        <v>29.952500000000001</v>
      </c>
      <c r="F37" s="186">
        <v>30</v>
      </c>
      <c r="G37" s="186">
        <v>30.2</v>
      </c>
      <c r="H37" s="186">
        <v>30.5</v>
      </c>
      <c r="I37" s="186">
        <v>29</v>
      </c>
      <c r="J37" s="186">
        <v>30.5</v>
      </c>
      <c r="K37" s="186">
        <v>30</v>
      </c>
      <c r="L37" s="186">
        <v>30</v>
      </c>
      <c r="M37" s="186"/>
      <c r="N37" s="186">
        <v>30</v>
      </c>
      <c r="O37" s="186"/>
      <c r="P37" s="186">
        <v>29</v>
      </c>
      <c r="Q37" s="186"/>
      <c r="R37" s="186">
        <v>30</v>
      </c>
      <c r="S37" s="186">
        <v>30</v>
      </c>
      <c r="T37" s="186">
        <f>T38/T36*10</f>
        <v>29.974285714285717</v>
      </c>
      <c r="U37" s="186">
        <v>30</v>
      </c>
      <c r="V37" s="186">
        <v>30.2</v>
      </c>
      <c r="W37" s="186">
        <v>30.5</v>
      </c>
      <c r="X37" s="186">
        <v>29</v>
      </c>
      <c r="Y37" s="186">
        <v>30.5</v>
      </c>
      <c r="Z37" s="186">
        <v>30</v>
      </c>
      <c r="AA37" s="186">
        <v>30</v>
      </c>
      <c r="AB37" s="186"/>
      <c r="AC37" s="186">
        <v>30</v>
      </c>
      <c r="AD37" s="186"/>
      <c r="AE37" s="186">
        <v>29</v>
      </c>
      <c r="AF37" s="186"/>
      <c r="AG37" s="186">
        <v>30</v>
      </c>
      <c r="AH37" s="186">
        <v>30</v>
      </c>
      <c r="AI37" s="186">
        <f>AI38/AI36*10</f>
        <v>29.953333333333333</v>
      </c>
      <c r="AJ37" s="186">
        <v>30</v>
      </c>
      <c r="AK37" s="186">
        <v>30.2</v>
      </c>
      <c r="AL37" s="186">
        <v>30.5</v>
      </c>
      <c r="AM37" s="186">
        <v>29</v>
      </c>
      <c r="AN37" s="186">
        <v>30.5</v>
      </c>
      <c r="AO37" s="186">
        <v>30</v>
      </c>
      <c r="AP37" s="186">
        <v>30</v>
      </c>
      <c r="AQ37" s="186"/>
      <c r="AR37" s="186">
        <v>30</v>
      </c>
      <c r="AS37" s="186"/>
      <c r="AT37" s="186">
        <v>29</v>
      </c>
      <c r="AU37" s="186"/>
      <c r="AV37" s="186">
        <v>30</v>
      </c>
      <c r="AW37" s="186">
        <v>30</v>
      </c>
      <c r="AX37" s="186">
        <f>AX38/AX36*10</f>
        <v>29.983333333333334</v>
      </c>
      <c r="AY37" s="250">
        <v>30</v>
      </c>
      <c r="AZ37" s="250">
        <v>30.5</v>
      </c>
      <c r="BA37" s="250">
        <v>30.5</v>
      </c>
      <c r="BB37" s="250">
        <v>29</v>
      </c>
      <c r="BC37" s="250">
        <v>30.5</v>
      </c>
      <c r="BD37" s="250">
        <v>30</v>
      </c>
      <c r="BE37" s="250">
        <v>30</v>
      </c>
      <c r="BF37" s="250"/>
      <c r="BG37" s="250">
        <v>30</v>
      </c>
      <c r="BH37" s="250"/>
      <c r="BI37" s="250">
        <v>29</v>
      </c>
      <c r="BJ37" s="250"/>
      <c r="BK37" s="250">
        <v>30</v>
      </c>
      <c r="BL37" s="250">
        <v>30</v>
      </c>
      <c r="BM37" s="35">
        <f>BM38/BM36*10</f>
        <v>29.983333333333334</v>
      </c>
      <c r="BN37" s="186">
        <v>30</v>
      </c>
      <c r="BO37" s="186">
        <v>30.5</v>
      </c>
      <c r="BP37" s="186">
        <v>30.5</v>
      </c>
      <c r="BQ37" s="186">
        <v>29</v>
      </c>
      <c r="BR37" s="186">
        <v>30.5</v>
      </c>
      <c r="BS37" s="186">
        <v>30</v>
      </c>
      <c r="BT37" s="186">
        <v>30</v>
      </c>
      <c r="BU37" s="186"/>
      <c r="BV37" s="186">
        <v>30</v>
      </c>
      <c r="BW37" s="186"/>
      <c r="BX37" s="186">
        <v>29</v>
      </c>
      <c r="BY37" s="186"/>
      <c r="BZ37" s="186">
        <v>30</v>
      </c>
      <c r="CA37" s="186">
        <v>30</v>
      </c>
      <c r="CB37" s="35">
        <f t="shared" si="39"/>
        <v>29.983333333333334</v>
      </c>
      <c r="CC37" s="35">
        <v>29.790013934045515</v>
      </c>
      <c r="CD37" s="35">
        <v>26.8232044198895</v>
      </c>
      <c r="CE37" s="35">
        <v>33.333333333333336</v>
      </c>
      <c r="CF37" s="35">
        <f t="shared" si="11"/>
        <v>33.333333333333336</v>
      </c>
      <c r="CG37" s="35">
        <f t="shared" si="31"/>
        <v>29.983333333333334</v>
      </c>
      <c r="CH37" s="35">
        <f t="shared" si="32"/>
        <v>29.983333333333334</v>
      </c>
      <c r="CI37" s="35">
        <f t="shared" si="33"/>
        <v>29.983333333333334</v>
      </c>
      <c r="CJ37" s="232">
        <f t="shared" si="40"/>
        <v>111.17287381878822</v>
      </c>
      <c r="CK37" s="232">
        <f t="shared" si="41"/>
        <v>100</v>
      </c>
      <c r="CL37" s="125"/>
    </row>
    <row r="38" spans="1:90" s="146" customFormat="1" ht="15">
      <c r="A38" s="78"/>
      <c r="B38" s="83" t="s">
        <v>47</v>
      </c>
      <c r="C38" s="78" t="s">
        <v>34</v>
      </c>
      <c r="D38" s="110">
        <f>[1]B2NN!$K$38</f>
        <v>401.45</v>
      </c>
      <c r="E38" s="135">
        <f>SUM(F38:S38)</f>
        <v>119.81</v>
      </c>
      <c r="F38" s="135">
        <v>6</v>
      </c>
      <c r="G38" s="135">
        <v>9.0599999999999987</v>
      </c>
      <c r="H38" s="135">
        <v>15.25</v>
      </c>
      <c r="I38" s="135">
        <v>5.8</v>
      </c>
      <c r="J38" s="135">
        <v>12.2</v>
      </c>
      <c r="K38" s="135">
        <v>6</v>
      </c>
      <c r="L38" s="135">
        <v>6</v>
      </c>
      <c r="M38" s="135">
        <v>0</v>
      </c>
      <c r="N38" s="135">
        <v>12</v>
      </c>
      <c r="O38" s="135">
        <v>0</v>
      </c>
      <c r="P38" s="135">
        <v>14.5</v>
      </c>
      <c r="Q38" s="135">
        <v>0</v>
      </c>
      <c r="R38" s="135">
        <v>15</v>
      </c>
      <c r="S38" s="135">
        <v>18</v>
      </c>
      <c r="T38" s="135">
        <f>SUM(U38:AH38)</f>
        <v>104.91000000000001</v>
      </c>
      <c r="U38" s="135">
        <f>U36*U37/10</f>
        <v>6</v>
      </c>
      <c r="V38" s="135">
        <f t="shared" ref="V38:AH38" si="75">V36*V37/10</f>
        <v>9.0599999999999987</v>
      </c>
      <c r="W38" s="135">
        <f t="shared" si="75"/>
        <v>9.15</v>
      </c>
      <c r="X38" s="135">
        <f t="shared" si="75"/>
        <v>5.8</v>
      </c>
      <c r="Y38" s="135">
        <f t="shared" si="75"/>
        <v>12.2</v>
      </c>
      <c r="Z38" s="135">
        <f t="shared" si="75"/>
        <v>6</v>
      </c>
      <c r="AA38" s="135">
        <f t="shared" si="75"/>
        <v>6</v>
      </c>
      <c r="AB38" s="135">
        <f t="shared" si="75"/>
        <v>0</v>
      </c>
      <c r="AC38" s="135">
        <f t="shared" si="75"/>
        <v>12</v>
      </c>
      <c r="AD38" s="135">
        <f t="shared" si="75"/>
        <v>0</v>
      </c>
      <c r="AE38" s="135">
        <f t="shared" si="75"/>
        <v>8.6999999999999993</v>
      </c>
      <c r="AF38" s="135">
        <f t="shared" si="75"/>
        <v>0</v>
      </c>
      <c r="AG38" s="135">
        <f t="shared" si="75"/>
        <v>12</v>
      </c>
      <c r="AH38" s="135">
        <f t="shared" si="75"/>
        <v>18</v>
      </c>
      <c r="AI38" s="135">
        <f>SUM(AJ38:AW38)</f>
        <v>89.86</v>
      </c>
      <c r="AJ38" s="135">
        <f>AJ36*AJ37/10</f>
        <v>6</v>
      </c>
      <c r="AK38" s="135">
        <f t="shared" ref="AK38:AW38" si="76">AK36*AK37/10</f>
        <v>9.0599999999999987</v>
      </c>
      <c r="AL38" s="135">
        <f t="shared" si="76"/>
        <v>9.15</v>
      </c>
      <c r="AM38" s="135">
        <f t="shared" si="76"/>
        <v>5.8</v>
      </c>
      <c r="AN38" s="135">
        <f t="shared" si="76"/>
        <v>9.15</v>
      </c>
      <c r="AO38" s="135">
        <f t="shared" si="76"/>
        <v>6</v>
      </c>
      <c r="AP38" s="135">
        <f t="shared" si="76"/>
        <v>6</v>
      </c>
      <c r="AQ38" s="135">
        <f t="shared" si="76"/>
        <v>0</v>
      </c>
      <c r="AR38" s="135">
        <f t="shared" si="76"/>
        <v>9</v>
      </c>
      <c r="AS38" s="135">
        <f t="shared" si="76"/>
        <v>0</v>
      </c>
      <c r="AT38" s="135">
        <f t="shared" si="76"/>
        <v>8.6999999999999993</v>
      </c>
      <c r="AU38" s="135">
        <f t="shared" si="76"/>
        <v>0</v>
      </c>
      <c r="AV38" s="135">
        <f t="shared" si="76"/>
        <v>9</v>
      </c>
      <c r="AW38" s="135">
        <f t="shared" si="76"/>
        <v>12</v>
      </c>
      <c r="AX38" s="135">
        <f>SUM(AY38:BL38)</f>
        <v>89.95</v>
      </c>
      <c r="AY38" s="191">
        <f>AY36*AY37/10</f>
        <v>6</v>
      </c>
      <c r="AZ38" s="191">
        <f t="shared" ref="AZ38:BL38" si="77">AZ36*AZ37/10</f>
        <v>9.15</v>
      </c>
      <c r="BA38" s="191">
        <f t="shared" si="77"/>
        <v>9.15</v>
      </c>
      <c r="BB38" s="191">
        <f t="shared" si="77"/>
        <v>5.8</v>
      </c>
      <c r="BC38" s="191">
        <f t="shared" si="77"/>
        <v>9.15</v>
      </c>
      <c r="BD38" s="191">
        <f t="shared" si="77"/>
        <v>6</v>
      </c>
      <c r="BE38" s="191">
        <f t="shared" si="77"/>
        <v>6</v>
      </c>
      <c r="BF38" s="191">
        <f t="shared" si="77"/>
        <v>0</v>
      </c>
      <c r="BG38" s="191">
        <f t="shared" si="77"/>
        <v>9</v>
      </c>
      <c r="BH38" s="191">
        <f t="shared" si="77"/>
        <v>0</v>
      </c>
      <c r="BI38" s="191">
        <f t="shared" si="77"/>
        <v>8.6999999999999993</v>
      </c>
      <c r="BJ38" s="191">
        <f t="shared" si="77"/>
        <v>0</v>
      </c>
      <c r="BK38" s="191">
        <f t="shared" si="77"/>
        <v>9</v>
      </c>
      <c r="BL38" s="191">
        <f t="shared" si="77"/>
        <v>12</v>
      </c>
      <c r="BM38" s="110">
        <f>SUM(BN38:CA38)</f>
        <v>89.95</v>
      </c>
      <c r="BN38" s="135">
        <f>BN36*BN37/10</f>
        <v>6</v>
      </c>
      <c r="BO38" s="135">
        <f t="shared" ref="BO38:CA38" si="78">BO36*BO37/10</f>
        <v>9.15</v>
      </c>
      <c r="BP38" s="135">
        <f t="shared" si="78"/>
        <v>9.15</v>
      </c>
      <c r="BQ38" s="135">
        <f t="shared" si="78"/>
        <v>5.8</v>
      </c>
      <c r="BR38" s="135">
        <f t="shared" si="78"/>
        <v>9.15</v>
      </c>
      <c r="BS38" s="135">
        <f t="shared" si="78"/>
        <v>6</v>
      </c>
      <c r="BT38" s="135">
        <f t="shared" si="78"/>
        <v>6</v>
      </c>
      <c r="BU38" s="135">
        <f t="shared" si="78"/>
        <v>0</v>
      </c>
      <c r="BV38" s="135">
        <f t="shared" si="78"/>
        <v>9</v>
      </c>
      <c r="BW38" s="135">
        <f t="shared" si="78"/>
        <v>0</v>
      </c>
      <c r="BX38" s="135">
        <f t="shared" si="78"/>
        <v>8.6999999999999993</v>
      </c>
      <c r="BY38" s="135">
        <f t="shared" si="78"/>
        <v>0</v>
      </c>
      <c r="BZ38" s="135">
        <f t="shared" si="78"/>
        <v>9</v>
      </c>
      <c r="CA38" s="135">
        <f t="shared" si="78"/>
        <v>12</v>
      </c>
      <c r="CB38" s="110">
        <f t="shared" si="39"/>
        <v>89.95</v>
      </c>
      <c r="CC38" s="110">
        <v>320.68949999999995</v>
      </c>
      <c r="CD38" s="110">
        <v>145.65</v>
      </c>
      <c r="CE38" s="110">
        <v>50</v>
      </c>
      <c r="CF38" s="110">
        <f t="shared" si="11"/>
        <v>50</v>
      </c>
      <c r="CG38" s="110">
        <f t="shared" si="31"/>
        <v>89.95</v>
      </c>
      <c r="CH38" s="110">
        <f t="shared" si="32"/>
        <v>89.95</v>
      </c>
      <c r="CI38" s="110">
        <f t="shared" si="33"/>
        <v>89.95</v>
      </c>
      <c r="CJ38" s="232">
        <f t="shared" si="40"/>
        <v>55.586436909394102</v>
      </c>
      <c r="CK38" s="232">
        <f t="shared" si="41"/>
        <v>100</v>
      </c>
      <c r="CL38" s="126"/>
    </row>
    <row r="39" spans="1:90" s="146" customFormat="1" ht="15">
      <c r="A39" s="78" t="s">
        <v>56</v>
      </c>
      <c r="B39" s="83" t="s">
        <v>57</v>
      </c>
      <c r="C39" s="78"/>
      <c r="D39" s="103"/>
      <c r="E39" s="248"/>
      <c r="F39" s="248"/>
      <c r="G39" s="248"/>
      <c r="H39" s="248"/>
      <c r="I39" s="248"/>
      <c r="J39" s="248"/>
      <c r="K39" s="248"/>
      <c r="L39" s="248"/>
      <c r="M39" s="248"/>
      <c r="N39" s="248"/>
      <c r="O39" s="248"/>
      <c r="P39" s="248"/>
      <c r="Q39" s="248"/>
      <c r="R39" s="248"/>
      <c r="S39" s="248"/>
      <c r="T39" s="248"/>
      <c r="U39" s="248"/>
      <c r="V39" s="248"/>
      <c r="W39" s="248"/>
      <c r="X39" s="248"/>
      <c r="Y39" s="248"/>
      <c r="Z39" s="248"/>
      <c r="AA39" s="248"/>
      <c r="AB39" s="248"/>
      <c r="AC39" s="248"/>
      <c r="AD39" s="248"/>
      <c r="AE39" s="248"/>
      <c r="AF39" s="248"/>
      <c r="AG39" s="248"/>
      <c r="AH39" s="248"/>
      <c r="AI39" s="248"/>
      <c r="AJ39" s="248"/>
      <c r="AK39" s="248"/>
      <c r="AL39" s="248"/>
      <c r="AM39" s="248"/>
      <c r="AN39" s="248"/>
      <c r="AO39" s="248"/>
      <c r="AP39" s="248"/>
      <c r="AQ39" s="248"/>
      <c r="AR39" s="248"/>
      <c r="AS39" s="248"/>
      <c r="AT39" s="248"/>
      <c r="AU39" s="248"/>
      <c r="AV39" s="248"/>
      <c r="AW39" s="248"/>
      <c r="AX39" s="248"/>
      <c r="AY39" s="248"/>
      <c r="AZ39" s="248"/>
      <c r="BA39" s="248"/>
      <c r="BB39" s="248"/>
      <c r="BC39" s="248"/>
      <c r="BD39" s="248"/>
      <c r="BE39" s="103"/>
      <c r="BF39" s="103"/>
      <c r="BG39" s="103"/>
      <c r="BH39" s="103"/>
      <c r="BI39" s="103"/>
      <c r="BJ39" s="103"/>
      <c r="BK39" s="103"/>
      <c r="BL39" s="103"/>
      <c r="BM39" s="103"/>
      <c r="BN39" s="103"/>
      <c r="BO39" s="103"/>
      <c r="BP39" s="103"/>
      <c r="BQ39" s="103"/>
      <c r="BR39" s="103"/>
      <c r="BS39" s="103"/>
      <c r="BT39" s="103"/>
      <c r="BU39" s="103"/>
      <c r="BV39" s="103"/>
      <c r="BW39" s="103"/>
      <c r="BX39" s="103"/>
      <c r="BY39" s="103"/>
      <c r="BZ39" s="103"/>
      <c r="CA39" s="103"/>
      <c r="CB39" s="103"/>
      <c r="CC39" s="169"/>
      <c r="CD39" s="169"/>
      <c r="CE39" s="169"/>
      <c r="CF39" s="110">
        <f t="shared" si="11"/>
        <v>0</v>
      </c>
      <c r="CG39" s="169"/>
      <c r="CH39" s="169"/>
      <c r="CI39" s="110">
        <f t="shared" ref="CI39" si="79">AVERAGE(CC39+CD39+CE39+CG39+CH39)/5</f>
        <v>0</v>
      </c>
      <c r="CJ39" s="232"/>
      <c r="CK39" s="232"/>
      <c r="CL39" s="125"/>
    </row>
    <row r="40" spans="1:90" s="146" customFormat="1" ht="15">
      <c r="A40" s="78"/>
      <c r="B40" s="83" t="s">
        <v>58</v>
      </c>
      <c r="C40" s="78" t="s">
        <v>41</v>
      </c>
      <c r="D40" s="35">
        <f>[1]B2NN!$K$39</f>
        <v>381</v>
      </c>
      <c r="E40" s="186">
        <f>SUM(F40:S40)</f>
        <v>381</v>
      </c>
      <c r="F40" s="186">
        <v>10</v>
      </c>
      <c r="G40" s="186">
        <v>10</v>
      </c>
      <c r="H40" s="186">
        <v>10</v>
      </c>
      <c r="I40" s="186">
        <v>55</v>
      </c>
      <c r="J40" s="186">
        <v>40</v>
      </c>
      <c r="K40" s="186">
        <v>32</v>
      </c>
      <c r="L40" s="186">
        <v>15</v>
      </c>
      <c r="M40" s="186">
        <v>15</v>
      </c>
      <c r="N40" s="186">
        <v>30</v>
      </c>
      <c r="O40" s="186">
        <v>9</v>
      </c>
      <c r="P40" s="186">
        <v>60</v>
      </c>
      <c r="Q40" s="186">
        <v>35</v>
      </c>
      <c r="R40" s="186">
        <v>25</v>
      </c>
      <c r="S40" s="186">
        <v>35</v>
      </c>
      <c r="T40" s="186">
        <f>SUM(U40:AH40)</f>
        <v>381</v>
      </c>
      <c r="U40" s="186">
        <v>10</v>
      </c>
      <c r="V40" s="186">
        <v>10</v>
      </c>
      <c r="W40" s="186">
        <v>10</v>
      </c>
      <c r="X40" s="186">
        <v>55</v>
      </c>
      <c r="Y40" s="186">
        <v>40</v>
      </c>
      <c r="Z40" s="186">
        <v>32</v>
      </c>
      <c r="AA40" s="186">
        <v>15</v>
      </c>
      <c r="AB40" s="186">
        <v>15</v>
      </c>
      <c r="AC40" s="186">
        <v>30</v>
      </c>
      <c r="AD40" s="186">
        <v>9</v>
      </c>
      <c r="AE40" s="186">
        <v>60</v>
      </c>
      <c r="AF40" s="186">
        <v>35</v>
      </c>
      <c r="AG40" s="186">
        <v>25</v>
      </c>
      <c r="AH40" s="186">
        <v>35</v>
      </c>
      <c r="AI40" s="186">
        <f>SUM(AJ40:AW40)</f>
        <v>381</v>
      </c>
      <c r="AJ40" s="186">
        <v>10</v>
      </c>
      <c r="AK40" s="186">
        <v>10</v>
      </c>
      <c r="AL40" s="186">
        <v>10</v>
      </c>
      <c r="AM40" s="186">
        <v>55</v>
      </c>
      <c r="AN40" s="186">
        <v>40</v>
      </c>
      <c r="AO40" s="186">
        <v>32</v>
      </c>
      <c r="AP40" s="186">
        <v>15</v>
      </c>
      <c r="AQ40" s="186">
        <v>15</v>
      </c>
      <c r="AR40" s="186">
        <v>30</v>
      </c>
      <c r="AS40" s="186">
        <v>9</v>
      </c>
      <c r="AT40" s="186">
        <v>60</v>
      </c>
      <c r="AU40" s="186">
        <v>35</v>
      </c>
      <c r="AV40" s="186">
        <v>25</v>
      </c>
      <c r="AW40" s="186">
        <v>35</v>
      </c>
      <c r="AX40" s="186">
        <f>SUM(AY40:BL40)</f>
        <v>381</v>
      </c>
      <c r="AY40" s="186">
        <v>10</v>
      </c>
      <c r="AZ40" s="186">
        <v>10</v>
      </c>
      <c r="BA40" s="186">
        <v>10</v>
      </c>
      <c r="BB40" s="186">
        <v>55</v>
      </c>
      <c r="BC40" s="186">
        <v>40</v>
      </c>
      <c r="BD40" s="186">
        <v>32</v>
      </c>
      <c r="BE40" s="35">
        <v>15</v>
      </c>
      <c r="BF40" s="35">
        <v>15</v>
      </c>
      <c r="BG40" s="35">
        <v>30</v>
      </c>
      <c r="BH40" s="35">
        <v>9</v>
      </c>
      <c r="BI40" s="35">
        <v>60</v>
      </c>
      <c r="BJ40" s="35">
        <v>35</v>
      </c>
      <c r="BK40" s="35">
        <v>25</v>
      </c>
      <c r="BL40" s="35">
        <v>35</v>
      </c>
      <c r="BM40" s="35">
        <f>SUM(BN40:CA40)</f>
        <v>381</v>
      </c>
      <c r="BN40" s="35">
        <v>10</v>
      </c>
      <c r="BO40" s="35">
        <v>10</v>
      </c>
      <c r="BP40" s="35">
        <v>10</v>
      </c>
      <c r="BQ40" s="35">
        <v>55</v>
      </c>
      <c r="BR40" s="35">
        <v>40</v>
      </c>
      <c r="BS40" s="35">
        <v>32</v>
      </c>
      <c r="BT40" s="35">
        <v>15</v>
      </c>
      <c r="BU40" s="35">
        <v>15</v>
      </c>
      <c r="BV40" s="35">
        <v>30</v>
      </c>
      <c r="BW40" s="35">
        <v>9</v>
      </c>
      <c r="BX40" s="35">
        <v>60</v>
      </c>
      <c r="BY40" s="35">
        <v>35</v>
      </c>
      <c r="BZ40" s="35">
        <v>25</v>
      </c>
      <c r="CA40" s="35">
        <v>35</v>
      </c>
      <c r="CB40" s="35">
        <f>BM40</f>
        <v>381</v>
      </c>
      <c r="CC40" s="35">
        <v>381</v>
      </c>
      <c r="CD40" s="35">
        <v>381</v>
      </c>
      <c r="CE40" s="35">
        <v>381</v>
      </c>
      <c r="CF40" s="110">
        <f t="shared" si="11"/>
        <v>381</v>
      </c>
      <c r="CG40" s="35">
        <f>AX40</f>
        <v>381</v>
      </c>
      <c r="CH40" s="35">
        <f t="shared" si="32"/>
        <v>381</v>
      </c>
      <c r="CI40" s="110">
        <f>CH40</f>
        <v>381</v>
      </c>
      <c r="CJ40" s="232">
        <f t="shared" si="40"/>
        <v>100</v>
      </c>
      <c r="CK40" s="232">
        <f t="shared" si="41"/>
        <v>100</v>
      </c>
      <c r="CL40" s="126"/>
    </row>
    <row r="41" spans="1:90" s="146" customFormat="1" ht="15">
      <c r="A41" s="78"/>
      <c r="B41" s="83" t="s">
        <v>42</v>
      </c>
      <c r="C41" s="78" t="s">
        <v>43</v>
      </c>
      <c r="D41" s="35">
        <f>D42/D40*10</f>
        <v>61.952755905511808</v>
      </c>
      <c r="E41" s="186">
        <f>E42/E40*10</f>
        <v>61.980314960629919</v>
      </c>
      <c r="F41" s="186">
        <v>62</v>
      </c>
      <c r="G41" s="186">
        <v>62</v>
      </c>
      <c r="H41" s="186">
        <v>62</v>
      </c>
      <c r="I41" s="186">
        <v>62</v>
      </c>
      <c r="J41" s="186">
        <v>62</v>
      </c>
      <c r="K41" s="186">
        <v>62</v>
      </c>
      <c r="L41" s="186">
        <v>62</v>
      </c>
      <c r="M41" s="186">
        <v>61.5</v>
      </c>
      <c r="N41" s="186">
        <v>62</v>
      </c>
      <c r="O41" s="186">
        <v>62</v>
      </c>
      <c r="P41" s="186">
        <v>62</v>
      </c>
      <c r="Q41" s="186">
        <v>62</v>
      </c>
      <c r="R41" s="186">
        <v>62</v>
      </c>
      <c r="S41" s="186">
        <v>62</v>
      </c>
      <c r="T41" s="186">
        <f>T42/T40*10</f>
        <v>61.980314960629919</v>
      </c>
      <c r="U41" s="186">
        <v>62</v>
      </c>
      <c r="V41" s="186">
        <v>62</v>
      </c>
      <c r="W41" s="186">
        <v>62</v>
      </c>
      <c r="X41" s="186">
        <v>62</v>
      </c>
      <c r="Y41" s="186">
        <v>62</v>
      </c>
      <c r="Z41" s="186">
        <v>62</v>
      </c>
      <c r="AA41" s="186">
        <v>62</v>
      </c>
      <c r="AB41" s="186">
        <v>61.5</v>
      </c>
      <c r="AC41" s="186">
        <v>62</v>
      </c>
      <c r="AD41" s="186">
        <v>62</v>
      </c>
      <c r="AE41" s="186">
        <v>62</v>
      </c>
      <c r="AF41" s="186">
        <v>62</v>
      </c>
      <c r="AG41" s="186">
        <v>62</v>
      </c>
      <c r="AH41" s="186">
        <v>62</v>
      </c>
      <c r="AI41" s="186">
        <f>AI42/AI40*10</f>
        <v>61.980314960629919</v>
      </c>
      <c r="AJ41" s="186">
        <v>62</v>
      </c>
      <c r="AK41" s="186">
        <v>62</v>
      </c>
      <c r="AL41" s="186">
        <v>62</v>
      </c>
      <c r="AM41" s="186">
        <v>62</v>
      </c>
      <c r="AN41" s="186">
        <v>62</v>
      </c>
      <c r="AO41" s="186">
        <v>62</v>
      </c>
      <c r="AP41" s="186">
        <v>62</v>
      </c>
      <c r="AQ41" s="186">
        <v>61.5</v>
      </c>
      <c r="AR41" s="186">
        <v>62</v>
      </c>
      <c r="AS41" s="186">
        <v>62</v>
      </c>
      <c r="AT41" s="186">
        <v>62</v>
      </c>
      <c r="AU41" s="186">
        <v>62</v>
      </c>
      <c r="AV41" s="186">
        <v>62</v>
      </c>
      <c r="AW41" s="186">
        <v>62</v>
      </c>
      <c r="AX41" s="186">
        <f>AX42/AX40*10</f>
        <v>61.980314960629919</v>
      </c>
      <c r="AY41" s="186">
        <v>62</v>
      </c>
      <c r="AZ41" s="186">
        <v>62</v>
      </c>
      <c r="BA41" s="186">
        <v>62</v>
      </c>
      <c r="BB41" s="186">
        <v>62</v>
      </c>
      <c r="BC41" s="186">
        <v>62</v>
      </c>
      <c r="BD41" s="186">
        <v>62</v>
      </c>
      <c r="BE41" s="35">
        <v>62</v>
      </c>
      <c r="BF41" s="35">
        <v>61.5</v>
      </c>
      <c r="BG41" s="35">
        <v>62</v>
      </c>
      <c r="BH41" s="35">
        <v>62</v>
      </c>
      <c r="BI41" s="35">
        <v>62</v>
      </c>
      <c r="BJ41" s="35">
        <v>62</v>
      </c>
      <c r="BK41" s="35">
        <v>62</v>
      </c>
      <c r="BL41" s="35">
        <v>62</v>
      </c>
      <c r="BM41" s="35">
        <f>BM42/BM40*10</f>
        <v>61.999999999999993</v>
      </c>
      <c r="BN41" s="35">
        <v>62</v>
      </c>
      <c r="BO41" s="35">
        <v>62</v>
      </c>
      <c r="BP41" s="35">
        <v>62</v>
      </c>
      <c r="BQ41" s="35">
        <v>62</v>
      </c>
      <c r="BR41" s="35">
        <v>62</v>
      </c>
      <c r="BS41" s="35">
        <v>62</v>
      </c>
      <c r="BT41" s="35">
        <v>62</v>
      </c>
      <c r="BU41" s="35">
        <v>62</v>
      </c>
      <c r="BV41" s="35">
        <v>62</v>
      </c>
      <c r="BW41" s="35">
        <v>62</v>
      </c>
      <c r="BX41" s="35">
        <v>62</v>
      </c>
      <c r="BY41" s="35">
        <v>62</v>
      </c>
      <c r="BZ41" s="35">
        <v>62</v>
      </c>
      <c r="CA41" s="35">
        <v>62</v>
      </c>
      <c r="CB41" s="35">
        <f>BM41</f>
        <v>61.999999999999993</v>
      </c>
      <c r="CC41" s="35">
        <v>61.980314960629919</v>
      </c>
      <c r="CD41" s="35">
        <v>61.980314960629919</v>
      </c>
      <c r="CE41" s="35">
        <v>61.980314960629919</v>
      </c>
      <c r="CF41" s="110">
        <f t="shared" si="11"/>
        <v>61.980314960629919</v>
      </c>
      <c r="CG41" s="35">
        <f t="shared" ref="CG41:CG52" si="80">AX41</f>
        <v>61.980314960629919</v>
      </c>
      <c r="CH41" s="35">
        <f t="shared" si="32"/>
        <v>61.999999999999993</v>
      </c>
      <c r="CI41" s="110">
        <f t="shared" ref="CI41:CI67" si="81">CH41</f>
        <v>61.999999999999993</v>
      </c>
      <c r="CJ41" s="232">
        <f t="shared" si="40"/>
        <v>99.968249936499888</v>
      </c>
      <c r="CK41" s="232">
        <f t="shared" si="41"/>
        <v>100.00000000000001</v>
      </c>
      <c r="CL41" s="132"/>
    </row>
    <row r="42" spans="1:90" s="146" customFormat="1" ht="15">
      <c r="A42" s="78"/>
      <c r="B42" s="83" t="s">
        <v>44</v>
      </c>
      <c r="C42" s="78" t="s">
        <v>34</v>
      </c>
      <c r="D42" s="110">
        <f>[1]B2NN!$K$40</f>
        <v>2360.4</v>
      </c>
      <c r="E42" s="135">
        <f>SUM(F42:S42)</f>
        <v>2361.4499999999998</v>
      </c>
      <c r="F42" s="135">
        <v>62</v>
      </c>
      <c r="G42" s="135">
        <v>62</v>
      </c>
      <c r="H42" s="135">
        <v>62</v>
      </c>
      <c r="I42" s="135">
        <v>341</v>
      </c>
      <c r="J42" s="135">
        <v>248</v>
      </c>
      <c r="K42" s="135">
        <v>198.4</v>
      </c>
      <c r="L42" s="135">
        <v>93</v>
      </c>
      <c r="M42" s="135">
        <v>92.25</v>
      </c>
      <c r="N42" s="135">
        <v>186</v>
      </c>
      <c r="O42" s="135">
        <v>55.8</v>
      </c>
      <c r="P42" s="135">
        <v>372</v>
      </c>
      <c r="Q42" s="135">
        <v>217</v>
      </c>
      <c r="R42" s="135">
        <v>155</v>
      </c>
      <c r="S42" s="135">
        <v>217</v>
      </c>
      <c r="T42" s="135">
        <f>SUM(U42:AH42)</f>
        <v>2361.4499999999998</v>
      </c>
      <c r="U42" s="135">
        <v>62</v>
      </c>
      <c r="V42" s="135">
        <v>62</v>
      </c>
      <c r="W42" s="135">
        <v>62</v>
      </c>
      <c r="X42" s="135">
        <v>341</v>
      </c>
      <c r="Y42" s="135">
        <v>248</v>
      </c>
      <c r="Z42" s="135">
        <v>198.4</v>
      </c>
      <c r="AA42" s="135">
        <v>93</v>
      </c>
      <c r="AB42" s="135">
        <v>92.25</v>
      </c>
      <c r="AC42" s="135">
        <v>186</v>
      </c>
      <c r="AD42" s="135">
        <v>55.8</v>
      </c>
      <c r="AE42" s="135">
        <v>372</v>
      </c>
      <c r="AF42" s="135">
        <v>217</v>
      </c>
      <c r="AG42" s="135">
        <v>155</v>
      </c>
      <c r="AH42" s="135">
        <v>217</v>
      </c>
      <c r="AI42" s="135">
        <f>SUM(AJ42:AW42)</f>
        <v>2361.4499999999998</v>
      </c>
      <c r="AJ42" s="135">
        <v>62</v>
      </c>
      <c r="AK42" s="135">
        <v>62</v>
      </c>
      <c r="AL42" s="135">
        <v>62</v>
      </c>
      <c r="AM42" s="135">
        <v>341</v>
      </c>
      <c r="AN42" s="135">
        <v>248</v>
      </c>
      <c r="AO42" s="135">
        <v>198.4</v>
      </c>
      <c r="AP42" s="135">
        <v>93</v>
      </c>
      <c r="AQ42" s="135">
        <v>92.25</v>
      </c>
      <c r="AR42" s="135">
        <v>186</v>
      </c>
      <c r="AS42" s="135">
        <v>55.8</v>
      </c>
      <c r="AT42" s="135">
        <v>372</v>
      </c>
      <c r="AU42" s="135">
        <v>217</v>
      </c>
      <c r="AV42" s="135">
        <v>155</v>
      </c>
      <c r="AW42" s="135">
        <v>217</v>
      </c>
      <c r="AX42" s="135">
        <f>SUM(AY42:BL42)</f>
        <v>2361.4499999999998</v>
      </c>
      <c r="AY42" s="135">
        <v>62</v>
      </c>
      <c r="AZ42" s="135">
        <v>62</v>
      </c>
      <c r="BA42" s="135">
        <v>62</v>
      </c>
      <c r="BB42" s="135">
        <v>341</v>
      </c>
      <c r="BC42" s="135">
        <v>248</v>
      </c>
      <c r="BD42" s="135">
        <v>198.4</v>
      </c>
      <c r="BE42" s="110">
        <v>93</v>
      </c>
      <c r="BF42" s="110">
        <v>92.25</v>
      </c>
      <c r="BG42" s="110">
        <v>186</v>
      </c>
      <c r="BH42" s="110">
        <v>55.8</v>
      </c>
      <c r="BI42" s="110">
        <v>372</v>
      </c>
      <c r="BJ42" s="110">
        <v>217</v>
      </c>
      <c r="BK42" s="110">
        <v>155</v>
      </c>
      <c r="BL42" s="110">
        <v>217</v>
      </c>
      <c r="BM42" s="110">
        <f>SUM(BN42:CA42)</f>
        <v>2362.1999999999998</v>
      </c>
      <c r="BN42" s="110">
        <v>62</v>
      </c>
      <c r="BO42" s="110">
        <v>62</v>
      </c>
      <c r="BP42" s="110">
        <v>62</v>
      </c>
      <c r="BQ42" s="110">
        <v>341</v>
      </c>
      <c r="BR42" s="110">
        <v>248</v>
      </c>
      <c r="BS42" s="110">
        <v>198.4</v>
      </c>
      <c r="BT42" s="110">
        <v>93</v>
      </c>
      <c r="BU42" s="110">
        <v>93</v>
      </c>
      <c r="BV42" s="110">
        <v>186</v>
      </c>
      <c r="BW42" s="110">
        <v>55.8</v>
      </c>
      <c r="BX42" s="110">
        <v>372</v>
      </c>
      <c r="BY42" s="110">
        <v>217</v>
      </c>
      <c r="BZ42" s="110">
        <v>155</v>
      </c>
      <c r="CA42" s="110">
        <v>217</v>
      </c>
      <c r="CB42" s="110">
        <f>BM42</f>
        <v>2362.1999999999998</v>
      </c>
      <c r="CC42" s="110">
        <v>2361.4499999999998</v>
      </c>
      <c r="CD42" s="110">
        <v>2361.4499999999998</v>
      </c>
      <c r="CE42" s="110">
        <v>2361.4499999999998</v>
      </c>
      <c r="CF42" s="110">
        <f t="shared" si="11"/>
        <v>2361.4499999999998</v>
      </c>
      <c r="CG42" s="110">
        <f t="shared" si="80"/>
        <v>2361.4499999999998</v>
      </c>
      <c r="CH42" s="110">
        <f t="shared" si="32"/>
        <v>2362.1999999999998</v>
      </c>
      <c r="CI42" s="110">
        <f t="shared" si="81"/>
        <v>2362.1999999999998</v>
      </c>
      <c r="CJ42" s="232">
        <f t="shared" si="40"/>
        <v>99.968249936499859</v>
      </c>
      <c r="CK42" s="232">
        <f t="shared" si="41"/>
        <v>99.999999999999986</v>
      </c>
      <c r="CL42" s="132"/>
    </row>
    <row r="43" spans="1:90" s="146" customFormat="1" ht="15" hidden="1">
      <c r="A43" s="78" t="s">
        <v>59</v>
      </c>
      <c r="B43" s="83" t="s">
        <v>60</v>
      </c>
      <c r="C43" s="78"/>
      <c r="D43" s="103"/>
      <c r="E43" s="248"/>
      <c r="F43" s="248"/>
      <c r="G43" s="248"/>
      <c r="H43" s="248"/>
      <c r="I43" s="248"/>
      <c r="J43" s="248"/>
      <c r="K43" s="248"/>
      <c r="L43" s="248"/>
      <c r="M43" s="248"/>
      <c r="N43" s="248"/>
      <c r="O43" s="248"/>
      <c r="P43" s="248"/>
      <c r="Q43" s="248"/>
      <c r="R43" s="248"/>
      <c r="S43" s="248"/>
      <c r="T43" s="248"/>
      <c r="U43" s="248"/>
      <c r="V43" s="248"/>
      <c r="W43" s="248"/>
      <c r="X43" s="248"/>
      <c r="Y43" s="248"/>
      <c r="Z43" s="248"/>
      <c r="AA43" s="248"/>
      <c r="AB43" s="248"/>
      <c r="AC43" s="248"/>
      <c r="AD43" s="248"/>
      <c r="AE43" s="248"/>
      <c r="AF43" s="248"/>
      <c r="AG43" s="248"/>
      <c r="AH43" s="248"/>
      <c r="AI43" s="248"/>
      <c r="AJ43" s="248"/>
      <c r="AK43" s="248"/>
      <c r="AL43" s="248"/>
      <c r="AM43" s="248"/>
      <c r="AN43" s="248"/>
      <c r="AO43" s="248"/>
      <c r="AP43" s="248"/>
      <c r="AQ43" s="248"/>
      <c r="AR43" s="248"/>
      <c r="AS43" s="248"/>
      <c r="AT43" s="248"/>
      <c r="AU43" s="248"/>
      <c r="AV43" s="248"/>
      <c r="AW43" s="248"/>
      <c r="AX43" s="248"/>
      <c r="AY43" s="248"/>
      <c r="AZ43" s="248"/>
      <c r="BA43" s="248"/>
      <c r="BB43" s="248"/>
      <c r="BC43" s="248"/>
      <c r="BD43" s="248"/>
      <c r="BE43" s="103"/>
      <c r="BF43" s="103"/>
      <c r="BG43" s="103"/>
      <c r="BH43" s="103"/>
      <c r="BI43" s="103"/>
      <c r="BJ43" s="103"/>
      <c r="BK43" s="103"/>
      <c r="BL43" s="103"/>
      <c r="BM43" s="103"/>
      <c r="BN43" s="103"/>
      <c r="BO43" s="103"/>
      <c r="BP43" s="103"/>
      <c r="BQ43" s="103"/>
      <c r="BR43" s="103"/>
      <c r="BS43" s="103"/>
      <c r="BT43" s="103"/>
      <c r="BU43" s="103"/>
      <c r="BV43" s="103"/>
      <c r="BW43" s="103"/>
      <c r="BX43" s="103"/>
      <c r="BY43" s="103"/>
      <c r="BZ43" s="103"/>
      <c r="CA43" s="103"/>
      <c r="CB43" s="103"/>
      <c r="CC43" s="103"/>
      <c r="CD43" s="132"/>
      <c r="CE43" s="132"/>
      <c r="CF43" s="110">
        <f t="shared" si="11"/>
        <v>0</v>
      </c>
      <c r="CG43" s="35">
        <f t="shared" si="80"/>
        <v>0</v>
      </c>
      <c r="CH43" s="35">
        <f t="shared" si="32"/>
        <v>0</v>
      </c>
      <c r="CI43" s="110">
        <f t="shared" si="81"/>
        <v>0</v>
      </c>
      <c r="CJ43" s="232" t="e">
        <f t="shared" si="40"/>
        <v>#DIV/0!</v>
      </c>
      <c r="CK43" s="232" t="e">
        <f t="shared" si="41"/>
        <v>#DIV/0!</v>
      </c>
      <c r="CL43" s="132"/>
    </row>
    <row r="44" spans="1:90" s="146" customFormat="1" ht="15" hidden="1">
      <c r="A44" s="78"/>
      <c r="B44" s="83" t="s">
        <v>61</v>
      </c>
      <c r="C44" s="78" t="s">
        <v>41</v>
      </c>
      <c r="D44" s="35" t="e">
        <f>#REF!</f>
        <v>#REF!</v>
      </c>
      <c r="E44" s="186">
        <f>SUM(F44:S44)</f>
        <v>64</v>
      </c>
      <c r="F44" s="186"/>
      <c r="G44" s="186">
        <v>12</v>
      </c>
      <c r="H44" s="186">
        <v>15</v>
      </c>
      <c r="I44" s="186">
        <v>3</v>
      </c>
      <c r="J44" s="186">
        <v>3</v>
      </c>
      <c r="K44" s="186"/>
      <c r="L44" s="186"/>
      <c r="M44" s="186"/>
      <c r="N44" s="186">
        <v>7</v>
      </c>
      <c r="O44" s="186">
        <v>5</v>
      </c>
      <c r="P44" s="186">
        <v>4</v>
      </c>
      <c r="Q44" s="186">
        <v>5</v>
      </c>
      <c r="R44" s="186">
        <v>5</v>
      </c>
      <c r="S44" s="186">
        <v>5</v>
      </c>
      <c r="T44" s="186">
        <f>SUM(U44:AH44)</f>
        <v>63</v>
      </c>
      <c r="U44" s="186"/>
      <c r="V44" s="186">
        <v>12</v>
      </c>
      <c r="W44" s="186">
        <v>15</v>
      </c>
      <c r="X44" s="186">
        <v>3</v>
      </c>
      <c r="Y44" s="186">
        <v>3</v>
      </c>
      <c r="Z44" s="186"/>
      <c r="AA44" s="186"/>
      <c r="AB44" s="186"/>
      <c r="AC44" s="186">
        <v>7</v>
      </c>
      <c r="AD44" s="186">
        <v>5</v>
      </c>
      <c r="AE44" s="186">
        <v>4</v>
      </c>
      <c r="AF44" s="186">
        <v>4</v>
      </c>
      <c r="AG44" s="186">
        <v>5</v>
      </c>
      <c r="AH44" s="186">
        <v>5</v>
      </c>
      <c r="AI44" s="186">
        <f>SUM(AJ44:AW44)</f>
        <v>63.5</v>
      </c>
      <c r="AJ44" s="186"/>
      <c r="AK44" s="186">
        <v>12</v>
      </c>
      <c r="AL44" s="186">
        <v>15</v>
      </c>
      <c r="AM44" s="186">
        <v>3</v>
      </c>
      <c r="AN44" s="186">
        <v>3.5</v>
      </c>
      <c r="AO44" s="186"/>
      <c r="AP44" s="186"/>
      <c r="AQ44" s="186"/>
      <c r="AR44" s="186">
        <v>7</v>
      </c>
      <c r="AS44" s="186">
        <v>5</v>
      </c>
      <c r="AT44" s="186">
        <v>4</v>
      </c>
      <c r="AU44" s="186">
        <v>4</v>
      </c>
      <c r="AV44" s="186">
        <v>5</v>
      </c>
      <c r="AW44" s="186">
        <v>5</v>
      </c>
      <c r="AX44" s="186">
        <f>SUM(AY44:BL44)</f>
        <v>51.5</v>
      </c>
      <c r="AY44" s="186"/>
      <c r="AZ44" s="186"/>
      <c r="BA44" s="186">
        <v>15</v>
      </c>
      <c r="BB44" s="186">
        <v>3</v>
      </c>
      <c r="BC44" s="186">
        <v>3.5</v>
      </c>
      <c r="BD44" s="186"/>
      <c r="BE44" s="35"/>
      <c r="BF44" s="35"/>
      <c r="BG44" s="35">
        <v>7</v>
      </c>
      <c r="BH44" s="35">
        <v>5</v>
      </c>
      <c r="BI44" s="35">
        <v>4</v>
      </c>
      <c r="BJ44" s="35">
        <v>4</v>
      </c>
      <c r="BK44" s="35">
        <v>5</v>
      </c>
      <c r="BL44" s="35">
        <v>5</v>
      </c>
      <c r="BM44" s="35">
        <f>SUM(BN44:CA44)</f>
        <v>63</v>
      </c>
      <c r="BN44" s="35"/>
      <c r="BO44" s="35">
        <v>12</v>
      </c>
      <c r="BP44" s="35">
        <v>15</v>
      </c>
      <c r="BQ44" s="35">
        <v>3</v>
      </c>
      <c r="BR44" s="35">
        <v>3</v>
      </c>
      <c r="BS44" s="35"/>
      <c r="BT44" s="35"/>
      <c r="BU44" s="35"/>
      <c r="BV44" s="35">
        <v>7</v>
      </c>
      <c r="BW44" s="35">
        <v>5</v>
      </c>
      <c r="BX44" s="35">
        <v>4</v>
      </c>
      <c r="BY44" s="35">
        <v>4</v>
      </c>
      <c r="BZ44" s="35">
        <v>5</v>
      </c>
      <c r="CA44" s="35">
        <v>5</v>
      </c>
      <c r="CB44" s="35">
        <f t="shared" ref="CB44:CB49" si="82">BM44</f>
        <v>63</v>
      </c>
      <c r="CC44" s="35"/>
      <c r="CD44" s="132"/>
      <c r="CE44" s="132"/>
      <c r="CF44" s="110">
        <f t="shared" si="11"/>
        <v>0</v>
      </c>
      <c r="CG44" s="35">
        <f t="shared" si="80"/>
        <v>51.5</v>
      </c>
      <c r="CH44" s="35">
        <f t="shared" si="32"/>
        <v>63</v>
      </c>
      <c r="CI44" s="110">
        <f t="shared" si="81"/>
        <v>63</v>
      </c>
      <c r="CJ44" s="232">
        <f t="shared" si="40"/>
        <v>0</v>
      </c>
      <c r="CK44" s="232">
        <f t="shared" si="41"/>
        <v>100</v>
      </c>
      <c r="CL44" s="131"/>
    </row>
    <row r="45" spans="1:90" s="146" customFormat="1" ht="15" hidden="1">
      <c r="A45" s="78"/>
      <c r="B45" s="83" t="s">
        <v>62</v>
      </c>
      <c r="C45" s="78" t="s">
        <v>43</v>
      </c>
      <c r="D45" s="35" t="e">
        <f>#REF!</f>
        <v>#REF!</v>
      </c>
      <c r="E45" s="186">
        <f>E46/E44*10</f>
        <v>9.84375</v>
      </c>
      <c r="F45" s="186"/>
      <c r="G45" s="186">
        <v>10</v>
      </c>
      <c r="H45" s="186">
        <v>9.5</v>
      </c>
      <c r="I45" s="186">
        <v>10</v>
      </c>
      <c r="J45" s="186">
        <v>10</v>
      </c>
      <c r="K45" s="186"/>
      <c r="L45" s="186"/>
      <c r="M45" s="186"/>
      <c r="N45" s="186">
        <v>10</v>
      </c>
      <c r="O45" s="186">
        <v>10</v>
      </c>
      <c r="P45" s="186">
        <v>10</v>
      </c>
      <c r="Q45" s="186">
        <v>9.5</v>
      </c>
      <c r="R45" s="186">
        <v>10</v>
      </c>
      <c r="S45" s="186">
        <v>10</v>
      </c>
      <c r="T45" s="186">
        <f>T46/T44*10</f>
        <v>9.849206349206348</v>
      </c>
      <c r="U45" s="186"/>
      <c r="V45" s="186">
        <v>10</v>
      </c>
      <c r="W45" s="186">
        <v>9.5</v>
      </c>
      <c r="X45" s="186">
        <v>10</v>
      </c>
      <c r="Y45" s="186">
        <v>10</v>
      </c>
      <c r="Z45" s="186"/>
      <c r="AA45" s="186"/>
      <c r="AB45" s="186"/>
      <c r="AC45" s="186">
        <v>10</v>
      </c>
      <c r="AD45" s="186">
        <v>10</v>
      </c>
      <c r="AE45" s="186">
        <v>10</v>
      </c>
      <c r="AF45" s="186">
        <v>9.5</v>
      </c>
      <c r="AG45" s="186">
        <v>10</v>
      </c>
      <c r="AH45" s="186">
        <v>10</v>
      </c>
      <c r="AI45" s="186">
        <f>AI46/AI44*10</f>
        <v>9.8503937007874001</v>
      </c>
      <c r="AJ45" s="186"/>
      <c r="AK45" s="186">
        <v>10</v>
      </c>
      <c r="AL45" s="186">
        <v>9.5</v>
      </c>
      <c r="AM45" s="186">
        <v>10</v>
      </c>
      <c r="AN45" s="186">
        <v>10</v>
      </c>
      <c r="AO45" s="186"/>
      <c r="AP45" s="186"/>
      <c r="AQ45" s="186"/>
      <c r="AR45" s="186">
        <v>10</v>
      </c>
      <c r="AS45" s="186">
        <v>10</v>
      </c>
      <c r="AT45" s="186">
        <v>10</v>
      </c>
      <c r="AU45" s="186">
        <v>9.5</v>
      </c>
      <c r="AV45" s="186">
        <v>10</v>
      </c>
      <c r="AW45" s="186">
        <v>10</v>
      </c>
      <c r="AX45" s="186">
        <f>AX46/AX44*10</f>
        <v>9.8155339805825239</v>
      </c>
      <c r="AY45" s="186"/>
      <c r="AZ45" s="186"/>
      <c r="BA45" s="186">
        <v>9.5</v>
      </c>
      <c r="BB45" s="186">
        <v>10</v>
      </c>
      <c r="BC45" s="186">
        <v>10</v>
      </c>
      <c r="BD45" s="186"/>
      <c r="BE45" s="35"/>
      <c r="BF45" s="35"/>
      <c r="BG45" s="35">
        <v>10</v>
      </c>
      <c r="BH45" s="35">
        <v>10</v>
      </c>
      <c r="BI45" s="35">
        <v>10</v>
      </c>
      <c r="BJ45" s="35">
        <v>9.5</v>
      </c>
      <c r="BK45" s="35">
        <v>10</v>
      </c>
      <c r="BL45" s="35">
        <v>10</v>
      </c>
      <c r="BM45" s="35">
        <f>BM46/BM44*10</f>
        <v>9.849206349206348</v>
      </c>
      <c r="BN45" s="35"/>
      <c r="BO45" s="35">
        <v>10</v>
      </c>
      <c r="BP45" s="35">
        <v>9.5</v>
      </c>
      <c r="BQ45" s="35">
        <v>10</v>
      </c>
      <c r="BR45" s="35">
        <v>10</v>
      </c>
      <c r="BS45" s="35"/>
      <c r="BT45" s="35"/>
      <c r="BU45" s="35"/>
      <c r="BV45" s="35">
        <v>10</v>
      </c>
      <c r="BW45" s="35">
        <v>10</v>
      </c>
      <c r="BX45" s="35">
        <v>10</v>
      </c>
      <c r="BY45" s="35">
        <v>9.5</v>
      </c>
      <c r="BZ45" s="35">
        <v>10</v>
      </c>
      <c r="CA45" s="35">
        <v>10</v>
      </c>
      <c r="CB45" s="35">
        <f t="shared" si="82"/>
        <v>9.849206349206348</v>
      </c>
      <c r="CC45" s="35"/>
      <c r="CD45" s="125"/>
      <c r="CE45" s="125"/>
      <c r="CF45" s="110">
        <f t="shared" si="11"/>
        <v>0</v>
      </c>
      <c r="CG45" s="35">
        <f t="shared" si="80"/>
        <v>9.8155339805825239</v>
      </c>
      <c r="CH45" s="35">
        <f t="shared" si="32"/>
        <v>9.849206349206348</v>
      </c>
      <c r="CI45" s="110">
        <f t="shared" si="81"/>
        <v>9.849206349206348</v>
      </c>
      <c r="CJ45" s="232">
        <f t="shared" si="40"/>
        <v>0</v>
      </c>
      <c r="CK45" s="232">
        <f t="shared" si="41"/>
        <v>100</v>
      </c>
      <c r="CL45" s="192"/>
    </row>
    <row r="46" spans="1:90" s="146" customFormat="1" ht="15" hidden="1">
      <c r="A46" s="78"/>
      <c r="B46" s="83" t="s">
        <v>63</v>
      </c>
      <c r="C46" s="78" t="s">
        <v>34</v>
      </c>
      <c r="D46" s="110" t="e">
        <f>#REF!</f>
        <v>#REF!</v>
      </c>
      <c r="E46" s="251">
        <f>SUM(F46:S46)</f>
        <v>63</v>
      </c>
      <c r="F46" s="251"/>
      <c r="G46" s="251">
        <f>G44*G45/10</f>
        <v>12</v>
      </c>
      <c r="H46" s="251">
        <f>H44*H45/10</f>
        <v>14.25</v>
      </c>
      <c r="I46" s="251">
        <f>I44*I45/10</f>
        <v>3</v>
      </c>
      <c r="J46" s="251">
        <f>J44*J45/10</f>
        <v>3</v>
      </c>
      <c r="K46" s="251"/>
      <c r="L46" s="251"/>
      <c r="M46" s="251"/>
      <c r="N46" s="251">
        <f t="shared" ref="N46:S46" si="83">N44*N45/10</f>
        <v>7</v>
      </c>
      <c r="O46" s="251">
        <f t="shared" si="83"/>
        <v>5</v>
      </c>
      <c r="P46" s="251">
        <f t="shared" si="83"/>
        <v>4</v>
      </c>
      <c r="Q46" s="251">
        <f t="shared" si="83"/>
        <v>4.75</v>
      </c>
      <c r="R46" s="251">
        <f t="shared" si="83"/>
        <v>5</v>
      </c>
      <c r="S46" s="251">
        <f t="shared" si="83"/>
        <v>5</v>
      </c>
      <c r="T46" s="251">
        <f>SUM(U46:AH46)</f>
        <v>62.05</v>
      </c>
      <c r="U46" s="251"/>
      <c r="V46" s="251">
        <f>V44*V45/10</f>
        <v>12</v>
      </c>
      <c r="W46" s="251">
        <f>W44*W45/10</f>
        <v>14.25</v>
      </c>
      <c r="X46" s="251">
        <f>X44*X45/10</f>
        <v>3</v>
      </c>
      <c r="Y46" s="251">
        <f>Y44*Y45/10</f>
        <v>3</v>
      </c>
      <c r="Z46" s="251"/>
      <c r="AA46" s="251"/>
      <c r="AB46" s="251"/>
      <c r="AC46" s="251">
        <f t="shared" ref="AC46:AH46" si="84">AC44*AC45/10</f>
        <v>7</v>
      </c>
      <c r="AD46" s="251">
        <f t="shared" si="84"/>
        <v>5</v>
      </c>
      <c r="AE46" s="251">
        <f t="shared" si="84"/>
        <v>4</v>
      </c>
      <c r="AF46" s="251">
        <f t="shared" si="84"/>
        <v>3.8</v>
      </c>
      <c r="AG46" s="251">
        <f t="shared" si="84"/>
        <v>5</v>
      </c>
      <c r="AH46" s="251">
        <f t="shared" si="84"/>
        <v>5</v>
      </c>
      <c r="AI46" s="251">
        <f>SUM(AJ46:AW46)</f>
        <v>62.55</v>
      </c>
      <c r="AJ46" s="251"/>
      <c r="AK46" s="251">
        <f>AK44*AK45/10</f>
        <v>12</v>
      </c>
      <c r="AL46" s="251">
        <f>AL44*AL45/10</f>
        <v>14.25</v>
      </c>
      <c r="AM46" s="251">
        <f>AM44*AM45/10</f>
        <v>3</v>
      </c>
      <c r="AN46" s="251">
        <f>AN44*AN45/10</f>
        <v>3.5</v>
      </c>
      <c r="AO46" s="251"/>
      <c r="AP46" s="251"/>
      <c r="AQ46" s="251"/>
      <c r="AR46" s="251">
        <f t="shared" ref="AR46:AW46" si="85">AR44*AR45/10</f>
        <v>7</v>
      </c>
      <c r="AS46" s="251">
        <f t="shared" si="85"/>
        <v>5</v>
      </c>
      <c r="AT46" s="251">
        <f t="shared" si="85"/>
        <v>4</v>
      </c>
      <c r="AU46" s="251">
        <f t="shared" si="85"/>
        <v>3.8</v>
      </c>
      <c r="AV46" s="251">
        <f t="shared" si="85"/>
        <v>5</v>
      </c>
      <c r="AW46" s="251">
        <f t="shared" si="85"/>
        <v>5</v>
      </c>
      <c r="AX46" s="251">
        <f>SUM(AY46:BL46)</f>
        <v>50.55</v>
      </c>
      <c r="AY46" s="251"/>
      <c r="AZ46" s="251"/>
      <c r="BA46" s="251">
        <f>BA44*BA45/10</f>
        <v>14.25</v>
      </c>
      <c r="BB46" s="251">
        <f>BB44*BB45/10</f>
        <v>3</v>
      </c>
      <c r="BC46" s="251">
        <f>BC44*BC45/10</f>
        <v>3.5</v>
      </c>
      <c r="BD46" s="251"/>
      <c r="BE46" s="252"/>
      <c r="BF46" s="252"/>
      <c r="BG46" s="252">
        <f t="shared" ref="BG46:BL46" si="86">BG44*BG45/10</f>
        <v>7</v>
      </c>
      <c r="BH46" s="252">
        <f t="shared" si="86"/>
        <v>5</v>
      </c>
      <c r="BI46" s="252">
        <f t="shared" si="86"/>
        <v>4</v>
      </c>
      <c r="BJ46" s="252">
        <f t="shared" si="86"/>
        <v>3.8</v>
      </c>
      <c r="BK46" s="252">
        <f t="shared" si="86"/>
        <v>5</v>
      </c>
      <c r="BL46" s="252">
        <f t="shared" si="86"/>
        <v>5</v>
      </c>
      <c r="BM46" s="252">
        <f>SUM(BN46:CA46)</f>
        <v>62.05</v>
      </c>
      <c r="BN46" s="252"/>
      <c r="BO46" s="252">
        <f>BO44*BO45/10</f>
        <v>12</v>
      </c>
      <c r="BP46" s="252">
        <f>BP44*BP45/10</f>
        <v>14.25</v>
      </c>
      <c r="BQ46" s="252">
        <f>BQ44*BQ45/10</f>
        <v>3</v>
      </c>
      <c r="BR46" s="252">
        <f>BR44*BR45/10</f>
        <v>3</v>
      </c>
      <c r="BS46" s="252"/>
      <c r="BT46" s="252"/>
      <c r="BU46" s="252"/>
      <c r="BV46" s="252">
        <f t="shared" ref="BV46:CA46" si="87">BV44*BV45/10</f>
        <v>7</v>
      </c>
      <c r="BW46" s="252">
        <f t="shared" si="87"/>
        <v>5</v>
      </c>
      <c r="BX46" s="252">
        <f t="shared" si="87"/>
        <v>4</v>
      </c>
      <c r="BY46" s="252">
        <f t="shared" si="87"/>
        <v>3.8</v>
      </c>
      <c r="BZ46" s="252">
        <f t="shared" si="87"/>
        <v>5</v>
      </c>
      <c r="CA46" s="252">
        <f t="shared" si="87"/>
        <v>5</v>
      </c>
      <c r="CB46" s="252">
        <f t="shared" si="82"/>
        <v>62.05</v>
      </c>
      <c r="CC46" s="252"/>
      <c r="CD46" s="132"/>
      <c r="CE46" s="132"/>
      <c r="CF46" s="110">
        <f t="shared" si="11"/>
        <v>0</v>
      </c>
      <c r="CG46" s="35">
        <f t="shared" si="80"/>
        <v>50.55</v>
      </c>
      <c r="CH46" s="35">
        <f t="shared" si="32"/>
        <v>62.05</v>
      </c>
      <c r="CI46" s="110">
        <f t="shared" si="81"/>
        <v>62.05</v>
      </c>
      <c r="CJ46" s="232">
        <f t="shared" si="40"/>
        <v>0</v>
      </c>
      <c r="CK46" s="232">
        <f t="shared" si="41"/>
        <v>100</v>
      </c>
      <c r="CL46" s="127"/>
    </row>
    <row r="47" spans="1:90" s="146" customFormat="1" ht="15" hidden="1">
      <c r="A47" s="78"/>
      <c r="B47" s="83" t="s">
        <v>64</v>
      </c>
      <c r="C47" s="78" t="s">
        <v>41</v>
      </c>
      <c r="D47" s="35">
        <v>30</v>
      </c>
      <c r="E47" s="186">
        <f>SUM(F47:S47)</f>
        <v>23</v>
      </c>
      <c r="F47" s="186"/>
      <c r="G47" s="186"/>
      <c r="H47" s="186">
        <v>4</v>
      </c>
      <c r="I47" s="186">
        <v>2</v>
      </c>
      <c r="J47" s="186"/>
      <c r="K47" s="186">
        <v>7</v>
      </c>
      <c r="L47" s="186"/>
      <c r="M47" s="186"/>
      <c r="N47" s="186"/>
      <c r="O47" s="186"/>
      <c r="P47" s="186"/>
      <c r="Q47" s="186"/>
      <c r="R47" s="186">
        <v>5</v>
      </c>
      <c r="S47" s="186">
        <v>5</v>
      </c>
      <c r="T47" s="186">
        <f>SUM(U47:AH47)</f>
        <v>23</v>
      </c>
      <c r="U47" s="186"/>
      <c r="V47" s="186"/>
      <c r="W47" s="186">
        <v>4</v>
      </c>
      <c r="X47" s="186">
        <v>2</v>
      </c>
      <c r="Y47" s="186"/>
      <c r="Z47" s="186">
        <v>7</v>
      </c>
      <c r="AA47" s="186"/>
      <c r="AB47" s="186"/>
      <c r="AC47" s="186"/>
      <c r="AD47" s="186"/>
      <c r="AE47" s="186"/>
      <c r="AF47" s="186"/>
      <c r="AG47" s="186">
        <v>5</v>
      </c>
      <c r="AH47" s="186">
        <v>5</v>
      </c>
      <c r="AI47" s="186">
        <f>SUM(AJ47:AW47)</f>
        <v>23</v>
      </c>
      <c r="AJ47" s="186"/>
      <c r="AK47" s="186"/>
      <c r="AL47" s="186">
        <v>4</v>
      </c>
      <c r="AM47" s="186">
        <v>2</v>
      </c>
      <c r="AN47" s="186"/>
      <c r="AO47" s="186">
        <v>7</v>
      </c>
      <c r="AP47" s="186"/>
      <c r="AQ47" s="186"/>
      <c r="AR47" s="186"/>
      <c r="AS47" s="186"/>
      <c r="AT47" s="186"/>
      <c r="AU47" s="186"/>
      <c r="AV47" s="186">
        <v>5</v>
      </c>
      <c r="AW47" s="186">
        <v>5</v>
      </c>
      <c r="AX47" s="186">
        <f>SUM(AY47:BL47)</f>
        <v>23</v>
      </c>
      <c r="AY47" s="186"/>
      <c r="AZ47" s="186"/>
      <c r="BA47" s="186">
        <v>4</v>
      </c>
      <c r="BB47" s="186">
        <v>2</v>
      </c>
      <c r="BC47" s="186"/>
      <c r="BD47" s="186">
        <v>7</v>
      </c>
      <c r="BE47" s="35"/>
      <c r="BF47" s="35"/>
      <c r="BG47" s="35"/>
      <c r="BH47" s="35"/>
      <c r="BI47" s="35"/>
      <c r="BJ47" s="35"/>
      <c r="BK47" s="35">
        <v>5</v>
      </c>
      <c r="BL47" s="35">
        <v>5</v>
      </c>
      <c r="BM47" s="35">
        <f>SUM(BN47:CA47)</f>
        <v>23</v>
      </c>
      <c r="BN47" s="35"/>
      <c r="BO47" s="35"/>
      <c r="BP47" s="35">
        <v>4</v>
      </c>
      <c r="BQ47" s="35">
        <v>2</v>
      </c>
      <c r="BR47" s="35"/>
      <c r="BS47" s="35">
        <v>7</v>
      </c>
      <c r="BT47" s="35"/>
      <c r="BU47" s="35"/>
      <c r="BV47" s="35"/>
      <c r="BW47" s="35"/>
      <c r="BX47" s="35"/>
      <c r="BY47" s="35"/>
      <c r="BZ47" s="35">
        <v>5</v>
      </c>
      <c r="CA47" s="35">
        <v>5</v>
      </c>
      <c r="CB47" s="35">
        <f t="shared" si="82"/>
        <v>23</v>
      </c>
      <c r="CC47" s="35"/>
      <c r="CD47" s="138"/>
      <c r="CE47" s="138"/>
      <c r="CF47" s="110">
        <f t="shared" si="11"/>
        <v>0</v>
      </c>
      <c r="CG47" s="35">
        <f t="shared" si="80"/>
        <v>23</v>
      </c>
      <c r="CH47" s="35">
        <f t="shared" si="32"/>
        <v>23</v>
      </c>
      <c r="CI47" s="110">
        <f t="shared" si="81"/>
        <v>23</v>
      </c>
      <c r="CJ47" s="232">
        <f t="shared" si="40"/>
        <v>0</v>
      </c>
      <c r="CK47" s="232">
        <f t="shared" si="41"/>
        <v>100</v>
      </c>
      <c r="CL47" s="131"/>
    </row>
    <row r="48" spans="1:90" s="146" customFormat="1" ht="15" hidden="1">
      <c r="A48" s="78"/>
      <c r="B48" s="83" t="s">
        <v>62</v>
      </c>
      <c r="C48" s="78" t="s">
        <v>43</v>
      </c>
      <c r="D48" s="35">
        <v>10</v>
      </c>
      <c r="E48" s="186">
        <f>E49/E47*10</f>
        <v>10.165217391304346</v>
      </c>
      <c r="F48" s="186"/>
      <c r="G48" s="186"/>
      <c r="H48" s="186">
        <v>9.1999999999999993</v>
      </c>
      <c r="I48" s="186">
        <v>10</v>
      </c>
      <c r="J48" s="186"/>
      <c r="K48" s="186">
        <v>11</v>
      </c>
      <c r="L48" s="186"/>
      <c r="M48" s="186"/>
      <c r="N48" s="186"/>
      <c r="O48" s="186"/>
      <c r="P48" s="186"/>
      <c r="Q48" s="186"/>
      <c r="R48" s="186">
        <v>10</v>
      </c>
      <c r="S48" s="186">
        <v>10</v>
      </c>
      <c r="T48" s="186">
        <f>T49/T47*10</f>
        <v>10.165217391304346</v>
      </c>
      <c r="U48" s="186"/>
      <c r="V48" s="186"/>
      <c r="W48" s="186">
        <v>9.1999999999999993</v>
      </c>
      <c r="X48" s="186">
        <v>10</v>
      </c>
      <c r="Y48" s="186"/>
      <c r="Z48" s="186">
        <v>11</v>
      </c>
      <c r="AA48" s="186"/>
      <c r="AB48" s="186"/>
      <c r="AC48" s="186"/>
      <c r="AD48" s="186"/>
      <c r="AE48" s="186"/>
      <c r="AF48" s="186"/>
      <c r="AG48" s="186">
        <v>10</v>
      </c>
      <c r="AH48" s="186">
        <v>10</v>
      </c>
      <c r="AI48" s="186">
        <f>AI49/AI47*10</f>
        <v>10.165217391304346</v>
      </c>
      <c r="AJ48" s="186"/>
      <c r="AK48" s="186"/>
      <c r="AL48" s="186">
        <v>9.1999999999999993</v>
      </c>
      <c r="AM48" s="186">
        <v>10</v>
      </c>
      <c r="AN48" s="186"/>
      <c r="AO48" s="186">
        <v>11</v>
      </c>
      <c r="AP48" s="186"/>
      <c r="AQ48" s="186"/>
      <c r="AR48" s="186"/>
      <c r="AS48" s="186"/>
      <c r="AT48" s="186"/>
      <c r="AU48" s="186"/>
      <c r="AV48" s="186">
        <v>10</v>
      </c>
      <c r="AW48" s="186">
        <v>10</v>
      </c>
      <c r="AX48" s="186">
        <f>AX49/AX47*10</f>
        <v>10.165217391304346</v>
      </c>
      <c r="AY48" s="186"/>
      <c r="AZ48" s="186"/>
      <c r="BA48" s="186">
        <v>9.1999999999999993</v>
      </c>
      <c r="BB48" s="186">
        <v>10</v>
      </c>
      <c r="BC48" s="186"/>
      <c r="BD48" s="186">
        <v>11</v>
      </c>
      <c r="BE48" s="35"/>
      <c r="BF48" s="35"/>
      <c r="BG48" s="35"/>
      <c r="BH48" s="35"/>
      <c r="BI48" s="35"/>
      <c r="BJ48" s="35"/>
      <c r="BK48" s="35">
        <v>10</v>
      </c>
      <c r="BL48" s="35">
        <v>10</v>
      </c>
      <c r="BM48" s="35">
        <f>BM49/BM47*10</f>
        <v>10.165217391304346</v>
      </c>
      <c r="BN48" s="35"/>
      <c r="BO48" s="35"/>
      <c r="BP48" s="35">
        <v>9.1999999999999993</v>
      </c>
      <c r="BQ48" s="35">
        <v>10</v>
      </c>
      <c r="BR48" s="35"/>
      <c r="BS48" s="35">
        <v>11</v>
      </c>
      <c r="BT48" s="35"/>
      <c r="BU48" s="35"/>
      <c r="BV48" s="35"/>
      <c r="BW48" s="35"/>
      <c r="BX48" s="35"/>
      <c r="BY48" s="35"/>
      <c r="BZ48" s="35">
        <v>10</v>
      </c>
      <c r="CA48" s="35">
        <v>10</v>
      </c>
      <c r="CB48" s="35">
        <f t="shared" si="82"/>
        <v>10.165217391304346</v>
      </c>
      <c r="CC48" s="35"/>
      <c r="CD48" s="131"/>
      <c r="CE48" s="131"/>
      <c r="CF48" s="110">
        <f t="shared" si="11"/>
        <v>0</v>
      </c>
      <c r="CG48" s="35">
        <f t="shared" si="80"/>
        <v>10.165217391304346</v>
      </c>
      <c r="CH48" s="35">
        <f t="shared" si="32"/>
        <v>10.165217391304346</v>
      </c>
      <c r="CI48" s="110">
        <f t="shared" si="81"/>
        <v>10.165217391304346</v>
      </c>
      <c r="CJ48" s="232">
        <f t="shared" si="40"/>
        <v>0</v>
      </c>
      <c r="CK48" s="232">
        <f t="shared" si="41"/>
        <v>100</v>
      </c>
      <c r="CL48" s="131"/>
    </row>
    <row r="49" spans="1:90" s="146" customFormat="1" ht="15" hidden="1">
      <c r="A49" s="78"/>
      <c r="B49" s="83" t="s">
        <v>63</v>
      </c>
      <c r="C49" s="78" t="s">
        <v>34</v>
      </c>
      <c r="D49" s="110">
        <v>30</v>
      </c>
      <c r="E49" s="135">
        <f>SUM(F49:S49)</f>
        <v>23.38</v>
      </c>
      <c r="F49" s="135"/>
      <c r="G49" s="135"/>
      <c r="H49" s="135">
        <f>H47*H48/10</f>
        <v>3.6799999999999997</v>
      </c>
      <c r="I49" s="135">
        <f>I47*I48/10</f>
        <v>2</v>
      </c>
      <c r="J49" s="135"/>
      <c r="K49" s="135">
        <f>K47*K48/10</f>
        <v>7.7</v>
      </c>
      <c r="L49" s="135"/>
      <c r="M49" s="135"/>
      <c r="N49" s="135"/>
      <c r="O49" s="135"/>
      <c r="P49" s="135"/>
      <c r="Q49" s="135"/>
      <c r="R49" s="135">
        <f>R47*R48/10</f>
        <v>5</v>
      </c>
      <c r="S49" s="135">
        <f>S47*S48/10</f>
        <v>5</v>
      </c>
      <c r="T49" s="135">
        <f>SUM(U49:AH49)</f>
        <v>23.38</v>
      </c>
      <c r="U49" s="135"/>
      <c r="V49" s="135"/>
      <c r="W49" s="135">
        <f>W47*W48/10</f>
        <v>3.6799999999999997</v>
      </c>
      <c r="X49" s="135">
        <f>X47*X48/10</f>
        <v>2</v>
      </c>
      <c r="Y49" s="135"/>
      <c r="Z49" s="135">
        <f>Z47*Z48/10</f>
        <v>7.7</v>
      </c>
      <c r="AA49" s="135"/>
      <c r="AB49" s="135"/>
      <c r="AC49" s="135"/>
      <c r="AD49" s="135"/>
      <c r="AE49" s="135"/>
      <c r="AF49" s="135"/>
      <c r="AG49" s="135">
        <f>AG47*AG48/10</f>
        <v>5</v>
      </c>
      <c r="AH49" s="135">
        <f>AH47*AH48/10</f>
        <v>5</v>
      </c>
      <c r="AI49" s="135">
        <f>SUM(AJ49:AW49)</f>
        <v>23.38</v>
      </c>
      <c r="AJ49" s="135"/>
      <c r="AK49" s="135"/>
      <c r="AL49" s="135">
        <f>AL47*AL48/10</f>
        <v>3.6799999999999997</v>
      </c>
      <c r="AM49" s="135">
        <f>AM47*AM48/10</f>
        <v>2</v>
      </c>
      <c r="AN49" s="135"/>
      <c r="AO49" s="135">
        <f>AO47*AO48/10</f>
        <v>7.7</v>
      </c>
      <c r="AP49" s="135"/>
      <c r="AQ49" s="135"/>
      <c r="AR49" s="135"/>
      <c r="AS49" s="135"/>
      <c r="AT49" s="135"/>
      <c r="AU49" s="135"/>
      <c r="AV49" s="135">
        <f>AV47*AV48/10</f>
        <v>5</v>
      </c>
      <c r="AW49" s="135">
        <f>AW47*AW48/10</f>
        <v>5</v>
      </c>
      <c r="AX49" s="135">
        <f>SUM(AY49:BL49)</f>
        <v>23.38</v>
      </c>
      <c r="AY49" s="135"/>
      <c r="AZ49" s="135"/>
      <c r="BA49" s="135">
        <f>BA47*BA48/10</f>
        <v>3.6799999999999997</v>
      </c>
      <c r="BB49" s="135">
        <f>BB47*BB48/10</f>
        <v>2</v>
      </c>
      <c r="BC49" s="135"/>
      <c r="BD49" s="135">
        <f>BD47*BD48/10</f>
        <v>7.7</v>
      </c>
      <c r="BE49" s="110"/>
      <c r="BF49" s="110"/>
      <c r="BG49" s="110"/>
      <c r="BH49" s="110"/>
      <c r="BI49" s="110"/>
      <c r="BJ49" s="110"/>
      <c r="BK49" s="110">
        <f>BK47*BK48/10</f>
        <v>5</v>
      </c>
      <c r="BL49" s="110">
        <f>BL47*BL48/10</f>
        <v>5</v>
      </c>
      <c r="BM49" s="110">
        <f>SUM(BN49:CA49)</f>
        <v>23.38</v>
      </c>
      <c r="BN49" s="110"/>
      <c r="BO49" s="110"/>
      <c r="BP49" s="110">
        <f>BP47*BP48/10</f>
        <v>3.6799999999999997</v>
      </c>
      <c r="BQ49" s="110">
        <f>BQ47*BQ48/10</f>
        <v>2</v>
      </c>
      <c r="BR49" s="110"/>
      <c r="BS49" s="110">
        <f>BS47*BS48/10</f>
        <v>7.7</v>
      </c>
      <c r="BT49" s="110"/>
      <c r="BU49" s="110"/>
      <c r="BV49" s="110"/>
      <c r="BW49" s="110"/>
      <c r="BX49" s="110"/>
      <c r="BY49" s="110"/>
      <c r="BZ49" s="110">
        <f>BZ47*BZ48/10</f>
        <v>5</v>
      </c>
      <c r="CA49" s="110">
        <f>CA47*CA48/10</f>
        <v>5</v>
      </c>
      <c r="CB49" s="110">
        <f t="shared" si="82"/>
        <v>23.38</v>
      </c>
      <c r="CC49" s="110"/>
      <c r="CD49" s="138"/>
      <c r="CE49" s="138"/>
      <c r="CF49" s="110">
        <f t="shared" si="11"/>
        <v>0</v>
      </c>
      <c r="CG49" s="35">
        <f t="shared" si="80"/>
        <v>23.38</v>
      </c>
      <c r="CH49" s="35">
        <f t="shared" si="32"/>
        <v>23.38</v>
      </c>
      <c r="CI49" s="110">
        <f t="shared" si="81"/>
        <v>23.38</v>
      </c>
      <c r="CJ49" s="232">
        <f t="shared" si="40"/>
        <v>0</v>
      </c>
      <c r="CK49" s="232">
        <f t="shared" si="41"/>
        <v>100</v>
      </c>
      <c r="CL49" s="131"/>
    </row>
    <row r="50" spans="1:90" s="146" customFormat="1" ht="15" hidden="1">
      <c r="A50" s="78"/>
      <c r="B50" s="83" t="s">
        <v>65</v>
      </c>
      <c r="C50" s="78" t="s">
        <v>41</v>
      </c>
      <c r="D50" s="103"/>
      <c r="E50" s="248"/>
      <c r="F50" s="248"/>
      <c r="G50" s="248"/>
      <c r="H50" s="248"/>
      <c r="I50" s="248"/>
      <c r="J50" s="248"/>
      <c r="K50" s="248"/>
      <c r="L50" s="248"/>
      <c r="M50" s="248"/>
      <c r="N50" s="248"/>
      <c r="O50" s="248"/>
      <c r="P50" s="248"/>
      <c r="Q50" s="248"/>
      <c r="R50" s="248"/>
      <c r="S50" s="248"/>
      <c r="T50" s="248"/>
      <c r="U50" s="248"/>
      <c r="V50" s="248"/>
      <c r="W50" s="248"/>
      <c r="X50" s="248"/>
      <c r="Y50" s="248"/>
      <c r="Z50" s="248"/>
      <c r="AA50" s="248"/>
      <c r="AB50" s="248"/>
      <c r="AC50" s="248"/>
      <c r="AD50" s="248"/>
      <c r="AE50" s="248"/>
      <c r="AF50" s="248"/>
      <c r="AG50" s="248"/>
      <c r="AH50" s="248"/>
      <c r="AI50" s="248"/>
      <c r="AJ50" s="248"/>
      <c r="AK50" s="248"/>
      <c r="AL50" s="248"/>
      <c r="AM50" s="248"/>
      <c r="AN50" s="248"/>
      <c r="AO50" s="248"/>
      <c r="AP50" s="248"/>
      <c r="AQ50" s="248"/>
      <c r="AR50" s="248"/>
      <c r="AS50" s="248"/>
      <c r="AT50" s="248"/>
      <c r="AU50" s="248"/>
      <c r="AV50" s="248"/>
      <c r="AW50" s="248"/>
      <c r="AX50" s="248"/>
      <c r="AY50" s="248"/>
      <c r="AZ50" s="248"/>
      <c r="BA50" s="248"/>
      <c r="BB50" s="248"/>
      <c r="BC50" s="248"/>
      <c r="BD50" s="248"/>
      <c r="BE50" s="103"/>
      <c r="BF50" s="103"/>
      <c r="BG50" s="103"/>
      <c r="BH50" s="103"/>
      <c r="BI50" s="103"/>
      <c r="BJ50" s="103"/>
      <c r="BK50" s="103"/>
      <c r="BL50" s="103"/>
      <c r="BM50" s="103"/>
      <c r="BN50" s="103"/>
      <c r="BO50" s="103"/>
      <c r="BP50" s="103"/>
      <c r="BQ50" s="103"/>
      <c r="BR50" s="103"/>
      <c r="BS50" s="103"/>
      <c r="BT50" s="103"/>
      <c r="BU50" s="103"/>
      <c r="BV50" s="103"/>
      <c r="BW50" s="103"/>
      <c r="BX50" s="103"/>
      <c r="BY50" s="103"/>
      <c r="BZ50" s="103"/>
      <c r="CA50" s="103"/>
      <c r="CB50" s="103"/>
      <c r="CC50" s="103"/>
      <c r="CD50" s="131"/>
      <c r="CE50" s="131"/>
      <c r="CF50" s="110">
        <f t="shared" si="11"/>
        <v>0</v>
      </c>
      <c r="CG50" s="35">
        <f t="shared" si="80"/>
        <v>0</v>
      </c>
      <c r="CH50" s="35">
        <f t="shared" si="32"/>
        <v>0</v>
      </c>
      <c r="CI50" s="110">
        <f t="shared" si="81"/>
        <v>0</v>
      </c>
      <c r="CJ50" s="232" t="e">
        <f t="shared" si="40"/>
        <v>#DIV/0!</v>
      </c>
      <c r="CK50" s="232" t="e">
        <f t="shared" si="41"/>
        <v>#DIV/0!</v>
      </c>
      <c r="CL50" s="125"/>
    </row>
    <row r="51" spans="1:90" s="146" customFormat="1" ht="15" hidden="1">
      <c r="A51" s="78"/>
      <c r="B51" s="83" t="s">
        <v>62</v>
      </c>
      <c r="C51" s="78" t="s">
        <v>43</v>
      </c>
      <c r="D51" s="103"/>
      <c r="E51" s="248"/>
      <c r="F51" s="248"/>
      <c r="G51" s="248"/>
      <c r="H51" s="248"/>
      <c r="I51" s="248"/>
      <c r="J51" s="248"/>
      <c r="K51" s="248"/>
      <c r="L51" s="248"/>
      <c r="M51" s="248"/>
      <c r="N51" s="248"/>
      <c r="O51" s="248"/>
      <c r="P51" s="248"/>
      <c r="Q51" s="248"/>
      <c r="R51" s="248"/>
      <c r="S51" s="248"/>
      <c r="T51" s="248"/>
      <c r="U51" s="248"/>
      <c r="V51" s="248"/>
      <c r="W51" s="248"/>
      <c r="X51" s="248"/>
      <c r="Y51" s="248"/>
      <c r="Z51" s="248"/>
      <c r="AA51" s="248"/>
      <c r="AB51" s="248"/>
      <c r="AC51" s="248"/>
      <c r="AD51" s="248"/>
      <c r="AE51" s="248"/>
      <c r="AF51" s="248"/>
      <c r="AG51" s="248"/>
      <c r="AH51" s="248"/>
      <c r="AI51" s="248"/>
      <c r="AJ51" s="248"/>
      <c r="AK51" s="248"/>
      <c r="AL51" s="248"/>
      <c r="AM51" s="248"/>
      <c r="AN51" s="248"/>
      <c r="AO51" s="248"/>
      <c r="AP51" s="248"/>
      <c r="AQ51" s="248"/>
      <c r="AR51" s="248"/>
      <c r="AS51" s="248"/>
      <c r="AT51" s="248"/>
      <c r="AU51" s="248"/>
      <c r="AV51" s="248"/>
      <c r="AW51" s="248"/>
      <c r="AX51" s="248"/>
      <c r="AY51" s="248"/>
      <c r="AZ51" s="248"/>
      <c r="BA51" s="248"/>
      <c r="BB51" s="248"/>
      <c r="BC51" s="248"/>
      <c r="BD51" s="248"/>
      <c r="BE51" s="103"/>
      <c r="BF51" s="103"/>
      <c r="BG51" s="103"/>
      <c r="BH51" s="103"/>
      <c r="BI51" s="103"/>
      <c r="BJ51" s="103"/>
      <c r="BK51" s="103"/>
      <c r="BL51" s="103"/>
      <c r="BM51" s="103"/>
      <c r="BN51" s="103"/>
      <c r="BO51" s="103"/>
      <c r="BP51" s="103"/>
      <c r="BQ51" s="103"/>
      <c r="BR51" s="103"/>
      <c r="BS51" s="103"/>
      <c r="BT51" s="103"/>
      <c r="BU51" s="103"/>
      <c r="BV51" s="103"/>
      <c r="BW51" s="103"/>
      <c r="BX51" s="103"/>
      <c r="BY51" s="103"/>
      <c r="BZ51" s="103"/>
      <c r="CA51" s="103"/>
      <c r="CB51" s="103"/>
      <c r="CC51" s="103"/>
      <c r="CD51" s="131"/>
      <c r="CE51" s="131"/>
      <c r="CF51" s="110">
        <f t="shared" si="11"/>
        <v>0</v>
      </c>
      <c r="CG51" s="35">
        <f t="shared" si="80"/>
        <v>0</v>
      </c>
      <c r="CH51" s="35">
        <f t="shared" si="32"/>
        <v>0</v>
      </c>
      <c r="CI51" s="110">
        <f t="shared" si="81"/>
        <v>0</v>
      </c>
      <c r="CJ51" s="232" t="e">
        <f t="shared" si="40"/>
        <v>#DIV/0!</v>
      </c>
      <c r="CK51" s="232" t="e">
        <f t="shared" si="41"/>
        <v>#DIV/0!</v>
      </c>
      <c r="CL51" s="125"/>
    </row>
    <row r="52" spans="1:90" s="146" customFormat="1" ht="15" hidden="1">
      <c r="A52" s="78"/>
      <c r="B52" s="83" t="s">
        <v>63</v>
      </c>
      <c r="C52" s="78" t="s">
        <v>34</v>
      </c>
      <c r="D52" s="103"/>
      <c r="E52" s="248"/>
      <c r="F52" s="248"/>
      <c r="G52" s="248"/>
      <c r="H52" s="248"/>
      <c r="I52" s="248"/>
      <c r="J52" s="248"/>
      <c r="K52" s="248"/>
      <c r="L52" s="248"/>
      <c r="M52" s="248"/>
      <c r="N52" s="248"/>
      <c r="O52" s="248"/>
      <c r="P52" s="248"/>
      <c r="Q52" s="248"/>
      <c r="R52" s="248"/>
      <c r="S52" s="248"/>
      <c r="T52" s="248"/>
      <c r="U52" s="248"/>
      <c r="V52" s="248"/>
      <c r="W52" s="248"/>
      <c r="X52" s="248"/>
      <c r="Y52" s="248"/>
      <c r="Z52" s="248"/>
      <c r="AA52" s="248"/>
      <c r="AB52" s="248"/>
      <c r="AC52" s="248"/>
      <c r="AD52" s="248"/>
      <c r="AE52" s="248"/>
      <c r="AF52" s="248"/>
      <c r="AG52" s="248"/>
      <c r="AH52" s="248"/>
      <c r="AI52" s="248"/>
      <c r="AJ52" s="248"/>
      <c r="AK52" s="248"/>
      <c r="AL52" s="248"/>
      <c r="AM52" s="248"/>
      <c r="AN52" s="248"/>
      <c r="AO52" s="248"/>
      <c r="AP52" s="248"/>
      <c r="AQ52" s="248"/>
      <c r="AR52" s="248"/>
      <c r="AS52" s="248"/>
      <c r="AT52" s="248"/>
      <c r="AU52" s="248"/>
      <c r="AV52" s="248"/>
      <c r="AW52" s="248"/>
      <c r="AX52" s="248"/>
      <c r="AY52" s="248"/>
      <c r="AZ52" s="248"/>
      <c r="BA52" s="248"/>
      <c r="BB52" s="248"/>
      <c r="BC52" s="248"/>
      <c r="BD52" s="248"/>
      <c r="BE52" s="103"/>
      <c r="BF52" s="103"/>
      <c r="BG52" s="103"/>
      <c r="BH52" s="103"/>
      <c r="BI52" s="103"/>
      <c r="BJ52" s="103"/>
      <c r="BK52" s="103"/>
      <c r="BL52" s="103"/>
      <c r="BM52" s="103"/>
      <c r="BN52" s="103"/>
      <c r="BO52" s="103"/>
      <c r="BP52" s="103"/>
      <c r="BQ52" s="103"/>
      <c r="BR52" s="103"/>
      <c r="BS52" s="103"/>
      <c r="BT52" s="103"/>
      <c r="BU52" s="103"/>
      <c r="BV52" s="103"/>
      <c r="BW52" s="103"/>
      <c r="BX52" s="103"/>
      <c r="BY52" s="103"/>
      <c r="BZ52" s="103"/>
      <c r="CA52" s="103"/>
      <c r="CB52" s="103"/>
      <c r="CC52" s="103"/>
      <c r="CD52" s="188"/>
      <c r="CE52" s="188"/>
      <c r="CF52" s="110">
        <f t="shared" si="11"/>
        <v>0</v>
      </c>
      <c r="CG52" s="35">
        <f t="shared" si="80"/>
        <v>0</v>
      </c>
      <c r="CH52" s="35">
        <f t="shared" si="32"/>
        <v>0</v>
      </c>
      <c r="CI52" s="110">
        <f t="shared" si="81"/>
        <v>0</v>
      </c>
      <c r="CJ52" s="232" t="e">
        <f t="shared" si="40"/>
        <v>#DIV/0!</v>
      </c>
      <c r="CK52" s="232" t="e">
        <f t="shared" si="41"/>
        <v>#DIV/0!</v>
      </c>
      <c r="CL52" s="125"/>
    </row>
    <row r="53" spans="1:90" s="146" customFormat="1" ht="15">
      <c r="A53" s="78" t="s">
        <v>66</v>
      </c>
      <c r="B53" s="83" t="s">
        <v>67</v>
      </c>
      <c r="C53" s="78"/>
      <c r="D53" s="103"/>
      <c r="E53" s="248"/>
      <c r="F53" s="248"/>
      <c r="G53" s="248"/>
      <c r="H53" s="248"/>
      <c r="I53" s="248"/>
      <c r="J53" s="248"/>
      <c r="K53" s="248"/>
      <c r="L53" s="248"/>
      <c r="M53" s="248"/>
      <c r="N53" s="248"/>
      <c r="O53" s="248"/>
      <c r="P53" s="248"/>
      <c r="Q53" s="248"/>
      <c r="R53" s="248"/>
      <c r="S53" s="248"/>
      <c r="T53" s="248"/>
      <c r="U53" s="248"/>
      <c r="V53" s="248"/>
      <c r="W53" s="248"/>
      <c r="X53" s="248"/>
      <c r="Y53" s="248"/>
      <c r="Z53" s="248"/>
      <c r="AA53" s="248"/>
      <c r="AB53" s="248"/>
      <c r="AC53" s="248"/>
      <c r="AD53" s="248"/>
      <c r="AE53" s="248"/>
      <c r="AF53" s="248"/>
      <c r="AG53" s="248"/>
      <c r="AH53" s="248"/>
      <c r="AI53" s="248"/>
      <c r="AJ53" s="248"/>
      <c r="AK53" s="248"/>
      <c r="AL53" s="248"/>
      <c r="AM53" s="248"/>
      <c r="AN53" s="248"/>
      <c r="AO53" s="248"/>
      <c r="AP53" s="248"/>
      <c r="AQ53" s="248"/>
      <c r="AR53" s="248"/>
      <c r="AS53" s="248"/>
      <c r="AT53" s="248"/>
      <c r="AU53" s="248"/>
      <c r="AV53" s="248"/>
      <c r="AW53" s="248"/>
      <c r="AX53" s="248"/>
      <c r="AY53" s="248"/>
      <c r="AZ53" s="248"/>
      <c r="BA53" s="248"/>
      <c r="BB53" s="248"/>
      <c r="BC53" s="248"/>
      <c r="BD53" s="248"/>
      <c r="BE53" s="103"/>
      <c r="BF53" s="103"/>
      <c r="BG53" s="103"/>
      <c r="BH53" s="103"/>
      <c r="BI53" s="103"/>
      <c r="BJ53" s="103"/>
      <c r="BK53" s="103"/>
      <c r="BL53" s="103"/>
      <c r="BM53" s="103"/>
      <c r="BN53" s="103"/>
      <c r="BO53" s="103"/>
      <c r="BP53" s="103"/>
      <c r="BQ53" s="103"/>
      <c r="BR53" s="103"/>
      <c r="BS53" s="103"/>
      <c r="BT53" s="103"/>
      <c r="BU53" s="103"/>
      <c r="BV53" s="103"/>
      <c r="BW53" s="103"/>
      <c r="BX53" s="103"/>
      <c r="BY53" s="103"/>
      <c r="BZ53" s="103"/>
      <c r="CA53" s="103"/>
      <c r="CB53" s="103"/>
      <c r="CC53" s="103"/>
      <c r="CD53" s="188"/>
      <c r="CE53" s="188"/>
      <c r="CF53" s="110">
        <f t="shared" si="11"/>
        <v>0</v>
      </c>
      <c r="CG53" s="188"/>
      <c r="CH53" s="188"/>
      <c r="CI53" s="110">
        <f t="shared" si="81"/>
        <v>0</v>
      </c>
      <c r="CJ53" s="232"/>
      <c r="CK53" s="232"/>
      <c r="CL53" s="126"/>
    </row>
    <row r="54" spans="1:90" s="146" customFormat="1" ht="15" hidden="1">
      <c r="A54" s="78"/>
      <c r="B54" s="83" t="s">
        <v>68</v>
      </c>
      <c r="C54" s="78" t="s">
        <v>41</v>
      </c>
      <c r="D54" s="103"/>
      <c r="E54" s="248"/>
      <c r="F54" s="248"/>
      <c r="G54" s="248"/>
      <c r="H54" s="248"/>
      <c r="I54" s="248"/>
      <c r="J54" s="248"/>
      <c r="K54" s="248"/>
      <c r="L54" s="248"/>
      <c r="M54" s="248"/>
      <c r="N54" s="248"/>
      <c r="O54" s="248"/>
      <c r="P54" s="248"/>
      <c r="Q54" s="248"/>
      <c r="R54" s="248"/>
      <c r="S54" s="248"/>
      <c r="T54" s="248"/>
      <c r="U54" s="248"/>
      <c r="V54" s="248"/>
      <c r="W54" s="248"/>
      <c r="X54" s="248"/>
      <c r="Y54" s="248"/>
      <c r="Z54" s="248"/>
      <c r="AA54" s="248"/>
      <c r="AB54" s="248"/>
      <c r="AC54" s="248"/>
      <c r="AD54" s="248"/>
      <c r="AE54" s="248"/>
      <c r="AF54" s="248"/>
      <c r="AG54" s="248"/>
      <c r="AH54" s="248"/>
      <c r="AI54" s="248"/>
      <c r="AJ54" s="248"/>
      <c r="AK54" s="248"/>
      <c r="AL54" s="248"/>
      <c r="AM54" s="248"/>
      <c r="AN54" s="248"/>
      <c r="AO54" s="248"/>
      <c r="AP54" s="248"/>
      <c r="AQ54" s="248"/>
      <c r="AR54" s="248"/>
      <c r="AS54" s="248"/>
      <c r="AT54" s="248"/>
      <c r="AU54" s="248"/>
      <c r="AV54" s="248"/>
      <c r="AW54" s="248"/>
      <c r="AX54" s="248"/>
      <c r="AY54" s="248"/>
      <c r="AZ54" s="248"/>
      <c r="BA54" s="248"/>
      <c r="BB54" s="248"/>
      <c r="BC54" s="248"/>
      <c r="BD54" s="248"/>
      <c r="BE54" s="103"/>
      <c r="BF54" s="103"/>
      <c r="BG54" s="103"/>
      <c r="BH54" s="103"/>
      <c r="BI54" s="103"/>
      <c r="BJ54" s="103"/>
      <c r="BK54" s="103"/>
      <c r="BL54" s="103"/>
      <c r="BM54" s="103"/>
      <c r="BN54" s="103"/>
      <c r="BO54" s="103"/>
      <c r="BP54" s="103"/>
      <c r="BQ54" s="103"/>
      <c r="BR54" s="103"/>
      <c r="BS54" s="103"/>
      <c r="BT54" s="103"/>
      <c r="BU54" s="103"/>
      <c r="BV54" s="103"/>
      <c r="BW54" s="103"/>
      <c r="BX54" s="103"/>
      <c r="BY54" s="103"/>
      <c r="BZ54" s="103"/>
      <c r="CA54" s="103"/>
      <c r="CB54" s="103"/>
      <c r="CC54" s="103"/>
      <c r="CD54" s="125"/>
      <c r="CE54" s="125"/>
      <c r="CF54" s="110">
        <f t="shared" si="11"/>
        <v>0</v>
      </c>
      <c r="CG54" s="125"/>
      <c r="CH54" s="125"/>
      <c r="CI54" s="110">
        <f t="shared" si="81"/>
        <v>0</v>
      </c>
      <c r="CJ54" s="232" t="e">
        <f t="shared" si="40"/>
        <v>#DIV/0!</v>
      </c>
      <c r="CK54" s="232" t="e">
        <f t="shared" si="41"/>
        <v>#DIV/0!</v>
      </c>
      <c r="CL54" s="125"/>
    </row>
    <row r="55" spans="1:90" s="146" customFormat="1" ht="15" hidden="1">
      <c r="A55" s="78"/>
      <c r="B55" s="83" t="s">
        <v>69</v>
      </c>
      <c r="C55" s="78" t="s">
        <v>41</v>
      </c>
      <c r="D55" s="103"/>
      <c r="E55" s="248"/>
      <c r="F55" s="248"/>
      <c r="G55" s="248"/>
      <c r="H55" s="248"/>
      <c r="I55" s="248"/>
      <c r="J55" s="248"/>
      <c r="K55" s="248"/>
      <c r="L55" s="248"/>
      <c r="M55" s="248"/>
      <c r="N55" s="248"/>
      <c r="O55" s="248"/>
      <c r="P55" s="248"/>
      <c r="Q55" s="248"/>
      <c r="R55" s="248"/>
      <c r="S55" s="248"/>
      <c r="T55" s="248"/>
      <c r="U55" s="248"/>
      <c r="V55" s="248"/>
      <c r="W55" s="248"/>
      <c r="X55" s="248"/>
      <c r="Y55" s="248"/>
      <c r="Z55" s="248"/>
      <c r="AA55" s="248"/>
      <c r="AB55" s="248"/>
      <c r="AC55" s="248"/>
      <c r="AD55" s="248"/>
      <c r="AE55" s="248"/>
      <c r="AF55" s="248"/>
      <c r="AG55" s="248"/>
      <c r="AH55" s="248"/>
      <c r="AI55" s="248"/>
      <c r="AJ55" s="248"/>
      <c r="AK55" s="248"/>
      <c r="AL55" s="248"/>
      <c r="AM55" s="248"/>
      <c r="AN55" s="248"/>
      <c r="AO55" s="248"/>
      <c r="AP55" s="248"/>
      <c r="AQ55" s="248"/>
      <c r="AR55" s="248"/>
      <c r="AS55" s="248"/>
      <c r="AT55" s="248"/>
      <c r="AU55" s="248"/>
      <c r="AV55" s="248"/>
      <c r="AW55" s="248"/>
      <c r="AX55" s="248"/>
      <c r="AY55" s="248"/>
      <c r="AZ55" s="248"/>
      <c r="BA55" s="248"/>
      <c r="BB55" s="248"/>
      <c r="BC55" s="248"/>
      <c r="BD55" s="248"/>
      <c r="BE55" s="103"/>
      <c r="BF55" s="103"/>
      <c r="BG55" s="103"/>
      <c r="BH55" s="103"/>
      <c r="BI55" s="103"/>
      <c r="BJ55" s="103"/>
      <c r="BK55" s="103"/>
      <c r="BL55" s="103"/>
      <c r="BM55" s="103"/>
      <c r="BN55" s="103"/>
      <c r="BO55" s="103"/>
      <c r="BP55" s="103"/>
      <c r="BQ55" s="103"/>
      <c r="BR55" s="103"/>
      <c r="BS55" s="103"/>
      <c r="BT55" s="103"/>
      <c r="BU55" s="103"/>
      <c r="BV55" s="103"/>
      <c r="BW55" s="103"/>
      <c r="BX55" s="103"/>
      <c r="BY55" s="103"/>
      <c r="BZ55" s="103"/>
      <c r="CA55" s="103"/>
      <c r="CB55" s="103"/>
      <c r="CC55" s="103"/>
      <c r="CD55" s="125"/>
      <c r="CE55" s="125"/>
      <c r="CF55" s="110">
        <f t="shared" si="11"/>
        <v>0</v>
      </c>
      <c r="CG55" s="125"/>
      <c r="CH55" s="125"/>
      <c r="CI55" s="110">
        <f t="shared" si="81"/>
        <v>0</v>
      </c>
      <c r="CJ55" s="232" t="e">
        <f t="shared" si="40"/>
        <v>#DIV/0!</v>
      </c>
      <c r="CK55" s="232" t="e">
        <f t="shared" si="41"/>
        <v>#DIV/0!</v>
      </c>
      <c r="CL55" s="126"/>
    </row>
    <row r="56" spans="1:90" s="146" customFormat="1" ht="15" hidden="1">
      <c r="A56" s="78"/>
      <c r="B56" s="83" t="s">
        <v>70</v>
      </c>
      <c r="C56" s="78" t="s">
        <v>41</v>
      </c>
      <c r="D56" s="103"/>
      <c r="E56" s="248"/>
      <c r="F56" s="248"/>
      <c r="G56" s="248"/>
      <c r="H56" s="248"/>
      <c r="I56" s="248"/>
      <c r="J56" s="248"/>
      <c r="K56" s="248"/>
      <c r="L56" s="248"/>
      <c r="M56" s="248"/>
      <c r="N56" s="248"/>
      <c r="O56" s="248"/>
      <c r="P56" s="248"/>
      <c r="Q56" s="248"/>
      <c r="R56" s="248"/>
      <c r="S56" s="248"/>
      <c r="T56" s="248"/>
      <c r="U56" s="248"/>
      <c r="V56" s="248"/>
      <c r="W56" s="248"/>
      <c r="X56" s="248"/>
      <c r="Y56" s="248"/>
      <c r="Z56" s="248"/>
      <c r="AA56" s="248"/>
      <c r="AB56" s="248"/>
      <c r="AC56" s="248"/>
      <c r="AD56" s="248"/>
      <c r="AE56" s="248"/>
      <c r="AF56" s="248"/>
      <c r="AG56" s="248"/>
      <c r="AH56" s="248"/>
      <c r="AI56" s="248"/>
      <c r="AJ56" s="248"/>
      <c r="AK56" s="248"/>
      <c r="AL56" s="248"/>
      <c r="AM56" s="248"/>
      <c r="AN56" s="248"/>
      <c r="AO56" s="248"/>
      <c r="AP56" s="248"/>
      <c r="AQ56" s="248"/>
      <c r="AR56" s="248"/>
      <c r="AS56" s="248"/>
      <c r="AT56" s="248"/>
      <c r="AU56" s="248"/>
      <c r="AV56" s="248"/>
      <c r="AW56" s="248"/>
      <c r="AX56" s="248"/>
      <c r="AY56" s="248"/>
      <c r="AZ56" s="248"/>
      <c r="BA56" s="248"/>
      <c r="BB56" s="248"/>
      <c r="BC56" s="248"/>
      <c r="BD56" s="248"/>
      <c r="BE56" s="103"/>
      <c r="BF56" s="103"/>
      <c r="BG56" s="103"/>
      <c r="BH56" s="103"/>
      <c r="BI56" s="103"/>
      <c r="BJ56" s="103"/>
      <c r="BK56" s="103"/>
      <c r="BL56" s="103"/>
      <c r="BM56" s="103"/>
      <c r="BN56" s="103"/>
      <c r="BO56" s="103"/>
      <c r="BP56" s="103"/>
      <c r="BQ56" s="103"/>
      <c r="BR56" s="103"/>
      <c r="BS56" s="103"/>
      <c r="BT56" s="103"/>
      <c r="BU56" s="103"/>
      <c r="BV56" s="103"/>
      <c r="BW56" s="103"/>
      <c r="BX56" s="103"/>
      <c r="BY56" s="103"/>
      <c r="BZ56" s="103"/>
      <c r="CA56" s="103"/>
      <c r="CB56" s="103"/>
      <c r="CC56" s="103"/>
      <c r="CD56" s="190"/>
      <c r="CE56" s="190"/>
      <c r="CF56" s="110">
        <f t="shared" si="11"/>
        <v>0</v>
      </c>
      <c r="CG56" s="190"/>
      <c r="CH56" s="190"/>
      <c r="CI56" s="110">
        <f t="shared" si="81"/>
        <v>0</v>
      </c>
      <c r="CJ56" s="232" t="e">
        <f t="shared" si="40"/>
        <v>#DIV/0!</v>
      </c>
      <c r="CK56" s="232" t="e">
        <f t="shared" si="41"/>
        <v>#DIV/0!</v>
      </c>
      <c r="CL56" s="132"/>
    </row>
    <row r="57" spans="1:90" s="146" customFormat="1" ht="15" hidden="1">
      <c r="A57" s="78"/>
      <c r="B57" s="83" t="s">
        <v>71</v>
      </c>
      <c r="C57" s="78" t="s">
        <v>72</v>
      </c>
      <c r="D57" s="103"/>
      <c r="E57" s="248"/>
      <c r="F57" s="248"/>
      <c r="G57" s="248"/>
      <c r="H57" s="248"/>
      <c r="I57" s="248"/>
      <c r="J57" s="248"/>
      <c r="K57" s="248"/>
      <c r="L57" s="248"/>
      <c r="M57" s="248"/>
      <c r="N57" s="248"/>
      <c r="O57" s="248"/>
      <c r="P57" s="248"/>
      <c r="Q57" s="248"/>
      <c r="R57" s="248"/>
      <c r="S57" s="248"/>
      <c r="T57" s="248"/>
      <c r="U57" s="248"/>
      <c r="V57" s="248"/>
      <c r="W57" s="248"/>
      <c r="X57" s="248"/>
      <c r="Y57" s="248"/>
      <c r="Z57" s="248"/>
      <c r="AA57" s="248"/>
      <c r="AB57" s="248"/>
      <c r="AC57" s="248"/>
      <c r="AD57" s="248"/>
      <c r="AE57" s="248"/>
      <c r="AF57" s="248"/>
      <c r="AG57" s="248"/>
      <c r="AH57" s="248"/>
      <c r="AI57" s="248"/>
      <c r="AJ57" s="248"/>
      <c r="AK57" s="248"/>
      <c r="AL57" s="248"/>
      <c r="AM57" s="248"/>
      <c r="AN57" s="248"/>
      <c r="AO57" s="248"/>
      <c r="AP57" s="248"/>
      <c r="AQ57" s="248"/>
      <c r="AR57" s="248"/>
      <c r="AS57" s="248"/>
      <c r="AT57" s="248"/>
      <c r="AU57" s="248"/>
      <c r="AV57" s="248"/>
      <c r="AW57" s="248"/>
      <c r="AX57" s="248"/>
      <c r="AY57" s="248"/>
      <c r="AZ57" s="248"/>
      <c r="BA57" s="248"/>
      <c r="BB57" s="248"/>
      <c r="BC57" s="248"/>
      <c r="BD57" s="248"/>
      <c r="BE57" s="103"/>
      <c r="BF57" s="103"/>
      <c r="BG57" s="103"/>
      <c r="BH57" s="103"/>
      <c r="BI57" s="103"/>
      <c r="BJ57" s="103"/>
      <c r="BK57" s="103"/>
      <c r="BL57" s="103"/>
      <c r="BM57" s="103"/>
      <c r="BN57" s="103"/>
      <c r="BO57" s="103"/>
      <c r="BP57" s="103"/>
      <c r="BQ57" s="103"/>
      <c r="BR57" s="103"/>
      <c r="BS57" s="103"/>
      <c r="BT57" s="103"/>
      <c r="BU57" s="103"/>
      <c r="BV57" s="103"/>
      <c r="BW57" s="103"/>
      <c r="BX57" s="103"/>
      <c r="BY57" s="103"/>
      <c r="BZ57" s="103"/>
      <c r="CA57" s="103"/>
      <c r="CB57" s="103"/>
      <c r="CC57" s="103"/>
      <c r="CD57" s="138"/>
      <c r="CE57" s="138"/>
      <c r="CF57" s="110">
        <f t="shared" si="11"/>
        <v>0</v>
      </c>
      <c r="CG57" s="138"/>
      <c r="CH57" s="138"/>
      <c r="CI57" s="110">
        <f t="shared" si="81"/>
        <v>0</v>
      </c>
      <c r="CJ57" s="232" t="e">
        <f t="shared" si="40"/>
        <v>#DIV/0!</v>
      </c>
      <c r="CK57" s="232" t="e">
        <f t="shared" si="41"/>
        <v>#DIV/0!</v>
      </c>
      <c r="CL57" s="132"/>
    </row>
    <row r="58" spans="1:90" s="146" customFormat="1" ht="15" hidden="1">
      <c r="A58" s="78"/>
      <c r="B58" s="83" t="s">
        <v>73</v>
      </c>
      <c r="C58" s="78" t="s">
        <v>34</v>
      </c>
      <c r="D58" s="103"/>
      <c r="E58" s="248"/>
      <c r="F58" s="248"/>
      <c r="G58" s="248"/>
      <c r="H58" s="248"/>
      <c r="I58" s="248"/>
      <c r="J58" s="248"/>
      <c r="K58" s="248"/>
      <c r="L58" s="248"/>
      <c r="M58" s="248"/>
      <c r="N58" s="248"/>
      <c r="O58" s="248"/>
      <c r="P58" s="248"/>
      <c r="Q58" s="248"/>
      <c r="R58" s="248"/>
      <c r="S58" s="248"/>
      <c r="T58" s="248"/>
      <c r="U58" s="248"/>
      <c r="V58" s="248"/>
      <c r="W58" s="248"/>
      <c r="X58" s="248"/>
      <c r="Y58" s="248"/>
      <c r="Z58" s="248"/>
      <c r="AA58" s="248"/>
      <c r="AB58" s="248"/>
      <c r="AC58" s="248"/>
      <c r="AD58" s="248"/>
      <c r="AE58" s="248"/>
      <c r="AF58" s="248"/>
      <c r="AG58" s="248"/>
      <c r="AH58" s="248"/>
      <c r="AI58" s="248"/>
      <c r="AJ58" s="248"/>
      <c r="AK58" s="248"/>
      <c r="AL58" s="248"/>
      <c r="AM58" s="248"/>
      <c r="AN58" s="248"/>
      <c r="AO58" s="248"/>
      <c r="AP58" s="248"/>
      <c r="AQ58" s="248"/>
      <c r="AR58" s="248"/>
      <c r="AS58" s="248"/>
      <c r="AT58" s="248"/>
      <c r="AU58" s="248"/>
      <c r="AV58" s="248"/>
      <c r="AW58" s="248"/>
      <c r="AX58" s="248"/>
      <c r="AY58" s="248"/>
      <c r="AZ58" s="248"/>
      <c r="BA58" s="248"/>
      <c r="BB58" s="248"/>
      <c r="BC58" s="248"/>
      <c r="BD58" s="248"/>
      <c r="BE58" s="103"/>
      <c r="BF58" s="103"/>
      <c r="BG58" s="103"/>
      <c r="BH58" s="103"/>
      <c r="BI58" s="103"/>
      <c r="BJ58" s="103"/>
      <c r="BK58" s="103"/>
      <c r="BL58" s="103"/>
      <c r="BM58" s="103"/>
      <c r="BN58" s="103"/>
      <c r="BO58" s="103"/>
      <c r="BP58" s="103"/>
      <c r="BQ58" s="103"/>
      <c r="BR58" s="103"/>
      <c r="BS58" s="103"/>
      <c r="BT58" s="103"/>
      <c r="BU58" s="103"/>
      <c r="BV58" s="103"/>
      <c r="BW58" s="103"/>
      <c r="BX58" s="103"/>
      <c r="BY58" s="103"/>
      <c r="BZ58" s="103"/>
      <c r="CA58" s="103"/>
      <c r="CB58" s="103"/>
      <c r="CC58" s="103"/>
      <c r="CD58" s="130"/>
      <c r="CE58" s="130"/>
      <c r="CF58" s="110">
        <f t="shared" si="11"/>
        <v>0</v>
      </c>
      <c r="CG58" s="130"/>
      <c r="CH58" s="130"/>
      <c r="CI58" s="110">
        <f t="shared" si="81"/>
        <v>0</v>
      </c>
      <c r="CJ58" s="232" t="e">
        <f t="shared" si="40"/>
        <v>#DIV/0!</v>
      </c>
      <c r="CK58" s="232" t="e">
        <f t="shared" si="41"/>
        <v>#DIV/0!</v>
      </c>
      <c r="CL58" s="132"/>
    </row>
    <row r="59" spans="1:90" s="146" customFormat="1" ht="15">
      <c r="A59" s="78"/>
      <c r="B59" s="83" t="s">
        <v>74</v>
      </c>
      <c r="C59" s="78" t="s">
        <v>41</v>
      </c>
      <c r="D59" s="103">
        <f>[1]B2NN!$K$49</f>
        <v>400.7</v>
      </c>
      <c r="E59" s="248">
        <f>SUM(F59:S59)</f>
        <v>400.7</v>
      </c>
      <c r="F59" s="248"/>
      <c r="G59" s="248"/>
      <c r="H59" s="248"/>
      <c r="I59" s="248">
        <v>400.7</v>
      </c>
      <c r="J59" s="248"/>
      <c r="K59" s="248"/>
      <c r="L59" s="248"/>
      <c r="M59" s="248"/>
      <c r="N59" s="248"/>
      <c r="O59" s="248"/>
      <c r="P59" s="248"/>
      <c r="Q59" s="248"/>
      <c r="R59" s="248"/>
      <c r="S59" s="248"/>
      <c r="T59" s="248">
        <f>SUM(U59:AH59)</f>
        <v>400.7</v>
      </c>
      <c r="U59" s="248"/>
      <c r="V59" s="248"/>
      <c r="W59" s="248"/>
      <c r="X59" s="248">
        <v>400.7</v>
      </c>
      <c r="Y59" s="248"/>
      <c r="Z59" s="248"/>
      <c r="AA59" s="248"/>
      <c r="AB59" s="248"/>
      <c r="AC59" s="248"/>
      <c r="AD59" s="248"/>
      <c r="AE59" s="248"/>
      <c r="AF59" s="248"/>
      <c r="AG59" s="248"/>
      <c r="AH59" s="248"/>
      <c r="AI59" s="248">
        <f>SUM(AJ59:AW59)</f>
        <v>400.7</v>
      </c>
      <c r="AJ59" s="248"/>
      <c r="AK59" s="248"/>
      <c r="AL59" s="248"/>
      <c r="AM59" s="248">
        <v>400.7</v>
      </c>
      <c r="AN59" s="248"/>
      <c r="AO59" s="248"/>
      <c r="AP59" s="248"/>
      <c r="AQ59" s="248"/>
      <c r="AR59" s="248"/>
      <c r="AS59" s="248"/>
      <c r="AT59" s="248"/>
      <c r="AU59" s="248"/>
      <c r="AV59" s="248"/>
      <c r="AW59" s="248"/>
      <c r="AX59" s="248">
        <f>SUM(AY59:BL59)</f>
        <v>400.7</v>
      </c>
      <c r="AY59" s="248"/>
      <c r="AZ59" s="248"/>
      <c r="BA59" s="248"/>
      <c r="BB59" s="248">
        <v>400.7</v>
      </c>
      <c r="BC59" s="248"/>
      <c r="BD59" s="248"/>
      <c r="BE59" s="103"/>
      <c r="BF59" s="103"/>
      <c r="BG59" s="103"/>
      <c r="BH59" s="103"/>
      <c r="BI59" s="103"/>
      <c r="BJ59" s="103"/>
      <c r="BK59" s="103"/>
      <c r="BL59" s="103"/>
      <c r="BM59" s="103">
        <f>SUM(BN59:CA59)</f>
        <v>400.7</v>
      </c>
      <c r="BN59" s="103"/>
      <c r="BO59" s="103"/>
      <c r="BP59" s="103"/>
      <c r="BQ59" s="103">
        <v>400.7</v>
      </c>
      <c r="BR59" s="103"/>
      <c r="BS59" s="103"/>
      <c r="BT59" s="103"/>
      <c r="BU59" s="103"/>
      <c r="BV59" s="103"/>
      <c r="BW59" s="103"/>
      <c r="BX59" s="103"/>
      <c r="BY59" s="103"/>
      <c r="BZ59" s="103"/>
      <c r="CA59" s="103"/>
      <c r="CB59" s="103">
        <f>BM59</f>
        <v>400.7</v>
      </c>
      <c r="CC59" s="103">
        <v>396</v>
      </c>
      <c r="CD59" s="103">
        <v>396</v>
      </c>
      <c r="CE59" s="103">
        <v>396</v>
      </c>
      <c r="CF59" s="110">
        <f t="shared" si="11"/>
        <v>396</v>
      </c>
      <c r="CG59" s="103">
        <v>396</v>
      </c>
      <c r="CH59" s="103">
        <v>396</v>
      </c>
      <c r="CI59" s="110">
        <f t="shared" si="81"/>
        <v>396</v>
      </c>
      <c r="CJ59" s="232">
        <f t="shared" si="40"/>
        <v>98.827052657848768</v>
      </c>
      <c r="CK59" s="232">
        <f t="shared" si="41"/>
        <v>98.827052657848768</v>
      </c>
      <c r="CL59" s="131"/>
    </row>
    <row r="60" spans="1:90" s="146" customFormat="1" ht="15">
      <c r="A60" s="78"/>
      <c r="B60" s="83" t="s">
        <v>69</v>
      </c>
      <c r="C60" s="78" t="s">
        <v>41</v>
      </c>
      <c r="D60" s="103">
        <v>0</v>
      </c>
      <c r="E60" s="248">
        <v>0</v>
      </c>
      <c r="F60" s="248"/>
      <c r="G60" s="248"/>
      <c r="H60" s="248"/>
      <c r="I60" s="248"/>
      <c r="J60" s="248"/>
      <c r="K60" s="248"/>
      <c r="L60" s="248"/>
      <c r="M60" s="248"/>
      <c r="N60" s="248"/>
      <c r="O60" s="248"/>
      <c r="P60" s="248"/>
      <c r="Q60" s="248"/>
      <c r="R60" s="248"/>
      <c r="S60" s="248"/>
      <c r="T60" s="248">
        <v>0</v>
      </c>
      <c r="U60" s="248"/>
      <c r="V60" s="248"/>
      <c r="W60" s="248"/>
      <c r="X60" s="248">
        <v>0</v>
      </c>
      <c r="Y60" s="248"/>
      <c r="Z60" s="248"/>
      <c r="AA60" s="248"/>
      <c r="AB60" s="248"/>
      <c r="AC60" s="248"/>
      <c r="AD60" s="248"/>
      <c r="AE60" s="248"/>
      <c r="AF60" s="248"/>
      <c r="AG60" s="248"/>
      <c r="AH60" s="248"/>
      <c r="AI60" s="248">
        <v>0</v>
      </c>
      <c r="AJ60" s="248"/>
      <c r="AK60" s="248"/>
      <c r="AL60" s="248"/>
      <c r="AM60" s="248"/>
      <c r="AN60" s="248"/>
      <c r="AO60" s="248"/>
      <c r="AP60" s="248"/>
      <c r="AQ60" s="248"/>
      <c r="AR60" s="248"/>
      <c r="AS60" s="248"/>
      <c r="AT60" s="248"/>
      <c r="AU60" s="248"/>
      <c r="AV60" s="248"/>
      <c r="AW60" s="248"/>
      <c r="AX60" s="248">
        <v>0</v>
      </c>
      <c r="AY60" s="248"/>
      <c r="AZ60" s="248"/>
      <c r="BA60" s="248"/>
      <c r="BB60" s="248"/>
      <c r="BC60" s="248"/>
      <c r="BD60" s="248"/>
      <c r="BE60" s="103"/>
      <c r="BF60" s="103"/>
      <c r="BG60" s="103"/>
      <c r="BH60" s="103"/>
      <c r="BI60" s="103"/>
      <c r="BJ60" s="103"/>
      <c r="BK60" s="103"/>
      <c r="BL60" s="103"/>
      <c r="BM60" s="103">
        <v>0</v>
      </c>
      <c r="BN60" s="103"/>
      <c r="BO60" s="103"/>
      <c r="BP60" s="103"/>
      <c r="BQ60" s="103"/>
      <c r="BR60" s="103"/>
      <c r="BS60" s="103"/>
      <c r="BT60" s="103"/>
      <c r="BU60" s="103"/>
      <c r="BV60" s="103"/>
      <c r="BW60" s="103"/>
      <c r="BX60" s="103"/>
      <c r="BY60" s="103"/>
      <c r="BZ60" s="103"/>
      <c r="CA60" s="103"/>
      <c r="CB60" s="103"/>
      <c r="CC60" s="103">
        <v>0</v>
      </c>
      <c r="CD60" s="103">
        <v>0</v>
      </c>
      <c r="CE60" s="103">
        <v>0</v>
      </c>
      <c r="CF60" s="110">
        <f t="shared" si="11"/>
        <v>0</v>
      </c>
      <c r="CG60" s="103">
        <v>0</v>
      </c>
      <c r="CH60" s="103">
        <v>0</v>
      </c>
      <c r="CI60" s="110">
        <f t="shared" si="81"/>
        <v>0</v>
      </c>
      <c r="CJ60" s="232"/>
      <c r="CK60" s="232"/>
      <c r="CL60" s="192"/>
    </row>
    <row r="61" spans="1:90" s="146" customFormat="1" ht="15" hidden="1">
      <c r="A61" s="78"/>
      <c r="B61" s="83" t="s">
        <v>75</v>
      </c>
      <c r="C61" s="78" t="s">
        <v>41</v>
      </c>
      <c r="D61" s="103"/>
      <c r="E61" s="248"/>
      <c r="F61" s="248"/>
      <c r="G61" s="248"/>
      <c r="H61" s="248"/>
      <c r="I61" s="248"/>
      <c r="J61" s="248"/>
      <c r="K61" s="248"/>
      <c r="L61" s="248"/>
      <c r="M61" s="248"/>
      <c r="N61" s="248"/>
      <c r="O61" s="248"/>
      <c r="P61" s="248"/>
      <c r="Q61" s="248"/>
      <c r="R61" s="248"/>
      <c r="S61" s="248"/>
      <c r="T61" s="248"/>
      <c r="U61" s="248"/>
      <c r="V61" s="248"/>
      <c r="W61" s="248"/>
      <c r="X61" s="248"/>
      <c r="Y61" s="248"/>
      <c r="Z61" s="248"/>
      <c r="AA61" s="248"/>
      <c r="AB61" s="248"/>
      <c r="AC61" s="248"/>
      <c r="AD61" s="248"/>
      <c r="AE61" s="248"/>
      <c r="AF61" s="248"/>
      <c r="AG61" s="248"/>
      <c r="AH61" s="248"/>
      <c r="AI61" s="248"/>
      <c r="AJ61" s="248"/>
      <c r="AK61" s="248"/>
      <c r="AL61" s="248"/>
      <c r="AM61" s="248"/>
      <c r="AN61" s="248"/>
      <c r="AO61" s="248"/>
      <c r="AP61" s="248"/>
      <c r="AQ61" s="248"/>
      <c r="AR61" s="248"/>
      <c r="AS61" s="248"/>
      <c r="AT61" s="248"/>
      <c r="AU61" s="248"/>
      <c r="AV61" s="248"/>
      <c r="AW61" s="248"/>
      <c r="AX61" s="248"/>
      <c r="AY61" s="248"/>
      <c r="AZ61" s="248"/>
      <c r="BA61" s="248"/>
      <c r="BB61" s="248"/>
      <c r="BC61" s="248"/>
      <c r="BD61" s="248"/>
      <c r="BE61" s="103"/>
      <c r="BF61" s="103"/>
      <c r="BG61" s="103"/>
      <c r="BH61" s="103"/>
      <c r="BI61" s="103"/>
      <c r="BJ61" s="103"/>
      <c r="BK61" s="103"/>
      <c r="BL61" s="103"/>
      <c r="BM61" s="103"/>
      <c r="BN61" s="103"/>
      <c r="BO61" s="103"/>
      <c r="BP61" s="103"/>
      <c r="BQ61" s="103"/>
      <c r="BR61" s="103"/>
      <c r="BS61" s="103"/>
      <c r="BT61" s="103"/>
      <c r="BU61" s="103"/>
      <c r="BV61" s="103"/>
      <c r="BW61" s="103"/>
      <c r="BX61" s="103"/>
      <c r="BY61" s="103"/>
      <c r="BZ61" s="103"/>
      <c r="CA61" s="103"/>
      <c r="CB61" s="103"/>
      <c r="CC61" s="103"/>
      <c r="CD61" s="103"/>
      <c r="CE61" s="103"/>
      <c r="CF61" s="110">
        <f t="shared" si="11"/>
        <v>0</v>
      </c>
      <c r="CG61" s="103"/>
      <c r="CH61" s="103"/>
      <c r="CI61" s="110">
        <f t="shared" si="81"/>
        <v>0</v>
      </c>
      <c r="CJ61" s="232" t="e">
        <f t="shared" si="40"/>
        <v>#DIV/0!</v>
      </c>
      <c r="CK61" s="232" t="e">
        <f t="shared" si="41"/>
        <v>#DIV/0!</v>
      </c>
      <c r="CL61" s="127"/>
    </row>
    <row r="62" spans="1:90" s="146" customFormat="1" ht="30" hidden="1">
      <c r="A62" s="78"/>
      <c r="B62" s="83" t="s">
        <v>76</v>
      </c>
      <c r="C62" s="78" t="s">
        <v>77</v>
      </c>
      <c r="D62" s="103"/>
      <c r="E62" s="248"/>
      <c r="F62" s="248"/>
      <c r="G62" s="248"/>
      <c r="H62" s="248"/>
      <c r="I62" s="248"/>
      <c r="J62" s="248"/>
      <c r="K62" s="248"/>
      <c r="L62" s="248"/>
      <c r="M62" s="248"/>
      <c r="N62" s="248"/>
      <c r="O62" s="248"/>
      <c r="P62" s="248"/>
      <c r="Q62" s="248"/>
      <c r="R62" s="248"/>
      <c r="S62" s="248"/>
      <c r="T62" s="248"/>
      <c r="U62" s="248"/>
      <c r="V62" s="248"/>
      <c r="W62" s="248"/>
      <c r="X62" s="248"/>
      <c r="Y62" s="248"/>
      <c r="Z62" s="248"/>
      <c r="AA62" s="248"/>
      <c r="AB62" s="248"/>
      <c r="AC62" s="248"/>
      <c r="AD62" s="248"/>
      <c r="AE62" s="248"/>
      <c r="AF62" s="248"/>
      <c r="AG62" s="248"/>
      <c r="AH62" s="248"/>
      <c r="AI62" s="248"/>
      <c r="AJ62" s="248"/>
      <c r="AK62" s="248"/>
      <c r="AL62" s="248"/>
      <c r="AM62" s="248"/>
      <c r="AN62" s="248"/>
      <c r="AO62" s="248"/>
      <c r="AP62" s="248"/>
      <c r="AQ62" s="248"/>
      <c r="AR62" s="248"/>
      <c r="AS62" s="248"/>
      <c r="AT62" s="248"/>
      <c r="AU62" s="248"/>
      <c r="AV62" s="248"/>
      <c r="AW62" s="248"/>
      <c r="AX62" s="248"/>
      <c r="AY62" s="248"/>
      <c r="AZ62" s="248"/>
      <c r="BA62" s="248"/>
      <c r="BB62" s="248"/>
      <c r="BC62" s="248"/>
      <c r="BD62" s="248"/>
      <c r="BE62" s="103"/>
      <c r="BF62" s="103"/>
      <c r="BG62" s="103"/>
      <c r="BH62" s="103"/>
      <c r="BI62" s="103"/>
      <c r="BJ62" s="103"/>
      <c r="BK62" s="103"/>
      <c r="BL62" s="103"/>
      <c r="BM62" s="103"/>
      <c r="BN62" s="103"/>
      <c r="BO62" s="103"/>
      <c r="BP62" s="103"/>
      <c r="BQ62" s="103"/>
      <c r="BR62" s="103"/>
      <c r="BS62" s="103"/>
      <c r="BT62" s="103"/>
      <c r="BU62" s="103"/>
      <c r="BV62" s="103"/>
      <c r="BW62" s="103"/>
      <c r="BX62" s="103"/>
      <c r="BY62" s="103"/>
      <c r="BZ62" s="103"/>
      <c r="CA62" s="103"/>
      <c r="CB62" s="103"/>
      <c r="CC62" s="103"/>
      <c r="CD62" s="103"/>
      <c r="CE62" s="103"/>
      <c r="CF62" s="110">
        <f t="shared" si="11"/>
        <v>0</v>
      </c>
      <c r="CG62" s="103"/>
      <c r="CH62" s="103"/>
      <c r="CI62" s="110">
        <f t="shared" si="81"/>
        <v>0</v>
      </c>
      <c r="CJ62" s="232" t="e">
        <f t="shared" si="40"/>
        <v>#DIV/0!</v>
      </c>
      <c r="CK62" s="232" t="e">
        <f t="shared" si="41"/>
        <v>#DIV/0!</v>
      </c>
      <c r="CL62" s="131"/>
    </row>
    <row r="63" spans="1:90" s="146" customFormat="1" ht="15" hidden="1">
      <c r="A63" s="78"/>
      <c r="B63" s="83" t="s">
        <v>78</v>
      </c>
      <c r="C63" s="78" t="s">
        <v>34</v>
      </c>
      <c r="D63" s="103"/>
      <c r="E63" s="248"/>
      <c r="F63" s="248"/>
      <c r="G63" s="248"/>
      <c r="H63" s="248"/>
      <c r="I63" s="248"/>
      <c r="J63" s="248"/>
      <c r="K63" s="248"/>
      <c r="L63" s="248"/>
      <c r="M63" s="248"/>
      <c r="N63" s="248"/>
      <c r="O63" s="248"/>
      <c r="P63" s="248"/>
      <c r="Q63" s="248"/>
      <c r="R63" s="248"/>
      <c r="S63" s="248"/>
      <c r="T63" s="248"/>
      <c r="U63" s="248"/>
      <c r="V63" s="248"/>
      <c r="W63" s="248"/>
      <c r="X63" s="248"/>
      <c r="Y63" s="248"/>
      <c r="Z63" s="248"/>
      <c r="AA63" s="248"/>
      <c r="AB63" s="248"/>
      <c r="AC63" s="248"/>
      <c r="AD63" s="248"/>
      <c r="AE63" s="248"/>
      <c r="AF63" s="248"/>
      <c r="AG63" s="248"/>
      <c r="AH63" s="248"/>
      <c r="AI63" s="248"/>
      <c r="AJ63" s="248"/>
      <c r="AK63" s="248"/>
      <c r="AL63" s="248"/>
      <c r="AM63" s="248"/>
      <c r="AN63" s="248"/>
      <c r="AO63" s="248"/>
      <c r="AP63" s="248"/>
      <c r="AQ63" s="248"/>
      <c r="AR63" s="248"/>
      <c r="AS63" s="248"/>
      <c r="AT63" s="248"/>
      <c r="AU63" s="248"/>
      <c r="AV63" s="248"/>
      <c r="AW63" s="248"/>
      <c r="AX63" s="248"/>
      <c r="AY63" s="248"/>
      <c r="AZ63" s="248"/>
      <c r="BA63" s="248"/>
      <c r="BB63" s="248"/>
      <c r="BC63" s="248"/>
      <c r="BD63" s="248"/>
      <c r="BE63" s="103"/>
      <c r="BF63" s="103"/>
      <c r="BG63" s="103"/>
      <c r="BH63" s="103"/>
      <c r="BI63" s="103"/>
      <c r="BJ63" s="103"/>
      <c r="BK63" s="103"/>
      <c r="BL63" s="103"/>
      <c r="BM63" s="103"/>
      <c r="BN63" s="103"/>
      <c r="BO63" s="103"/>
      <c r="BP63" s="103"/>
      <c r="BQ63" s="103"/>
      <c r="BR63" s="103"/>
      <c r="BS63" s="103"/>
      <c r="BT63" s="103"/>
      <c r="BU63" s="103"/>
      <c r="BV63" s="103"/>
      <c r="BW63" s="103"/>
      <c r="BX63" s="103"/>
      <c r="BY63" s="103"/>
      <c r="BZ63" s="103"/>
      <c r="CA63" s="103"/>
      <c r="CB63" s="103"/>
      <c r="CC63" s="103"/>
      <c r="CD63" s="103"/>
      <c r="CE63" s="103"/>
      <c r="CF63" s="110">
        <f t="shared" si="11"/>
        <v>0</v>
      </c>
      <c r="CG63" s="103"/>
      <c r="CH63" s="103"/>
      <c r="CI63" s="110">
        <f t="shared" si="81"/>
        <v>0</v>
      </c>
      <c r="CJ63" s="232" t="e">
        <f t="shared" si="40"/>
        <v>#DIV/0!</v>
      </c>
      <c r="CK63" s="232" t="e">
        <f t="shared" si="41"/>
        <v>#DIV/0!</v>
      </c>
      <c r="CL63" s="131"/>
    </row>
    <row r="64" spans="1:90" s="146" customFormat="1" ht="15">
      <c r="A64" s="78" t="s">
        <v>79</v>
      </c>
      <c r="B64" s="83" t="s">
        <v>80</v>
      </c>
      <c r="C64" s="78" t="s">
        <v>41</v>
      </c>
      <c r="D64" s="35">
        <f>[1]B2NN!$K$54</f>
        <v>2100</v>
      </c>
      <c r="E64" s="186">
        <f>SUM(F64:S64)</f>
        <v>2100</v>
      </c>
      <c r="F64" s="186"/>
      <c r="G64" s="186"/>
      <c r="H64" s="186"/>
      <c r="I64" s="186"/>
      <c r="J64" s="186"/>
      <c r="K64" s="186"/>
      <c r="L64" s="186">
        <v>560</v>
      </c>
      <c r="M64" s="186">
        <v>163.69999999999999</v>
      </c>
      <c r="N64" s="186"/>
      <c r="O64" s="186">
        <v>430.5</v>
      </c>
      <c r="P64" s="186">
        <v>62.8</v>
      </c>
      <c r="Q64" s="186">
        <v>865</v>
      </c>
      <c r="R64" s="186">
        <v>18</v>
      </c>
      <c r="S64" s="186"/>
      <c r="T64" s="186">
        <f>SUM(U64:AH64)</f>
        <v>2100</v>
      </c>
      <c r="U64" s="186">
        <v>0</v>
      </c>
      <c r="V64" s="186">
        <v>0</v>
      </c>
      <c r="W64" s="186">
        <v>0</v>
      </c>
      <c r="X64" s="186">
        <v>0</v>
      </c>
      <c r="Y64" s="186">
        <v>0</v>
      </c>
      <c r="Z64" s="186">
        <v>0</v>
      </c>
      <c r="AA64" s="186">
        <v>510</v>
      </c>
      <c r="AB64" s="186">
        <v>167</v>
      </c>
      <c r="AC64" s="186">
        <v>0</v>
      </c>
      <c r="AD64" s="186">
        <v>453</v>
      </c>
      <c r="AE64" s="186">
        <v>65</v>
      </c>
      <c r="AF64" s="186">
        <v>885</v>
      </c>
      <c r="AG64" s="186">
        <v>20</v>
      </c>
      <c r="AH64" s="186">
        <v>0</v>
      </c>
      <c r="AI64" s="186">
        <f>SUM(AJ64:AW64)</f>
        <v>2100</v>
      </c>
      <c r="AJ64" s="186">
        <v>0</v>
      </c>
      <c r="AK64" s="186">
        <v>0</v>
      </c>
      <c r="AL64" s="186">
        <v>0</v>
      </c>
      <c r="AM64" s="186">
        <v>0</v>
      </c>
      <c r="AN64" s="186">
        <v>0</v>
      </c>
      <c r="AO64" s="186">
        <v>0</v>
      </c>
      <c r="AP64" s="186">
        <v>510</v>
      </c>
      <c r="AQ64" s="186">
        <v>167</v>
      </c>
      <c r="AR64" s="186">
        <v>0</v>
      </c>
      <c r="AS64" s="186">
        <v>453</v>
      </c>
      <c r="AT64" s="186">
        <v>65</v>
      </c>
      <c r="AU64" s="186">
        <v>885</v>
      </c>
      <c r="AV64" s="186">
        <v>20</v>
      </c>
      <c r="AW64" s="186">
        <v>0</v>
      </c>
      <c r="AX64" s="186">
        <f>SUM(AY64:BL64)</f>
        <v>2100</v>
      </c>
      <c r="AY64" s="186">
        <v>0</v>
      </c>
      <c r="AZ64" s="186">
        <v>0</v>
      </c>
      <c r="BA64" s="186">
        <v>0</v>
      </c>
      <c r="BB64" s="186">
        <v>0</v>
      </c>
      <c r="BC64" s="186">
        <v>0</v>
      </c>
      <c r="BD64" s="186">
        <v>0</v>
      </c>
      <c r="BE64" s="35">
        <v>510</v>
      </c>
      <c r="BF64" s="35">
        <v>167</v>
      </c>
      <c r="BG64" s="35">
        <v>0</v>
      </c>
      <c r="BH64" s="35">
        <v>453</v>
      </c>
      <c r="BI64" s="35">
        <v>65</v>
      </c>
      <c r="BJ64" s="35">
        <v>885</v>
      </c>
      <c r="BK64" s="35">
        <v>20</v>
      </c>
      <c r="BL64" s="35">
        <v>0</v>
      </c>
      <c r="BM64" s="35">
        <f>SUM(BN64:CA64)</f>
        <v>2100</v>
      </c>
      <c r="BN64" s="110">
        <v>0</v>
      </c>
      <c r="BO64" s="110">
        <v>0</v>
      </c>
      <c r="BP64" s="110">
        <v>0</v>
      </c>
      <c r="BQ64" s="110">
        <v>0</v>
      </c>
      <c r="BR64" s="110">
        <v>0</v>
      </c>
      <c r="BS64" s="110">
        <v>0</v>
      </c>
      <c r="BT64" s="110">
        <v>510</v>
      </c>
      <c r="BU64" s="110">
        <v>167</v>
      </c>
      <c r="BV64" s="110">
        <v>0</v>
      </c>
      <c r="BW64" s="110">
        <v>453</v>
      </c>
      <c r="BX64" s="110">
        <v>65</v>
      </c>
      <c r="BY64" s="110">
        <v>885</v>
      </c>
      <c r="BZ64" s="110">
        <v>20</v>
      </c>
      <c r="CA64" s="110">
        <v>0</v>
      </c>
      <c r="CB64" s="110">
        <f>BM64</f>
        <v>2100</v>
      </c>
      <c r="CC64" s="110">
        <v>2100</v>
      </c>
      <c r="CD64" s="110">
        <v>2100</v>
      </c>
      <c r="CE64" s="110">
        <v>2100</v>
      </c>
      <c r="CF64" s="110">
        <f t="shared" si="11"/>
        <v>2100</v>
      </c>
      <c r="CG64" s="110">
        <v>2100</v>
      </c>
      <c r="CH64" s="110">
        <v>2100</v>
      </c>
      <c r="CI64" s="110">
        <f t="shared" si="81"/>
        <v>2100</v>
      </c>
      <c r="CJ64" s="232">
        <f t="shared" si="40"/>
        <v>100</v>
      </c>
      <c r="CK64" s="232">
        <f t="shared" si="41"/>
        <v>100</v>
      </c>
      <c r="CL64" s="131"/>
    </row>
    <row r="65" spans="1:91" s="146" customFormat="1" ht="15" hidden="1">
      <c r="A65" s="78"/>
      <c r="B65" s="83" t="s">
        <v>81</v>
      </c>
      <c r="C65" s="78" t="s">
        <v>34</v>
      </c>
      <c r="D65" s="103"/>
      <c r="E65" s="248"/>
      <c r="F65" s="248"/>
      <c r="G65" s="248"/>
      <c r="H65" s="248"/>
      <c r="I65" s="248"/>
      <c r="J65" s="248"/>
      <c r="K65" s="248"/>
      <c r="L65" s="248"/>
      <c r="M65" s="248"/>
      <c r="N65" s="248"/>
      <c r="O65" s="248"/>
      <c r="P65" s="248"/>
      <c r="Q65" s="248"/>
      <c r="R65" s="248"/>
      <c r="S65" s="248"/>
      <c r="T65" s="248"/>
      <c r="U65" s="248"/>
      <c r="V65" s="248"/>
      <c r="W65" s="248"/>
      <c r="X65" s="248"/>
      <c r="Y65" s="248"/>
      <c r="Z65" s="248"/>
      <c r="AA65" s="248"/>
      <c r="AB65" s="248"/>
      <c r="AC65" s="248"/>
      <c r="AD65" s="248"/>
      <c r="AE65" s="248"/>
      <c r="AF65" s="248">
        <v>15</v>
      </c>
      <c r="AG65" s="248">
        <v>45</v>
      </c>
      <c r="AH65" s="248"/>
      <c r="AI65" s="248"/>
      <c r="AJ65" s="248"/>
      <c r="AK65" s="248"/>
      <c r="AL65" s="248"/>
      <c r="AM65" s="248"/>
      <c r="AN65" s="248"/>
      <c r="AO65" s="248"/>
      <c r="AP65" s="248"/>
      <c r="AQ65" s="248"/>
      <c r="AR65" s="248"/>
      <c r="AS65" s="248"/>
      <c r="AT65" s="248"/>
      <c r="AU65" s="248"/>
      <c r="AV65" s="248"/>
      <c r="AW65" s="248"/>
      <c r="AX65" s="248"/>
      <c r="AY65" s="248"/>
      <c r="AZ65" s="248"/>
      <c r="BA65" s="248"/>
      <c r="BB65" s="248"/>
      <c r="BC65" s="248"/>
      <c r="BD65" s="248"/>
      <c r="BE65" s="103"/>
      <c r="BF65" s="103"/>
      <c r="BG65" s="103"/>
      <c r="BH65" s="103"/>
      <c r="BI65" s="103"/>
      <c r="BJ65" s="103"/>
      <c r="BK65" s="103"/>
      <c r="BL65" s="103"/>
      <c r="BM65" s="110"/>
      <c r="BN65" s="110"/>
      <c r="BO65" s="110"/>
      <c r="BP65" s="110"/>
      <c r="BQ65" s="110"/>
      <c r="BR65" s="110"/>
      <c r="BS65" s="110"/>
      <c r="BT65" s="110"/>
      <c r="BU65" s="110"/>
      <c r="BV65" s="110"/>
      <c r="BW65" s="110"/>
      <c r="BX65" s="110"/>
      <c r="BY65" s="110"/>
      <c r="BZ65" s="110"/>
      <c r="CA65" s="110"/>
      <c r="CB65" s="110"/>
      <c r="CC65" s="110"/>
      <c r="CD65" s="131"/>
      <c r="CE65" s="131"/>
      <c r="CF65" s="110">
        <f t="shared" si="11"/>
        <v>0</v>
      </c>
      <c r="CG65" s="131"/>
      <c r="CH65" s="131"/>
      <c r="CI65" s="110">
        <f t="shared" si="81"/>
        <v>0</v>
      </c>
      <c r="CJ65" s="232" t="e">
        <f t="shared" si="40"/>
        <v>#DIV/0!</v>
      </c>
      <c r="CK65" s="232" t="e">
        <f t="shared" si="41"/>
        <v>#DIV/0!</v>
      </c>
      <c r="CL65" s="125"/>
    </row>
    <row r="66" spans="1:91" s="146" customFormat="1" ht="15">
      <c r="A66" s="78" t="s">
        <v>82</v>
      </c>
      <c r="B66" s="83" t="s">
        <v>83</v>
      </c>
      <c r="C66" s="78" t="s">
        <v>41</v>
      </c>
      <c r="D66" s="35">
        <f>[1]B2NN!$K$56</f>
        <v>428.25</v>
      </c>
      <c r="E66" s="186">
        <f>SUM(F66:S66)</f>
        <v>468.25000000000006</v>
      </c>
      <c r="F66" s="186">
        <v>6.54</v>
      </c>
      <c r="G66" s="186">
        <v>35.200000000000003</v>
      </c>
      <c r="H66" s="186">
        <v>80.400000000000006</v>
      </c>
      <c r="I66" s="186">
        <v>31.400000000000002</v>
      </c>
      <c r="J66" s="186">
        <v>36.25</v>
      </c>
      <c r="K66" s="186">
        <v>44.61</v>
      </c>
      <c r="L66" s="186">
        <v>3</v>
      </c>
      <c r="M66" s="186">
        <v>53</v>
      </c>
      <c r="N66" s="186">
        <v>4</v>
      </c>
      <c r="O66" s="186">
        <v>53.66</v>
      </c>
      <c r="P66" s="186">
        <v>43.29</v>
      </c>
      <c r="Q66" s="186">
        <v>9.3999999999999986</v>
      </c>
      <c r="R66" s="186">
        <v>13.7</v>
      </c>
      <c r="S66" s="186">
        <v>53.8</v>
      </c>
      <c r="T66" s="186">
        <f>SUM(U66:AH66)</f>
        <v>508.25000000000006</v>
      </c>
      <c r="U66" s="186">
        <v>6.54</v>
      </c>
      <c r="V66" s="186">
        <v>35.200000000000003</v>
      </c>
      <c r="W66" s="186">
        <f>10+80.4</f>
        <v>90.4</v>
      </c>
      <c r="X66" s="186">
        <f>15+31.4</f>
        <v>46.4</v>
      </c>
      <c r="Y66" s="186">
        <f>10+36.25</f>
        <v>46.25</v>
      </c>
      <c r="Z66" s="186">
        <f>5+44.61</f>
        <v>49.61</v>
      </c>
      <c r="AA66" s="186">
        <v>3</v>
      </c>
      <c r="AB66" s="186">
        <v>53</v>
      </c>
      <c r="AC66" s="186">
        <v>4</v>
      </c>
      <c r="AD66" s="186">
        <v>53.66</v>
      </c>
      <c r="AE66" s="186">
        <v>43.29</v>
      </c>
      <c r="AF66" s="186">
        <v>9.3999999999999986</v>
      </c>
      <c r="AG66" s="186">
        <v>13.7</v>
      </c>
      <c r="AH66" s="186">
        <v>53.8</v>
      </c>
      <c r="AI66" s="186">
        <f>SUM(AJ66:AW66)</f>
        <v>548.25</v>
      </c>
      <c r="AJ66" s="186">
        <v>6.54</v>
      </c>
      <c r="AK66" s="186">
        <v>35.200000000000003</v>
      </c>
      <c r="AL66" s="186">
        <f>10+80.4</f>
        <v>90.4</v>
      </c>
      <c r="AM66" s="186">
        <f>15+15+31.4</f>
        <v>61.4</v>
      </c>
      <c r="AN66" s="186">
        <f>20+10+36.25</f>
        <v>66.25</v>
      </c>
      <c r="AO66" s="186">
        <f>5+5+44.61</f>
        <v>54.61</v>
      </c>
      <c r="AP66" s="186">
        <v>3</v>
      </c>
      <c r="AQ66" s="186">
        <v>53</v>
      </c>
      <c r="AR66" s="186">
        <v>4</v>
      </c>
      <c r="AS66" s="186">
        <v>53.66</v>
      </c>
      <c r="AT66" s="186">
        <v>43.29</v>
      </c>
      <c r="AU66" s="186">
        <v>9.3999999999999986</v>
      </c>
      <c r="AV66" s="186">
        <v>13.7</v>
      </c>
      <c r="AW66" s="186">
        <v>53.8</v>
      </c>
      <c r="AX66" s="186">
        <f>SUM(AY66:BL66)</f>
        <v>593.25000000000011</v>
      </c>
      <c r="AY66" s="186">
        <v>6.54</v>
      </c>
      <c r="AZ66" s="186">
        <v>35.200000000000003</v>
      </c>
      <c r="BA66" s="186">
        <f>10+80.4</f>
        <v>90.4</v>
      </c>
      <c r="BB66" s="186">
        <f>15+15+15+31.4</f>
        <v>76.400000000000006</v>
      </c>
      <c r="BC66" s="186">
        <f>10+20+10+36.25</f>
        <v>76.25</v>
      </c>
      <c r="BD66" s="186">
        <f>12+5+44.61</f>
        <v>61.61</v>
      </c>
      <c r="BE66" s="186">
        <v>3</v>
      </c>
      <c r="BF66" s="186">
        <v>53</v>
      </c>
      <c r="BG66" s="186">
        <v>4</v>
      </c>
      <c r="BH66" s="186">
        <v>53.66</v>
      </c>
      <c r="BI66" s="186">
        <f>3+43.29</f>
        <v>46.29</v>
      </c>
      <c r="BJ66" s="186">
        <f>5+9.4</f>
        <v>14.4</v>
      </c>
      <c r="BK66" s="186">
        <v>13.7</v>
      </c>
      <c r="BL66" s="186">
        <f>5+53.8</f>
        <v>58.8</v>
      </c>
      <c r="BM66" s="35">
        <f>SUM(BN66:CA66)</f>
        <v>638.25</v>
      </c>
      <c r="BN66" s="186">
        <v>6.54</v>
      </c>
      <c r="BO66" s="186">
        <v>35.200000000000003</v>
      </c>
      <c r="BP66" s="186">
        <f>10+80.4</f>
        <v>90.4</v>
      </c>
      <c r="BQ66" s="186">
        <f>15+15+15+31.4</f>
        <v>76.400000000000006</v>
      </c>
      <c r="BR66" s="186">
        <f>15+10+20+10+36.25</f>
        <v>91.25</v>
      </c>
      <c r="BS66" s="186">
        <f>5+12+5+44.61</f>
        <v>66.61</v>
      </c>
      <c r="BT66" s="186">
        <v>3</v>
      </c>
      <c r="BU66" s="186">
        <v>53</v>
      </c>
      <c r="BV66" s="186">
        <v>4</v>
      </c>
      <c r="BW66" s="186">
        <f>5+53.66</f>
        <v>58.66</v>
      </c>
      <c r="BX66" s="186">
        <f>3+43.29</f>
        <v>46.29</v>
      </c>
      <c r="BY66" s="186">
        <f>15+14.4</f>
        <v>29.4</v>
      </c>
      <c r="BZ66" s="186">
        <v>13.7</v>
      </c>
      <c r="CA66" s="186">
        <f>5+5+53.8</f>
        <v>63.8</v>
      </c>
      <c r="CB66" s="35">
        <f>BM66</f>
        <v>638.25</v>
      </c>
      <c r="CC66" s="35">
        <v>471.45</v>
      </c>
      <c r="CD66" s="125">
        <v>512.69999999999993</v>
      </c>
      <c r="CE66" s="253">
        <v>512.94999999999993</v>
      </c>
      <c r="CF66" s="332">
        <f t="shared" si="11"/>
        <v>512.94999999999993</v>
      </c>
      <c r="CG66" s="141">
        <f>AX66</f>
        <v>593.25000000000011</v>
      </c>
      <c r="CH66" s="141">
        <f>BM66</f>
        <v>638.25</v>
      </c>
      <c r="CI66" s="110">
        <f t="shared" si="81"/>
        <v>638.25</v>
      </c>
      <c r="CJ66" s="232">
        <f t="shared" si="40"/>
        <v>80.368194281237749</v>
      </c>
      <c r="CK66" s="232">
        <f t="shared" si="41"/>
        <v>100</v>
      </c>
      <c r="CL66" s="125"/>
    </row>
    <row r="67" spans="1:91" s="146" customFormat="1" ht="15">
      <c r="A67" s="78"/>
      <c r="B67" s="83" t="s">
        <v>81</v>
      </c>
      <c r="C67" s="78" t="s">
        <v>34</v>
      </c>
      <c r="D67" s="103"/>
      <c r="E67" s="248"/>
      <c r="F67" s="248"/>
      <c r="G67" s="248"/>
      <c r="H67" s="248"/>
      <c r="I67" s="248"/>
      <c r="J67" s="248"/>
      <c r="K67" s="248"/>
      <c r="L67" s="248"/>
      <c r="M67" s="248"/>
      <c r="N67" s="248"/>
      <c r="O67" s="248"/>
      <c r="P67" s="248"/>
      <c r="Q67" s="248"/>
      <c r="R67" s="248"/>
      <c r="S67" s="248"/>
      <c r="T67" s="248"/>
      <c r="U67" s="248"/>
      <c r="V67" s="248"/>
      <c r="W67" s="248"/>
      <c r="X67" s="248"/>
      <c r="Y67" s="248"/>
      <c r="Z67" s="248"/>
      <c r="AA67" s="248"/>
      <c r="AB67" s="248"/>
      <c r="AC67" s="248"/>
      <c r="AD67" s="248"/>
      <c r="AE67" s="248"/>
      <c r="AF67" s="248"/>
      <c r="AG67" s="248"/>
      <c r="AH67" s="248"/>
      <c r="AI67" s="248"/>
      <c r="AJ67" s="248"/>
      <c r="AK67" s="248"/>
      <c r="AL67" s="248"/>
      <c r="AM67" s="248"/>
      <c r="AN67" s="248"/>
      <c r="AO67" s="248"/>
      <c r="AP67" s="248"/>
      <c r="AQ67" s="248"/>
      <c r="AR67" s="248"/>
      <c r="AS67" s="248"/>
      <c r="AT67" s="248"/>
      <c r="AU67" s="248"/>
      <c r="AV67" s="248"/>
      <c r="AW67" s="248"/>
      <c r="AX67" s="248"/>
      <c r="AY67" s="248"/>
      <c r="AZ67" s="248"/>
      <c r="BA67" s="248"/>
      <c r="BB67" s="248"/>
      <c r="BC67" s="248"/>
      <c r="BD67" s="248"/>
      <c r="BE67" s="103"/>
      <c r="BF67" s="103"/>
      <c r="BG67" s="103"/>
      <c r="BH67" s="103"/>
      <c r="BI67" s="103"/>
      <c r="BJ67" s="103"/>
      <c r="BK67" s="103"/>
      <c r="BL67" s="103"/>
      <c r="BM67" s="103"/>
      <c r="BN67" s="103"/>
      <c r="BO67" s="103"/>
      <c r="BP67" s="103"/>
      <c r="BQ67" s="103"/>
      <c r="BR67" s="103"/>
      <c r="BS67" s="103"/>
      <c r="BT67" s="103"/>
      <c r="BU67" s="103"/>
      <c r="BV67" s="103"/>
      <c r="BW67" s="103"/>
      <c r="BX67" s="103"/>
      <c r="BY67" s="103"/>
      <c r="BZ67" s="103"/>
      <c r="CA67" s="103"/>
      <c r="CB67" s="103"/>
      <c r="CC67" s="110">
        <v>1100</v>
      </c>
      <c r="CD67" s="110">
        <v>1100</v>
      </c>
      <c r="CE67" s="110">
        <v>1200</v>
      </c>
      <c r="CF67" s="110">
        <f t="shared" si="11"/>
        <v>1200</v>
      </c>
      <c r="CG67" s="129">
        <f>CE67+(CE67*5%)</f>
        <v>1260</v>
      </c>
      <c r="CH67" s="129">
        <f>CG67+(CG67*5%)</f>
        <v>1323</v>
      </c>
      <c r="CI67" s="110">
        <f t="shared" si="81"/>
        <v>1323</v>
      </c>
      <c r="CJ67" s="232"/>
      <c r="CK67" s="232"/>
      <c r="CL67" s="125"/>
    </row>
    <row r="68" spans="1:91" s="11" customFormat="1" ht="15">
      <c r="A68" s="89" t="s">
        <v>29</v>
      </c>
      <c r="B68" s="90" t="s">
        <v>84</v>
      </c>
      <c r="C68" s="89"/>
      <c r="D68" s="98"/>
      <c r="E68" s="245"/>
      <c r="F68" s="245"/>
      <c r="G68" s="245"/>
      <c r="H68" s="245"/>
      <c r="I68" s="245"/>
      <c r="J68" s="245"/>
      <c r="K68" s="245"/>
      <c r="L68" s="245"/>
      <c r="M68" s="245"/>
      <c r="N68" s="245"/>
      <c r="O68" s="245"/>
      <c r="P68" s="245"/>
      <c r="Q68" s="245"/>
      <c r="R68" s="245"/>
      <c r="S68" s="245"/>
      <c r="T68" s="245"/>
      <c r="U68" s="245"/>
      <c r="V68" s="245"/>
      <c r="W68" s="245"/>
      <c r="X68" s="245"/>
      <c r="Y68" s="245"/>
      <c r="Z68" s="245"/>
      <c r="AA68" s="245"/>
      <c r="AB68" s="245"/>
      <c r="AC68" s="245"/>
      <c r="AD68" s="245"/>
      <c r="AE68" s="245"/>
      <c r="AF68" s="245"/>
      <c r="AG68" s="245"/>
      <c r="AH68" s="245"/>
      <c r="AI68" s="245"/>
      <c r="AJ68" s="245"/>
      <c r="AK68" s="245"/>
      <c r="AL68" s="245"/>
      <c r="AM68" s="245"/>
      <c r="AN68" s="245"/>
      <c r="AO68" s="245"/>
      <c r="AP68" s="245"/>
      <c r="AQ68" s="245"/>
      <c r="AR68" s="245"/>
      <c r="AS68" s="245"/>
      <c r="AT68" s="245"/>
      <c r="AU68" s="245"/>
      <c r="AV68" s="245"/>
      <c r="AW68" s="245"/>
      <c r="AX68" s="245"/>
      <c r="AY68" s="245"/>
      <c r="AZ68" s="245"/>
      <c r="BA68" s="245"/>
      <c r="BB68" s="245"/>
      <c r="BC68" s="245"/>
      <c r="BD68" s="245"/>
      <c r="BE68" s="98"/>
      <c r="BF68" s="98"/>
      <c r="BG68" s="98"/>
      <c r="BH68" s="98"/>
      <c r="BI68" s="98"/>
      <c r="BJ68" s="98"/>
      <c r="BK68" s="98"/>
      <c r="BL68" s="98"/>
      <c r="BM68" s="98"/>
      <c r="BN68" s="98"/>
      <c r="BO68" s="98"/>
      <c r="BP68" s="98"/>
      <c r="BQ68" s="98"/>
      <c r="BR68" s="98"/>
      <c r="BS68" s="98"/>
      <c r="BT68" s="98"/>
      <c r="BU68" s="98"/>
      <c r="BV68" s="98"/>
      <c r="BW68" s="98"/>
      <c r="BX68" s="98"/>
      <c r="BY68" s="98"/>
      <c r="BZ68" s="98"/>
      <c r="CA68" s="98"/>
      <c r="CB68" s="98"/>
      <c r="CC68" s="379"/>
      <c r="CD68" s="379"/>
      <c r="CE68" s="253"/>
      <c r="CF68" s="125"/>
      <c r="CG68" s="125"/>
      <c r="CH68" s="125"/>
      <c r="CI68" s="125"/>
      <c r="CJ68" s="232"/>
      <c r="CK68" s="232"/>
      <c r="CL68" s="126"/>
    </row>
    <row r="69" spans="1:91" s="11" customFormat="1" ht="15">
      <c r="A69" s="89">
        <v>1</v>
      </c>
      <c r="B69" s="90" t="s">
        <v>85</v>
      </c>
      <c r="C69" s="89" t="s">
        <v>86</v>
      </c>
      <c r="D69" s="173">
        <f>[1]B2NN!$K$63</f>
        <v>35868</v>
      </c>
      <c r="E69" s="173">
        <f>SUM(E70:E72)</f>
        <v>37563</v>
      </c>
      <c r="F69" s="173">
        <f>SUM(F70:F72)</f>
        <v>3015</v>
      </c>
      <c r="G69" s="173">
        <f t="shared" ref="G69:S69" si="88">SUM(G70:G72)</f>
        <v>3378</v>
      </c>
      <c r="H69" s="173">
        <f t="shared" si="88"/>
        <v>6850</v>
      </c>
      <c r="I69" s="173">
        <f t="shared" si="88"/>
        <v>1429</v>
      </c>
      <c r="J69" s="173">
        <f t="shared" si="88"/>
        <v>3030</v>
      </c>
      <c r="K69" s="173">
        <f t="shared" si="88"/>
        <v>2650</v>
      </c>
      <c r="L69" s="173">
        <f t="shared" si="88"/>
        <v>1663</v>
      </c>
      <c r="M69" s="173">
        <f t="shared" si="88"/>
        <v>1433</v>
      </c>
      <c r="N69" s="173">
        <f t="shared" si="88"/>
        <v>1046</v>
      </c>
      <c r="O69" s="173">
        <f t="shared" si="88"/>
        <v>1160</v>
      </c>
      <c r="P69" s="173">
        <f t="shared" si="88"/>
        <v>1976</v>
      </c>
      <c r="Q69" s="173">
        <f t="shared" si="88"/>
        <v>2009</v>
      </c>
      <c r="R69" s="173">
        <f t="shared" si="88"/>
        <v>1460</v>
      </c>
      <c r="S69" s="173">
        <f t="shared" si="88"/>
        <v>6464</v>
      </c>
      <c r="T69" s="173">
        <f>SUM(T70:T72)</f>
        <v>38990</v>
      </c>
      <c r="U69" s="173">
        <f>SUM(U70:U72)</f>
        <v>3134</v>
      </c>
      <c r="V69" s="173">
        <f t="shared" ref="V69:AG69" si="89">SUM(V70:V72)</f>
        <v>3597</v>
      </c>
      <c r="W69" s="173">
        <f t="shared" si="89"/>
        <v>7063</v>
      </c>
      <c r="X69" s="173">
        <f t="shared" si="89"/>
        <v>1470</v>
      </c>
      <c r="Y69" s="173">
        <f t="shared" si="89"/>
        <v>3235</v>
      </c>
      <c r="Z69" s="173">
        <f t="shared" si="89"/>
        <v>2857</v>
      </c>
      <c r="AA69" s="173">
        <f t="shared" si="89"/>
        <v>1736</v>
      </c>
      <c r="AB69" s="173">
        <f t="shared" si="89"/>
        <v>1465</v>
      </c>
      <c r="AC69" s="173">
        <f t="shared" si="89"/>
        <v>1085</v>
      </c>
      <c r="AD69" s="173">
        <f t="shared" si="89"/>
        <v>1199</v>
      </c>
      <c r="AE69" s="173">
        <f t="shared" si="89"/>
        <v>2010</v>
      </c>
      <c r="AF69" s="173">
        <f t="shared" si="89"/>
        <v>2049</v>
      </c>
      <c r="AG69" s="173">
        <f t="shared" si="89"/>
        <v>1500</v>
      </c>
      <c r="AH69" s="173">
        <f>SUM(AH70:AH72)</f>
        <v>6590</v>
      </c>
      <c r="AI69" s="173">
        <f>SUM(AI70:AI72)</f>
        <v>40503</v>
      </c>
      <c r="AJ69" s="173">
        <f>SUM(AJ70:AJ72)</f>
        <v>3217</v>
      </c>
      <c r="AK69" s="173">
        <f t="shared" ref="AK69:AW69" si="90">SUM(AK70:AK72)</f>
        <v>3770</v>
      </c>
      <c r="AL69" s="173">
        <f t="shared" si="90"/>
        <v>7223</v>
      </c>
      <c r="AM69" s="173">
        <f t="shared" si="90"/>
        <v>1539</v>
      </c>
      <c r="AN69" s="173">
        <f t="shared" si="90"/>
        <v>3478</v>
      </c>
      <c r="AO69" s="173">
        <f t="shared" si="90"/>
        <v>3080</v>
      </c>
      <c r="AP69" s="173">
        <f t="shared" si="90"/>
        <v>1809</v>
      </c>
      <c r="AQ69" s="173">
        <f t="shared" si="90"/>
        <v>1529</v>
      </c>
      <c r="AR69" s="173">
        <f t="shared" si="90"/>
        <v>1155</v>
      </c>
      <c r="AS69" s="173">
        <f t="shared" si="90"/>
        <v>1249</v>
      </c>
      <c r="AT69" s="173">
        <f t="shared" si="90"/>
        <v>2058</v>
      </c>
      <c r="AU69" s="173">
        <f t="shared" si="90"/>
        <v>2105</v>
      </c>
      <c r="AV69" s="173">
        <f t="shared" si="90"/>
        <v>1561</v>
      </c>
      <c r="AW69" s="173">
        <f t="shared" si="90"/>
        <v>6730</v>
      </c>
      <c r="AX69" s="173">
        <f>SUM(AX70:AX72)</f>
        <v>42038</v>
      </c>
      <c r="AY69" s="173">
        <f t="shared" ref="AY69:BL69" si="91">SUM(AY70:AY72)</f>
        <v>3279</v>
      </c>
      <c r="AZ69" s="173">
        <f t="shared" si="91"/>
        <v>3976</v>
      </c>
      <c r="BA69" s="173">
        <f t="shared" si="91"/>
        <v>7467</v>
      </c>
      <c r="BB69" s="173">
        <f t="shared" si="91"/>
        <v>1587</v>
      </c>
      <c r="BC69" s="173">
        <f t="shared" si="91"/>
        <v>3705</v>
      </c>
      <c r="BD69" s="173">
        <f t="shared" si="91"/>
        <v>3285</v>
      </c>
      <c r="BE69" s="173">
        <f t="shared" si="91"/>
        <v>1863</v>
      </c>
      <c r="BF69" s="173">
        <f t="shared" si="91"/>
        <v>1597</v>
      </c>
      <c r="BG69" s="173">
        <f t="shared" si="91"/>
        <v>1208</v>
      </c>
      <c r="BH69" s="173">
        <f t="shared" si="91"/>
        <v>1312</v>
      </c>
      <c r="BI69" s="173">
        <f t="shared" si="91"/>
        <v>2125</v>
      </c>
      <c r="BJ69" s="173">
        <f t="shared" si="91"/>
        <v>2152</v>
      </c>
      <c r="BK69" s="173">
        <f t="shared" si="91"/>
        <v>1610</v>
      </c>
      <c r="BL69" s="173">
        <f t="shared" si="91"/>
        <v>6872</v>
      </c>
      <c r="BM69" s="173">
        <f>SUM(BM70:BM72)</f>
        <v>43807</v>
      </c>
      <c r="BN69" s="173">
        <f t="shared" ref="BN69:CA69" si="92">SUM(BN70:BN72)</f>
        <v>3384</v>
      </c>
      <c r="BO69" s="173">
        <f t="shared" si="92"/>
        <v>4221</v>
      </c>
      <c r="BP69" s="173">
        <f t="shared" si="92"/>
        <v>7690</v>
      </c>
      <c r="BQ69" s="173">
        <f t="shared" si="92"/>
        <v>1655</v>
      </c>
      <c r="BR69" s="173">
        <f t="shared" si="92"/>
        <v>3975</v>
      </c>
      <c r="BS69" s="173">
        <f t="shared" si="92"/>
        <v>3498</v>
      </c>
      <c r="BT69" s="173">
        <f t="shared" si="92"/>
        <v>1949</v>
      </c>
      <c r="BU69" s="173">
        <f t="shared" si="92"/>
        <v>1665</v>
      </c>
      <c r="BV69" s="173">
        <f t="shared" si="92"/>
        <v>1285</v>
      </c>
      <c r="BW69" s="173">
        <f t="shared" si="92"/>
        <v>1376</v>
      </c>
      <c r="BX69" s="173">
        <f t="shared" si="92"/>
        <v>2188</v>
      </c>
      <c r="BY69" s="173">
        <f t="shared" si="92"/>
        <v>2209</v>
      </c>
      <c r="BZ69" s="173">
        <f t="shared" si="92"/>
        <v>1675</v>
      </c>
      <c r="CA69" s="173">
        <f t="shared" si="92"/>
        <v>7037</v>
      </c>
      <c r="CB69" s="173">
        <f t="shared" ref="CB69:CB72" si="93">BM69</f>
        <v>43807</v>
      </c>
      <c r="CC69" s="173">
        <v>37802</v>
      </c>
      <c r="CD69" s="173">
        <v>39110</v>
      </c>
      <c r="CE69" s="173">
        <v>40630</v>
      </c>
      <c r="CF69" s="173">
        <f>CE69</f>
        <v>40630</v>
      </c>
      <c r="CG69" s="173">
        <f>AX69</f>
        <v>42038</v>
      </c>
      <c r="CH69" s="173">
        <f>BM69</f>
        <v>43807</v>
      </c>
      <c r="CI69" s="173">
        <f>CH69</f>
        <v>43807</v>
      </c>
      <c r="CJ69" s="232">
        <f t="shared" si="40"/>
        <v>92.747734380350167</v>
      </c>
      <c r="CK69" s="232">
        <f t="shared" si="41"/>
        <v>100</v>
      </c>
      <c r="CL69" s="125"/>
      <c r="CM69" s="382">
        <f>CF69-D69</f>
        <v>4762</v>
      </c>
    </row>
    <row r="70" spans="1:91" s="146" customFormat="1" ht="15">
      <c r="A70" s="78"/>
      <c r="B70" s="83" t="s">
        <v>87</v>
      </c>
      <c r="C70" s="78" t="s">
        <v>86</v>
      </c>
      <c r="D70" s="135">
        <f>[1]B2NN!$K$64</f>
        <v>7332</v>
      </c>
      <c r="E70" s="135">
        <f>SUM(F70:S70)</f>
        <v>7401</v>
      </c>
      <c r="F70" s="135">
        <v>150</v>
      </c>
      <c r="G70" s="135">
        <v>587</v>
      </c>
      <c r="H70" s="135">
        <v>630</v>
      </c>
      <c r="I70" s="135">
        <v>245</v>
      </c>
      <c r="J70" s="135">
        <v>740</v>
      </c>
      <c r="K70" s="135">
        <v>218</v>
      </c>
      <c r="L70" s="135">
        <v>515</v>
      </c>
      <c r="M70" s="135">
        <v>333</v>
      </c>
      <c r="N70" s="135">
        <v>220</v>
      </c>
      <c r="O70" s="135">
        <v>260</v>
      </c>
      <c r="P70" s="135">
        <v>597</v>
      </c>
      <c r="Q70" s="135">
        <v>694</v>
      </c>
      <c r="R70" s="135">
        <v>660</v>
      </c>
      <c r="S70" s="135">
        <v>1552</v>
      </c>
      <c r="T70" s="135">
        <f>SUM(U70:AH70)</f>
        <v>7430</v>
      </c>
      <c r="U70" s="135">
        <v>150</v>
      </c>
      <c r="V70" s="135">
        <v>587</v>
      </c>
      <c r="W70" s="135">
        <v>635</v>
      </c>
      <c r="X70" s="135">
        <v>245</v>
      </c>
      <c r="Y70" s="135">
        <v>740</v>
      </c>
      <c r="Z70" s="135">
        <v>220</v>
      </c>
      <c r="AA70" s="135">
        <v>518</v>
      </c>
      <c r="AB70" s="135">
        <v>335</v>
      </c>
      <c r="AC70" s="135">
        <v>225</v>
      </c>
      <c r="AD70" s="135">
        <v>264</v>
      </c>
      <c r="AE70" s="135">
        <v>597</v>
      </c>
      <c r="AF70" s="135">
        <v>694</v>
      </c>
      <c r="AG70" s="135">
        <v>660</v>
      </c>
      <c r="AH70" s="135">
        <v>1560</v>
      </c>
      <c r="AI70" s="135">
        <f>SUM(AJ70:AW70)</f>
        <v>7470</v>
      </c>
      <c r="AJ70" s="135">
        <v>152</v>
      </c>
      <c r="AK70" s="135">
        <v>580</v>
      </c>
      <c r="AL70" s="135">
        <v>630</v>
      </c>
      <c r="AM70" s="135">
        <v>250</v>
      </c>
      <c r="AN70" s="135">
        <v>748</v>
      </c>
      <c r="AO70" s="135">
        <v>225</v>
      </c>
      <c r="AP70" s="135">
        <v>523</v>
      </c>
      <c r="AQ70" s="135">
        <v>340</v>
      </c>
      <c r="AR70" s="135">
        <v>230</v>
      </c>
      <c r="AS70" s="135">
        <v>269</v>
      </c>
      <c r="AT70" s="135">
        <v>602</v>
      </c>
      <c r="AU70" s="135">
        <v>695</v>
      </c>
      <c r="AV70" s="135">
        <v>661</v>
      </c>
      <c r="AW70" s="135">
        <v>1565</v>
      </c>
      <c r="AX70" s="135">
        <f>SUM(AY70:BL70)</f>
        <v>7571</v>
      </c>
      <c r="AY70" s="191">
        <v>154</v>
      </c>
      <c r="AZ70" s="191">
        <v>594</v>
      </c>
      <c r="BA70" s="191">
        <v>650</v>
      </c>
      <c r="BB70" s="191">
        <v>255</v>
      </c>
      <c r="BC70" s="191">
        <v>755</v>
      </c>
      <c r="BD70" s="191">
        <v>231</v>
      </c>
      <c r="BE70" s="191">
        <v>529</v>
      </c>
      <c r="BF70" s="191">
        <v>346</v>
      </c>
      <c r="BG70" s="191">
        <v>235</v>
      </c>
      <c r="BH70" s="191">
        <v>274</v>
      </c>
      <c r="BI70" s="191">
        <v>605</v>
      </c>
      <c r="BJ70" s="191">
        <v>697</v>
      </c>
      <c r="BK70" s="191">
        <v>666</v>
      </c>
      <c r="BL70" s="135">
        <v>1580</v>
      </c>
      <c r="BM70" s="135">
        <f>SUM(BN70:CA70)</f>
        <v>7602</v>
      </c>
      <c r="BN70" s="135">
        <v>160</v>
      </c>
      <c r="BO70" s="135">
        <v>594</v>
      </c>
      <c r="BP70" s="135">
        <v>650</v>
      </c>
      <c r="BQ70" s="135">
        <v>260</v>
      </c>
      <c r="BR70" s="135">
        <v>755</v>
      </c>
      <c r="BS70" s="135">
        <v>231</v>
      </c>
      <c r="BT70" s="135">
        <v>529</v>
      </c>
      <c r="BU70" s="135">
        <v>346</v>
      </c>
      <c r="BV70" s="135">
        <v>235</v>
      </c>
      <c r="BW70" s="135">
        <v>274</v>
      </c>
      <c r="BX70" s="135">
        <v>605</v>
      </c>
      <c r="BY70" s="135">
        <v>697</v>
      </c>
      <c r="BZ70" s="135">
        <v>666</v>
      </c>
      <c r="CA70" s="135">
        <v>1600</v>
      </c>
      <c r="CB70" s="135">
        <f t="shared" si="93"/>
        <v>7602</v>
      </c>
      <c r="CC70" s="135">
        <v>7080</v>
      </c>
      <c r="CD70" s="135">
        <v>7100</v>
      </c>
      <c r="CE70" s="135">
        <v>7120</v>
      </c>
      <c r="CF70" s="135">
        <f t="shared" ref="CF70:CF72" si="94">CE70</f>
        <v>7120</v>
      </c>
      <c r="CG70" s="135">
        <f t="shared" ref="CG70:CG74" si="95">AX70</f>
        <v>7571</v>
      </c>
      <c r="CH70" s="135">
        <f t="shared" ref="CH70:CH74" si="96">BM70</f>
        <v>7602</v>
      </c>
      <c r="CI70" s="135">
        <f t="shared" ref="CI70:CI72" si="97">CH70</f>
        <v>7602</v>
      </c>
      <c r="CJ70" s="232">
        <f t="shared" si="40"/>
        <v>93.65956327282295</v>
      </c>
      <c r="CK70" s="232">
        <f t="shared" si="41"/>
        <v>100</v>
      </c>
      <c r="CL70" s="126"/>
    </row>
    <row r="71" spans="1:91" s="146" customFormat="1" ht="15">
      <c r="A71" s="78"/>
      <c r="B71" s="83" t="s">
        <v>88</v>
      </c>
      <c r="C71" s="78" t="s">
        <v>86</v>
      </c>
      <c r="D71" s="135">
        <f>[1]B2NN!$K$65</f>
        <v>4756</v>
      </c>
      <c r="E71" s="135">
        <f>SUM(F71:S71)</f>
        <v>4862</v>
      </c>
      <c r="F71" s="135">
        <v>65</v>
      </c>
      <c r="G71" s="135">
        <v>355</v>
      </c>
      <c r="H71" s="135">
        <v>455</v>
      </c>
      <c r="I71" s="135">
        <v>220</v>
      </c>
      <c r="J71" s="135">
        <v>440</v>
      </c>
      <c r="K71" s="135">
        <v>325</v>
      </c>
      <c r="L71" s="135">
        <v>332</v>
      </c>
      <c r="M71" s="135">
        <v>160</v>
      </c>
      <c r="N71" s="135">
        <v>190</v>
      </c>
      <c r="O71" s="135">
        <v>95</v>
      </c>
      <c r="P71" s="135">
        <v>115</v>
      </c>
      <c r="Q71" s="135">
        <v>85</v>
      </c>
      <c r="R71" s="135">
        <v>145</v>
      </c>
      <c r="S71" s="135">
        <v>1880</v>
      </c>
      <c r="T71" s="135">
        <f>SUM(U71:AH71)</f>
        <v>4894</v>
      </c>
      <c r="U71" s="135">
        <v>74</v>
      </c>
      <c r="V71" s="135">
        <v>360</v>
      </c>
      <c r="W71" s="135">
        <v>458</v>
      </c>
      <c r="X71" s="135">
        <v>225</v>
      </c>
      <c r="Y71" s="135">
        <v>450</v>
      </c>
      <c r="Z71" s="135">
        <v>325</v>
      </c>
      <c r="AA71" s="135">
        <v>332</v>
      </c>
      <c r="AB71" s="135">
        <v>160</v>
      </c>
      <c r="AC71" s="135">
        <v>190</v>
      </c>
      <c r="AD71" s="135">
        <v>95</v>
      </c>
      <c r="AE71" s="135">
        <v>115</v>
      </c>
      <c r="AF71" s="135">
        <v>85</v>
      </c>
      <c r="AG71" s="135">
        <v>145</v>
      </c>
      <c r="AH71" s="135">
        <v>1880</v>
      </c>
      <c r="AI71" s="135">
        <f>SUM(AJ71:AW71)</f>
        <v>4992</v>
      </c>
      <c r="AJ71" s="135">
        <v>80</v>
      </c>
      <c r="AK71" s="135">
        <v>360</v>
      </c>
      <c r="AL71" s="135">
        <v>463</v>
      </c>
      <c r="AM71" s="135">
        <v>229</v>
      </c>
      <c r="AN71" s="135">
        <v>480</v>
      </c>
      <c r="AO71" s="135">
        <v>330</v>
      </c>
      <c r="AP71" s="135">
        <v>336</v>
      </c>
      <c r="AQ71" s="135">
        <v>164</v>
      </c>
      <c r="AR71" s="135">
        <v>195</v>
      </c>
      <c r="AS71" s="135">
        <v>100</v>
      </c>
      <c r="AT71" s="135">
        <v>120</v>
      </c>
      <c r="AU71" s="135">
        <v>90</v>
      </c>
      <c r="AV71" s="135">
        <v>150</v>
      </c>
      <c r="AW71" s="135">
        <v>1895</v>
      </c>
      <c r="AX71" s="135">
        <f>SUM(AY71:BL71)</f>
        <v>5045</v>
      </c>
      <c r="AY71" s="191">
        <v>85</v>
      </c>
      <c r="AZ71" s="191">
        <v>362</v>
      </c>
      <c r="BA71" s="191">
        <v>467</v>
      </c>
      <c r="BB71" s="191">
        <v>232</v>
      </c>
      <c r="BC71" s="191">
        <v>490</v>
      </c>
      <c r="BD71" s="191">
        <v>333</v>
      </c>
      <c r="BE71" s="191">
        <v>338</v>
      </c>
      <c r="BF71" s="191">
        <v>166</v>
      </c>
      <c r="BG71" s="191">
        <v>198</v>
      </c>
      <c r="BH71" s="191">
        <v>103</v>
      </c>
      <c r="BI71" s="191">
        <v>122</v>
      </c>
      <c r="BJ71" s="191">
        <v>92</v>
      </c>
      <c r="BK71" s="191">
        <v>152</v>
      </c>
      <c r="BL71" s="135">
        <v>1905</v>
      </c>
      <c r="BM71" s="135">
        <f>SUM(BN71:CA71)</f>
        <v>5105</v>
      </c>
      <c r="BN71" s="135">
        <v>85</v>
      </c>
      <c r="BO71" s="135">
        <v>362</v>
      </c>
      <c r="BP71" s="135">
        <v>470</v>
      </c>
      <c r="BQ71" s="135">
        <v>235</v>
      </c>
      <c r="BR71" s="135">
        <v>500</v>
      </c>
      <c r="BS71" s="135">
        <v>335</v>
      </c>
      <c r="BT71" s="135">
        <v>342</v>
      </c>
      <c r="BU71" s="135">
        <v>170</v>
      </c>
      <c r="BV71" s="135">
        <v>203</v>
      </c>
      <c r="BW71" s="135">
        <v>108</v>
      </c>
      <c r="BX71" s="135">
        <v>125</v>
      </c>
      <c r="BY71" s="135">
        <v>95</v>
      </c>
      <c r="BZ71" s="135">
        <v>155</v>
      </c>
      <c r="CA71" s="135">
        <v>1920</v>
      </c>
      <c r="CB71" s="135">
        <f t="shared" si="93"/>
        <v>5105</v>
      </c>
      <c r="CC71" s="135">
        <v>4530</v>
      </c>
      <c r="CD71" s="135">
        <v>4644</v>
      </c>
      <c r="CE71" s="135">
        <v>4610</v>
      </c>
      <c r="CF71" s="135">
        <f t="shared" si="94"/>
        <v>4610</v>
      </c>
      <c r="CG71" s="135">
        <f t="shared" si="95"/>
        <v>5045</v>
      </c>
      <c r="CH71" s="135">
        <f t="shared" si="96"/>
        <v>5105</v>
      </c>
      <c r="CI71" s="135">
        <f t="shared" si="97"/>
        <v>5105</v>
      </c>
      <c r="CJ71" s="232">
        <f t="shared" si="40"/>
        <v>90.30362389813908</v>
      </c>
      <c r="CK71" s="232">
        <f t="shared" si="41"/>
        <v>100</v>
      </c>
      <c r="CL71" s="132"/>
    </row>
    <row r="72" spans="1:91" s="146" customFormat="1" ht="15">
      <c r="A72" s="78"/>
      <c r="B72" s="83" t="s">
        <v>89</v>
      </c>
      <c r="C72" s="78" t="s">
        <v>86</v>
      </c>
      <c r="D72" s="135">
        <f>[1]B2NN!$K$66</f>
        <v>23780</v>
      </c>
      <c r="E72" s="135">
        <f>SUM(F72:S72)</f>
        <v>25300</v>
      </c>
      <c r="F72" s="135">
        <v>2800</v>
      </c>
      <c r="G72" s="135">
        <v>2436</v>
      </c>
      <c r="H72" s="135">
        <v>5765</v>
      </c>
      <c r="I72" s="135">
        <v>964</v>
      </c>
      <c r="J72" s="135">
        <v>1850</v>
      </c>
      <c r="K72" s="135">
        <v>2107</v>
      </c>
      <c r="L72" s="135">
        <v>816</v>
      </c>
      <c r="M72" s="135">
        <v>940</v>
      </c>
      <c r="N72" s="135">
        <v>636</v>
      </c>
      <c r="O72" s="135">
        <v>805</v>
      </c>
      <c r="P72" s="135">
        <v>1264</v>
      </c>
      <c r="Q72" s="135">
        <v>1230</v>
      </c>
      <c r="R72" s="135">
        <v>655</v>
      </c>
      <c r="S72" s="135">
        <v>3032</v>
      </c>
      <c r="T72" s="135">
        <f>SUM(U72:AH72)</f>
        <v>26666</v>
      </c>
      <c r="U72" s="135">
        <v>2910</v>
      </c>
      <c r="V72" s="135">
        <v>2650</v>
      </c>
      <c r="W72" s="135">
        <v>5970</v>
      </c>
      <c r="X72" s="135">
        <v>1000</v>
      </c>
      <c r="Y72" s="135">
        <v>2045</v>
      </c>
      <c r="Z72" s="135">
        <v>2312</v>
      </c>
      <c r="AA72" s="135">
        <v>886</v>
      </c>
      <c r="AB72" s="135">
        <v>970</v>
      </c>
      <c r="AC72" s="135">
        <v>670</v>
      </c>
      <c r="AD72" s="135">
        <v>840</v>
      </c>
      <c r="AE72" s="135">
        <v>1298</v>
      </c>
      <c r="AF72" s="135">
        <v>1270</v>
      </c>
      <c r="AG72" s="135">
        <v>695</v>
      </c>
      <c r="AH72" s="135">
        <v>3150</v>
      </c>
      <c r="AI72" s="135">
        <f>SUM(AJ72:AW72)</f>
        <v>28041</v>
      </c>
      <c r="AJ72" s="135">
        <v>2985</v>
      </c>
      <c r="AK72" s="135">
        <v>2830</v>
      </c>
      <c r="AL72" s="135">
        <v>6130</v>
      </c>
      <c r="AM72" s="135">
        <v>1060</v>
      </c>
      <c r="AN72" s="135">
        <v>2250</v>
      </c>
      <c r="AO72" s="135">
        <v>2525</v>
      </c>
      <c r="AP72" s="135">
        <v>950</v>
      </c>
      <c r="AQ72" s="135">
        <v>1025</v>
      </c>
      <c r="AR72" s="135">
        <v>730</v>
      </c>
      <c r="AS72" s="135">
        <v>880</v>
      </c>
      <c r="AT72" s="135">
        <v>1336</v>
      </c>
      <c r="AU72" s="135">
        <v>1320</v>
      </c>
      <c r="AV72" s="135">
        <v>750</v>
      </c>
      <c r="AW72" s="135">
        <v>3270</v>
      </c>
      <c r="AX72" s="135">
        <f>SUM(AY72:BL72)</f>
        <v>29422</v>
      </c>
      <c r="AY72" s="191">
        <v>3040</v>
      </c>
      <c r="AZ72" s="191">
        <v>3020</v>
      </c>
      <c r="BA72" s="191">
        <v>6350</v>
      </c>
      <c r="BB72" s="191">
        <v>1100</v>
      </c>
      <c r="BC72" s="191">
        <v>2460</v>
      </c>
      <c r="BD72" s="191">
        <v>2721</v>
      </c>
      <c r="BE72" s="191">
        <v>996</v>
      </c>
      <c r="BF72" s="191">
        <v>1085</v>
      </c>
      <c r="BG72" s="191">
        <v>775</v>
      </c>
      <c r="BH72" s="191">
        <v>935</v>
      </c>
      <c r="BI72" s="191">
        <v>1398</v>
      </c>
      <c r="BJ72" s="191">
        <v>1363</v>
      </c>
      <c r="BK72" s="191">
        <v>792</v>
      </c>
      <c r="BL72" s="135">
        <v>3387</v>
      </c>
      <c r="BM72" s="135">
        <f>SUM(BN72:CA72)</f>
        <v>31100</v>
      </c>
      <c r="BN72" s="135">
        <v>3139</v>
      </c>
      <c r="BO72" s="135">
        <v>3265</v>
      </c>
      <c r="BP72" s="135">
        <v>6570</v>
      </c>
      <c r="BQ72" s="135">
        <v>1160</v>
      </c>
      <c r="BR72" s="135">
        <v>2720</v>
      </c>
      <c r="BS72" s="135">
        <v>2932</v>
      </c>
      <c r="BT72" s="135">
        <v>1078</v>
      </c>
      <c r="BU72" s="135">
        <v>1149</v>
      </c>
      <c r="BV72" s="135">
        <v>847</v>
      </c>
      <c r="BW72" s="135">
        <v>994</v>
      </c>
      <c r="BX72" s="135">
        <v>1458</v>
      </c>
      <c r="BY72" s="135">
        <v>1417</v>
      </c>
      <c r="BZ72" s="135">
        <v>854</v>
      </c>
      <c r="CA72" s="135">
        <v>3517</v>
      </c>
      <c r="CB72" s="135">
        <f t="shared" si="93"/>
        <v>31100</v>
      </c>
      <c r="CC72" s="135">
        <v>26192</v>
      </c>
      <c r="CD72" s="135">
        <v>27366</v>
      </c>
      <c r="CE72" s="135">
        <v>28900</v>
      </c>
      <c r="CF72" s="135">
        <f t="shared" si="94"/>
        <v>28900</v>
      </c>
      <c r="CG72" s="135">
        <f t="shared" si="95"/>
        <v>29422</v>
      </c>
      <c r="CH72" s="135">
        <f t="shared" si="96"/>
        <v>31100</v>
      </c>
      <c r="CI72" s="135">
        <f t="shared" si="97"/>
        <v>31100</v>
      </c>
      <c r="CJ72" s="232">
        <f t="shared" si="40"/>
        <v>92.926045016077168</v>
      </c>
      <c r="CK72" s="232">
        <f t="shared" si="41"/>
        <v>100</v>
      </c>
      <c r="CL72" s="132"/>
    </row>
    <row r="73" spans="1:91" s="11" customFormat="1" ht="15">
      <c r="A73" s="89">
        <v>2</v>
      </c>
      <c r="B73" s="90" t="s">
        <v>90</v>
      </c>
      <c r="C73" s="89" t="s">
        <v>28</v>
      </c>
      <c r="D73" s="255">
        <f>[1]B2NN!$K$67</f>
        <v>1.7461757187071214</v>
      </c>
      <c r="E73" s="255">
        <f>(E69-D69)/D69*100</f>
        <v>4.7256607561057207</v>
      </c>
      <c r="F73" s="256"/>
      <c r="G73" s="256"/>
      <c r="H73" s="256"/>
      <c r="I73" s="256"/>
      <c r="J73" s="256"/>
      <c r="K73" s="256"/>
      <c r="L73" s="256"/>
      <c r="M73" s="256"/>
      <c r="N73" s="256"/>
      <c r="O73" s="256"/>
      <c r="P73" s="256"/>
      <c r="Q73" s="256"/>
      <c r="R73" s="256"/>
      <c r="S73" s="256"/>
      <c r="T73" s="255">
        <f>(T69-E69)/E69*100</f>
        <v>3.7989510954929049</v>
      </c>
      <c r="U73" s="255"/>
      <c r="V73" s="255"/>
      <c r="W73" s="255"/>
      <c r="X73" s="255"/>
      <c r="Y73" s="255"/>
      <c r="Z73" s="255"/>
      <c r="AA73" s="255"/>
      <c r="AB73" s="255"/>
      <c r="AC73" s="255"/>
      <c r="AD73" s="255"/>
      <c r="AE73" s="255"/>
      <c r="AF73" s="255"/>
      <c r="AG73" s="255"/>
      <c r="AH73" s="255"/>
      <c r="AI73" s="255">
        <f>(AI69-T69)/T69*100</f>
        <v>3.8804821749166454</v>
      </c>
      <c r="AJ73" s="255"/>
      <c r="AK73" s="255"/>
      <c r="AL73" s="255"/>
      <c r="AM73" s="255"/>
      <c r="AN73" s="255"/>
      <c r="AO73" s="255"/>
      <c r="AP73" s="255"/>
      <c r="AQ73" s="255"/>
      <c r="AR73" s="255"/>
      <c r="AS73" s="255"/>
      <c r="AT73" s="255"/>
      <c r="AU73" s="255"/>
      <c r="AV73" s="255"/>
      <c r="AW73" s="255"/>
      <c r="AX73" s="255">
        <f>(AX69-AI69)/AI69*100</f>
        <v>3.7898427276991828</v>
      </c>
      <c r="AY73" s="255"/>
      <c r="AZ73" s="255"/>
      <c r="BA73" s="255"/>
      <c r="BB73" s="255"/>
      <c r="BC73" s="255"/>
      <c r="BD73" s="255"/>
      <c r="BE73" s="255"/>
      <c r="BF73" s="255"/>
      <c r="BG73" s="255"/>
      <c r="BH73" s="255"/>
      <c r="BI73" s="255"/>
      <c r="BJ73" s="255"/>
      <c r="BK73" s="255"/>
      <c r="BL73" s="255"/>
      <c r="BM73" s="255">
        <f>(BM69-AX69)/AX69*100</f>
        <v>4.2080974356534568</v>
      </c>
      <c r="BN73" s="255"/>
      <c r="BO73" s="255"/>
      <c r="BP73" s="255"/>
      <c r="BQ73" s="255"/>
      <c r="BR73" s="255"/>
      <c r="BS73" s="255"/>
      <c r="BT73" s="255"/>
      <c r="BU73" s="255"/>
      <c r="BV73" s="255"/>
      <c r="BW73" s="255"/>
      <c r="BX73" s="255"/>
      <c r="BY73" s="255"/>
      <c r="BZ73" s="255"/>
      <c r="CA73" s="255"/>
      <c r="CB73" s="255">
        <f>((E73+100)*(T73+100)*(AI73+100)*(AX73+100)*(BM73+100))^0.2-100</f>
        <v>4.0799968316794519</v>
      </c>
      <c r="CC73" s="255">
        <f>(CC69-D69)/D69*100</f>
        <v>5.3919928627188574</v>
      </c>
      <c r="CD73" s="255">
        <f>(CD69-CC69)/CC69*100</f>
        <v>3.4601343844241046</v>
      </c>
      <c r="CE73" s="255">
        <f>(CE69-CD69)/CD69*100</f>
        <v>3.8864740475581696</v>
      </c>
      <c r="CF73" s="255">
        <f>AVERAGE(CC73:CE73)</f>
        <v>4.2462004315670434</v>
      </c>
      <c r="CG73" s="255">
        <v>4</v>
      </c>
      <c r="CH73" s="255">
        <f t="shared" si="96"/>
        <v>4.2080974356534568</v>
      </c>
      <c r="CI73" s="255">
        <f>((CC73+100)*(CD73+100)*(CE73+100)*(CG73+100)*(CH73+100))^0.2-100</f>
        <v>4.1873263878308933</v>
      </c>
      <c r="CJ73" s="232">
        <f t="shared" si="40"/>
        <v>104.07362080767051</v>
      </c>
      <c r="CK73" s="232">
        <f t="shared" si="41"/>
        <v>102.63062841907309</v>
      </c>
      <c r="CL73" s="132"/>
    </row>
    <row r="74" spans="1:91" s="11" customFormat="1" ht="28.5">
      <c r="A74" s="89">
        <v>3</v>
      </c>
      <c r="B74" s="90" t="s">
        <v>91</v>
      </c>
      <c r="C74" s="89" t="s">
        <v>92</v>
      </c>
      <c r="D74" s="257">
        <f>[1]B2NN!$K$68</f>
        <v>124.29400000000001</v>
      </c>
      <c r="E74" s="258">
        <f>SUM(F74:S74)</f>
        <v>130.99999999999997</v>
      </c>
      <c r="F74" s="258">
        <v>15.691000000000001</v>
      </c>
      <c r="G74" s="258">
        <v>16.597000000000001</v>
      </c>
      <c r="H74" s="258">
        <v>9.8230000000000004</v>
      </c>
      <c r="I74" s="258">
        <v>4.6539999999999999</v>
      </c>
      <c r="J74" s="258">
        <v>24.132000000000001</v>
      </c>
      <c r="K74" s="258">
        <v>14.6</v>
      </c>
      <c r="L74" s="258">
        <v>3.07</v>
      </c>
      <c r="M74" s="258">
        <v>2.8519999999999999</v>
      </c>
      <c r="N74" s="258">
        <v>3.38</v>
      </c>
      <c r="O74" s="258">
        <v>3.8149999999999999</v>
      </c>
      <c r="P74" s="258">
        <v>5.1820000000000004</v>
      </c>
      <c r="Q74" s="258">
        <v>9.4730000000000008</v>
      </c>
      <c r="R74" s="258">
        <v>4.0549999999999997</v>
      </c>
      <c r="S74" s="258">
        <v>13.676</v>
      </c>
      <c r="T74" s="258">
        <f>SUM(U74:AH74)</f>
        <v>132.90200000000002</v>
      </c>
      <c r="U74" s="258">
        <f>16.1</f>
        <v>16.100000000000001</v>
      </c>
      <c r="V74" s="258">
        <v>16.757999999999999</v>
      </c>
      <c r="W74" s="258">
        <v>9.8800000000000008</v>
      </c>
      <c r="X74" s="258">
        <v>4.72</v>
      </c>
      <c r="Y74" s="258">
        <v>24.332000000000001</v>
      </c>
      <c r="Z74" s="258">
        <v>14.7</v>
      </c>
      <c r="AA74" s="258">
        <v>3.14</v>
      </c>
      <c r="AB74" s="258">
        <v>2.8</v>
      </c>
      <c r="AC74" s="258">
        <v>3.8</v>
      </c>
      <c r="AD74" s="258">
        <v>3.99</v>
      </c>
      <c r="AE74" s="258">
        <v>5.282</v>
      </c>
      <c r="AF74" s="258">
        <v>9.5250000000000004</v>
      </c>
      <c r="AG74" s="258">
        <v>4.1500000000000004</v>
      </c>
      <c r="AH74" s="258">
        <v>13.725</v>
      </c>
      <c r="AI74" s="258">
        <f>SUM(AJ74:AW74)</f>
        <v>133.614</v>
      </c>
      <c r="AJ74" s="258">
        <f>16.3</f>
        <v>16.3</v>
      </c>
      <c r="AK74" s="258">
        <v>16.858000000000001</v>
      </c>
      <c r="AL74" s="258">
        <v>9.98</v>
      </c>
      <c r="AM74" s="258">
        <v>4.782</v>
      </c>
      <c r="AN74" s="258">
        <v>24.452000000000002</v>
      </c>
      <c r="AO74" s="258">
        <v>14.8</v>
      </c>
      <c r="AP74" s="258">
        <v>3.17</v>
      </c>
      <c r="AQ74" s="258">
        <v>2.8</v>
      </c>
      <c r="AR74" s="258">
        <v>3.8</v>
      </c>
      <c r="AS74" s="258">
        <v>3.99</v>
      </c>
      <c r="AT74" s="258">
        <v>5.282</v>
      </c>
      <c r="AU74" s="258">
        <v>9.5250000000000004</v>
      </c>
      <c r="AV74" s="258">
        <v>4.1500000000000004</v>
      </c>
      <c r="AW74" s="258">
        <v>13.725</v>
      </c>
      <c r="AX74" s="258">
        <f>SUM(AY74:BL74)</f>
        <v>134.73299999999998</v>
      </c>
      <c r="AY74" s="258">
        <f>16.45</f>
        <v>16.45</v>
      </c>
      <c r="AZ74" s="258">
        <v>16.898</v>
      </c>
      <c r="BA74" s="258">
        <v>10.029999999999999</v>
      </c>
      <c r="BB74" s="258">
        <v>4.8319999999999999</v>
      </c>
      <c r="BC74" s="258">
        <v>24.51</v>
      </c>
      <c r="BD74" s="258">
        <v>14.82</v>
      </c>
      <c r="BE74" s="258">
        <v>3.32</v>
      </c>
      <c r="BF74" s="258">
        <v>2.92</v>
      </c>
      <c r="BG74" s="258">
        <v>3.88</v>
      </c>
      <c r="BH74" s="258">
        <v>4.05</v>
      </c>
      <c r="BI74" s="258">
        <v>5.4</v>
      </c>
      <c r="BJ74" s="258">
        <v>9.5679999999999996</v>
      </c>
      <c r="BK74" s="258">
        <v>4.2300000000000004</v>
      </c>
      <c r="BL74" s="258">
        <v>13.824999999999999</v>
      </c>
      <c r="BM74" s="257">
        <f>SUM(BN74:CA74)</f>
        <v>135.85000000000002</v>
      </c>
      <c r="BN74" s="258">
        <f>16.55</f>
        <v>16.55</v>
      </c>
      <c r="BO74" s="258">
        <v>16.984000000000002</v>
      </c>
      <c r="BP74" s="258">
        <v>10.14</v>
      </c>
      <c r="BQ74" s="258">
        <v>4.8940000000000001</v>
      </c>
      <c r="BR74" s="258">
        <v>24.61</v>
      </c>
      <c r="BS74" s="258">
        <v>15</v>
      </c>
      <c r="BT74" s="258">
        <v>3.42</v>
      </c>
      <c r="BU74" s="258">
        <v>2.98</v>
      </c>
      <c r="BV74" s="258">
        <v>3.92</v>
      </c>
      <c r="BW74" s="258">
        <v>4.12</v>
      </c>
      <c r="BX74" s="258">
        <v>5.47</v>
      </c>
      <c r="BY74" s="258">
        <v>9.5920000000000005</v>
      </c>
      <c r="BZ74" s="258">
        <v>4.29</v>
      </c>
      <c r="CA74" s="258">
        <v>13.88</v>
      </c>
      <c r="CB74" s="257">
        <f>BM74</f>
        <v>135.85000000000002</v>
      </c>
      <c r="CC74" s="257">
        <v>131</v>
      </c>
      <c r="CD74" s="257">
        <v>137.07</v>
      </c>
      <c r="CE74" s="257">
        <v>139.33200000000002</v>
      </c>
      <c r="CF74" s="257">
        <f>CE74</f>
        <v>139.33200000000002</v>
      </c>
      <c r="CG74" s="257">
        <f t="shared" si="95"/>
        <v>134.73299999999998</v>
      </c>
      <c r="CH74" s="257">
        <f t="shared" si="96"/>
        <v>135.85000000000002</v>
      </c>
      <c r="CI74" s="281">
        <f>CH74</f>
        <v>135.85000000000002</v>
      </c>
      <c r="CJ74" s="232">
        <f t="shared" si="40"/>
        <v>102.56312108943688</v>
      </c>
      <c r="CK74" s="232">
        <f t="shared" si="41"/>
        <v>100</v>
      </c>
      <c r="CL74" s="131"/>
    </row>
    <row r="75" spans="1:91" s="11" customFormat="1" ht="28.5" hidden="1">
      <c r="A75" s="89">
        <v>4</v>
      </c>
      <c r="B75" s="90" t="s">
        <v>93</v>
      </c>
      <c r="C75" s="89" t="s">
        <v>94</v>
      </c>
      <c r="D75" s="98">
        <v>1.4</v>
      </c>
      <c r="E75" s="245"/>
      <c r="F75" s="245"/>
      <c r="G75" s="245"/>
      <c r="H75" s="245"/>
      <c r="I75" s="245"/>
      <c r="J75" s="245"/>
      <c r="K75" s="245"/>
      <c r="L75" s="245"/>
      <c r="M75" s="245"/>
      <c r="N75" s="245"/>
      <c r="O75" s="245"/>
      <c r="P75" s="245"/>
      <c r="Q75" s="245"/>
      <c r="R75" s="245"/>
      <c r="S75" s="245"/>
      <c r="T75" s="245"/>
      <c r="U75" s="245"/>
      <c r="V75" s="245"/>
      <c r="W75" s="245"/>
      <c r="X75" s="245"/>
      <c r="Y75" s="245"/>
      <c r="Z75" s="245"/>
      <c r="AA75" s="245"/>
      <c r="AB75" s="245"/>
      <c r="AC75" s="245"/>
      <c r="AD75" s="245"/>
      <c r="AE75" s="245"/>
      <c r="AF75" s="245"/>
      <c r="AG75" s="245"/>
      <c r="AH75" s="245"/>
      <c r="AI75" s="245"/>
      <c r="AJ75" s="245"/>
      <c r="AK75" s="245"/>
      <c r="AL75" s="245"/>
      <c r="AM75" s="245"/>
      <c r="AN75" s="245"/>
      <c r="AO75" s="245"/>
      <c r="AP75" s="245"/>
      <c r="AQ75" s="245"/>
      <c r="AR75" s="245"/>
      <c r="AS75" s="245"/>
      <c r="AT75" s="245"/>
      <c r="AU75" s="245"/>
      <c r="AV75" s="245"/>
      <c r="AW75" s="245"/>
      <c r="AX75" s="245"/>
      <c r="AY75" s="245"/>
      <c r="AZ75" s="245"/>
      <c r="BA75" s="245"/>
      <c r="BB75" s="245"/>
      <c r="BC75" s="245"/>
      <c r="BD75" s="245"/>
      <c r="BE75" s="98"/>
      <c r="BF75" s="98"/>
      <c r="BG75" s="98"/>
      <c r="BH75" s="98"/>
      <c r="BI75" s="98"/>
      <c r="BJ75" s="98"/>
      <c r="BK75" s="98"/>
      <c r="BL75" s="98"/>
      <c r="BM75" s="98"/>
      <c r="BN75" s="98"/>
      <c r="BO75" s="98"/>
      <c r="BP75" s="98"/>
      <c r="BQ75" s="98"/>
      <c r="BR75" s="98"/>
      <c r="BS75" s="98"/>
      <c r="BT75" s="98"/>
      <c r="BU75" s="98"/>
      <c r="BV75" s="98"/>
      <c r="BW75" s="98"/>
      <c r="BX75" s="98"/>
      <c r="BY75" s="98"/>
      <c r="BZ75" s="98"/>
      <c r="CA75" s="98"/>
      <c r="CB75" s="98"/>
      <c r="CC75" s="98"/>
      <c r="CD75" s="132"/>
      <c r="CE75" s="132"/>
      <c r="CF75" s="132"/>
      <c r="CG75" s="132"/>
      <c r="CH75" s="132"/>
      <c r="CI75" s="132"/>
      <c r="CJ75" s="232" t="e">
        <f t="shared" si="40"/>
        <v>#DIV/0!</v>
      </c>
      <c r="CK75" s="232" t="e">
        <f t="shared" si="41"/>
        <v>#DIV/0!</v>
      </c>
      <c r="CL75" s="192"/>
    </row>
    <row r="76" spans="1:91" s="11" customFormat="1" ht="15">
      <c r="A76" s="89" t="s">
        <v>95</v>
      </c>
      <c r="B76" s="90" t="s">
        <v>96</v>
      </c>
      <c r="C76" s="89"/>
      <c r="D76" s="98"/>
      <c r="E76" s="245"/>
      <c r="F76" s="245"/>
      <c r="G76" s="245"/>
      <c r="H76" s="245"/>
      <c r="I76" s="245"/>
      <c r="J76" s="245"/>
      <c r="K76" s="245"/>
      <c r="L76" s="245"/>
      <c r="M76" s="245"/>
      <c r="N76" s="245"/>
      <c r="O76" s="245"/>
      <c r="P76" s="245"/>
      <c r="Q76" s="245"/>
      <c r="R76" s="245"/>
      <c r="S76" s="245"/>
      <c r="T76" s="245"/>
      <c r="U76" s="245"/>
      <c r="V76" s="245"/>
      <c r="W76" s="245"/>
      <c r="X76" s="245"/>
      <c r="Y76" s="245"/>
      <c r="Z76" s="245"/>
      <c r="AA76" s="245"/>
      <c r="AB76" s="245"/>
      <c r="AC76" s="245"/>
      <c r="AD76" s="245"/>
      <c r="AE76" s="245"/>
      <c r="AF76" s="245"/>
      <c r="AG76" s="245"/>
      <c r="AH76" s="245"/>
      <c r="AI76" s="245"/>
      <c r="AJ76" s="245"/>
      <c r="AK76" s="245"/>
      <c r="AL76" s="245"/>
      <c r="AM76" s="245"/>
      <c r="AN76" s="245"/>
      <c r="AO76" s="245"/>
      <c r="AP76" s="245"/>
      <c r="AQ76" s="245"/>
      <c r="AR76" s="245"/>
      <c r="AS76" s="245"/>
      <c r="AT76" s="245"/>
      <c r="AU76" s="245"/>
      <c r="AV76" s="245"/>
      <c r="AW76" s="245"/>
      <c r="AX76" s="245"/>
      <c r="AY76" s="245"/>
      <c r="AZ76" s="245"/>
      <c r="BA76" s="245"/>
      <c r="BB76" s="245"/>
      <c r="BC76" s="245"/>
      <c r="BD76" s="245"/>
      <c r="BE76" s="98"/>
      <c r="BF76" s="98"/>
      <c r="BG76" s="98"/>
      <c r="BH76" s="98"/>
      <c r="BI76" s="98"/>
      <c r="BJ76" s="98"/>
      <c r="BK76" s="98"/>
      <c r="BL76" s="98"/>
      <c r="BM76" s="98"/>
      <c r="BN76" s="98"/>
      <c r="BO76" s="98"/>
      <c r="BP76" s="98"/>
      <c r="BQ76" s="98"/>
      <c r="BR76" s="98"/>
      <c r="BS76" s="98"/>
      <c r="BT76" s="98"/>
      <c r="BU76" s="98"/>
      <c r="BV76" s="98"/>
      <c r="BW76" s="98"/>
      <c r="BX76" s="98"/>
      <c r="BY76" s="98"/>
      <c r="BZ76" s="98"/>
      <c r="CA76" s="98"/>
      <c r="CB76" s="98"/>
      <c r="CC76" s="98"/>
      <c r="CD76" s="192"/>
      <c r="CE76" s="34"/>
      <c r="CF76" s="192"/>
      <c r="CG76" s="192"/>
      <c r="CH76" s="192"/>
      <c r="CI76" s="192"/>
      <c r="CJ76" s="232"/>
      <c r="CK76" s="232"/>
      <c r="CL76" s="202"/>
    </row>
    <row r="77" spans="1:91" s="11" customFormat="1" ht="15">
      <c r="A77" s="89">
        <v>1</v>
      </c>
      <c r="B77" s="90" t="s">
        <v>97</v>
      </c>
      <c r="C77" s="89" t="s">
        <v>34</v>
      </c>
      <c r="D77" s="34">
        <f>[1]B2NN!$K$71</f>
        <v>842.17599999999993</v>
      </c>
      <c r="E77" s="255">
        <f>SUM(E78:E79)</f>
        <v>199.006</v>
      </c>
      <c r="F77" s="255">
        <f>SUM(F78:F79)</f>
        <v>27.3</v>
      </c>
      <c r="G77" s="255">
        <f t="shared" ref="G77:S77" si="98">SUM(G78:G79)</f>
        <v>30.12</v>
      </c>
      <c r="H77" s="255">
        <f t="shared" si="98"/>
        <v>22.779999999999998</v>
      </c>
      <c r="I77" s="255">
        <f t="shared" si="98"/>
        <v>7.3</v>
      </c>
      <c r="J77" s="255">
        <f t="shared" si="98"/>
        <v>32.28</v>
      </c>
      <c r="K77" s="255">
        <f t="shared" si="98"/>
        <v>68.789999999999992</v>
      </c>
      <c r="L77" s="255">
        <f t="shared" si="98"/>
        <v>1.6560000000000001</v>
      </c>
      <c r="M77" s="255">
        <f t="shared" si="98"/>
        <v>2</v>
      </c>
      <c r="N77" s="255">
        <f t="shared" si="98"/>
        <v>2.58</v>
      </c>
      <c r="O77" s="255">
        <f t="shared" si="98"/>
        <v>0</v>
      </c>
      <c r="P77" s="255">
        <f t="shared" si="98"/>
        <v>1.7</v>
      </c>
      <c r="Q77" s="255">
        <f t="shared" si="98"/>
        <v>0</v>
      </c>
      <c r="R77" s="255">
        <f t="shared" si="98"/>
        <v>1.5</v>
      </c>
      <c r="S77" s="255">
        <f t="shared" si="98"/>
        <v>1</v>
      </c>
      <c r="T77" s="255">
        <f>SUM(T78:T79)</f>
        <v>200.11599999999999</v>
      </c>
      <c r="U77" s="255">
        <f>SUM(U78:U79)</f>
        <v>27.9</v>
      </c>
      <c r="V77" s="255">
        <f t="shared" ref="V77:AH77" si="99">SUM(V78:V79)</f>
        <v>30.73</v>
      </c>
      <c r="W77" s="255">
        <f t="shared" si="99"/>
        <v>23.18</v>
      </c>
      <c r="X77" s="255">
        <f t="shared" si="99"/>
        <v>7.3999999999999995</v>
      </c>
      <c r="Y77" s="255">
        <f t="shared" si="99"/>
        <v>33.08</v>
      </c>
      <c r="Z77" s="255">
        <f t="shared" si="99"/>
        <v>67.39</v>
      </c>
      <c r="AA77" s="255">
        <f t="shared" si="99"/>
        <v>1.6560000000000001</v>
      </c>
      <c r="AB77" s="255">
        <f t="shared" si="99"/>
        <v>2</v>
      </c>
      <c r="AC77" s="255">
        <f t="shared" si="99"/>
        <v>2.58</v>
      </c>
      <c r="AD77" s="255">
        <f t="shared" si="99"/>
        <v>0</v>
      </c>
      <c r="AE77" s="255">
        <f t="shared" si="99"/>
        <v>1.7</v>
      </c>
      <c r="AF77" s="255">
        <f t="shared" si="99"/>
        <v>0</v>
      </c>
      <c r="AG77" s="255">
        <f t="shared" si="99"/>
        <v>1.5</v>
      </c>
      <c r="AH77" s="255">
        <f t="shared" si="99"/>
        <v>1</v>
      </c>
      <c r="AI77" s="255">
        <f>SUM(AI78:AI79)</f>
        <v>203.03599999999997</v>
      </c>
      <c r="AJ77" s="255">
        <f t="shared" ref="AJ77:AW77" si="100">SUM(AJ78:AJ79)</f>
        <v>28.32</v>
      </c>
      <c r="AK77" s="255">
        <f t="shared" si="100"/>
        <v>31.279999999999998</v>
      </c>
      <c r="AL77" s="255">
        <f t="shared" si="100"/>
        <v>23.779999999999998</v>
      </c>
      <c r="AM77" s="255">
        <f t="shared" si="100"/>
        <v>7.4499999999999993</v>
      </c>
      <c r="AN77" s="255">
        <f t="shared" si="100"/>
        <v>33.380000000000003</v>
      </c>
      <c r="AO77" s="255">
        <f t="shared" si="100"/>
        <v>68.39</v>
      </c>
      <c r="AP77" s="255">
        <f t="shared" si="100"/>
        <v>1.6560000000000001</v>
      </c>
      <c r="AQ77" s="255">
        <f t="shared" si="100"/>
        <v>2</v>
      </c>
      <c r="AR77" s="255">
        <f t="shared" si="100"/>
        <v>2.58</v>
      </c>
      <c r="AS77" s="255">
        <f t="shared" si="100"/>
        <v>0</v>
      </c>
      <c r="AT77" s="255">
        <f t="shared" si="100"/>
        <v>1.7</v>
      </c>
      <c r="AU77" s="255">
        <f t="shared" si="100"/>
        <v>0</v>
      </c>
      <c r="AV77" s="255">
        <f t="shared" si="100"/>
        <v>1.5</v>
      </c>
      <c r="AW77" s="255">
        <f t="shared" si="100"/>
        <v>1</v>
      </c>
      <c r="AX77" s="255">
        <f>SUM(AX78:AX79)</f>
        <v>204.33599999999996</v>
      </c>
      <c r="AY77" s="255">
        <f t="shared" ref="AY77:BL77" si="101">SUM(AY78:AY79)</f>
        <v>28.62</v>
      </c>
      <c r="AZ77" s="255">
        <f t="shared" si="101"/>
        <v>31.68</v>
      </c>
      <c r="BA77" s="255">
        <f t="shared" si="101"/>
        <v>23.98</v>
      </c>
      <c r="BB77" s="255">
        <f t="shared" si="101"/>
        <v>7.4499999999999993</v>
      </c>
      <c r="BC77" s="255">
        <f t="shared" si="101"/>
        <v>33.78</v>
      </c>
      <c r="BD77" s="255">
        <f t="shared" si="101"/>
        <v>68.39</v>
      </c>
      <c r="BE77" s="34">
        <f t="shared" si="101"/>
        <v>1.6560000000000001</v>
      </c>
      <c r="BF77" s="34">
        <f t="shared" si="101"/>
        <v>2</v>
      </c>
      <c r="BG77" s="34">
        <f t="shared" si="101"/>
        <v>2.58</v>
      </c>
      <c r="BH77" s="34">
        <f t="shared" si="101"/>
        <v>0</v>
      </c>
      <c r="BI77" s="34">
        <f t="shared" si="101"/>
        <v>1.7</v>
      </c>
      <c r="BJ77" s="34">
        <f t="shared" si="101"/>
        <v>0</v>
      </c>
      <c r="BK77" s="34">
        <f t="shared" si="101"/>
        <v>1.5</v>
      </c>
      <c r="BL77" s="34">
        <f t="shared" si="101"/>
        <v>1</v>
      </c>
      <c r="BM77" s="34">
        <f>SUM(BM78:BM79)</f>
        <v>205.49599999999998</v>
      </c>
      <c r="BN77" s="34">
        <f t="shared" ref="BN77:CA77" si="102">SUM(BN78:BN79)</f>
        <v>29.020000000000003</v>
      </c>
      <c r="BO77" s="34">
        <f t="shared" si="102"/>
        <v>31.939999999999998</v>
      </c>
      <c r="BP77" s="34">
        <f t="shared" si="102"/>
        <v>24.08</v>
      </c>
      <c r="BQ77" s="34">
        <f t="shared" si="102"/>
        <v>7.4499999999999993</v>
      </c>
      <c r="BR77" s="34">
        <f t="shared" si="102"/>
        <v>34.08</v>
      </c>
      <c r="BS77" s="34">
        <f t="shared" si="102"/>
        <v>68.490000000000009</v>
      </c>
      <c r="BT77" s="34">
        <f t="shared" si="102"/>
        <v>1.6560000000000001</v>
      </c>
      <c r="BU77" s="34">
        <f t="shared" si="102"/>
        <v>2</v>
      </c>
      <c r="BV77" s="34">
        <f t="shared" si="102"/>
        <v>2.58</v>
      </c>
      <c r="BW77" s="34">
        <f t="shared" si="102"/>
        <v>0</v>
      </c>
      <c r="BX77" s="34">
        <f t="shared" si="102"/>
        <v>1.7</v>
      </c>
      <c r="BY77" s="34">
        <f t="shared" si="102"/>
        <v>0</v>
      </c>
      <c r="BZ77" s="34">
        <f t="shared" si="102"/>
        <v>1.5</v>
      </c>
      <c r="CA77" s="34">
        <f t="shared" si="102"/>
        <v>1</v>
      </c>
      <c r="CB77" s="34">
        <f>SUM(E77:BM77)</f>
        <v>1818.4839999999999</v>
      </c>
      <c r="CC77" s="34">
        <v>199.006</v>
      </c>
      <c r="CD77" s="34">
        <v>201.98</v>
      </c>
      <c r="CE77" s="34">
        <f>+CE78+CE79</f>
        <v>203</v>
      </c>
      <c r="CF77" s="34">
        <f>SUM(CC77:CE77)</f>
        <v>603.98599999999999</v>
      </c>
      <c r="CG77" s="34">
        <v>130</v>
      </c>
      <c r="CH77" s="34">
        <f>BM77</f>
        <v>205.49599999999998</v>
      </c>
      <c r="CI77" s="34">
        <f>CF77+CG77+CH77</f>
        <v>939.48199999999997</v>
      </c>
      <c r="CJ77" s="232">
        <f t="shared" si="40"/>
        <v>33.213709881417714</v>
      </c>
      <c r="CK77" s="232">
        <f t="shared" si="41"/>
        <v>51.662923622094013</v>
      </c>
      <c r="CL77" s="205"/>
    </row>
    <row r="78" spans="1:91" s="146" customFormat="1" ht="15">
      <c r="A78" s="78"/>
      <c r="B78" s="83" t="s">
        <v>98</v>
      </c>
      <c r="C78" s="78" t="s">
        <v>34</v>
      </c>
      <c r="D78" s="35">
        <f>[1]B2NN!$K$72</f>
        <v>344.5</v>
      </c>
      <c r="E78" s="186">
        <f>SUM(F78:S78)</f>
        <v>44</v>
      </c>
      <c r="F78" s="186">
        <v>7</v>
      </c>
      <c r="G78" s="186">
        <v>3.1</v>
      </c>
      <c r="H78" s="186">
        <v>2.2000000000000002</v>
      </c>
      <c r="I78" s="186">
        <v>6</v>
      </c>
      <c r="J78" s="186">
        <v>9</v>
      </c>
      <c r="K78" s="186">
        <v>9</v>
      </c>
      <c r="L78" s="186">
        <v>1.6</v>
      </c>
      <c r="M78" s="186">
        <v>1</v>
      </c>
      <c r="N78" s="186">
        <v>1.6</v>
      </c>
      <c r="O78" s="186"/>
      <c r="P78" s="186">
        <v>1</v>
      </c>
      <c r="Q78" s="186"/>
      <c r="R78" s="186">
        <v>1.5</v>
      </c>
      <c r="S78" s="186">
        <v>1</v>
      </c>
      <c r="T78" s="186">
        <f>SUM(U78:AH78)</f>
        <v>44.510000000000005</v>
      </c>
      <c r="U78" s="186">
        <v>7</v>
      </c>
      <c r="V78" s="186">
        <v>3.21</v>
      </c>
      <c r="W78" s="186">
        <v>2.2000000000000002</v>
      </c>
      <c r="X78" s="186">
        <v>6.1</v>
      </c>
      <c r="Y78" s="186">
        <v>9.1</v>
      </c>
      <c r="Z78" s="186">
        <v>9.1999999999999993</v>
      </c>
      <c r="AA78" s="186">
        <v>1.6</v>
      </c>
      <c r="AB78" s="186">
        <v>1</v>
      </c>
      <c r="AC78" s="186">
        <v>1.6</v>
      </c>
      <c r="AD78" s="186"/>
      <c r="AE78" s="186">
        <v>1</v>
      </c>
      <c r="AF78" s="186"/>
      <c r="AG78" s="186">
        <v>1.5</v>
      </c>
      <c r="AH78" s="186">
        <v>1</v>
      </c>
      <c r="AI78" s="186">
        <f>SUM(AJ78:AW78)</f>
        <v>45.09</v>
      </c>
      <c r="AJ78" s="186">
        <v>7.2</v>
      </c>
      <c r="AK78" s="186">
        <v>3.29</v>
      </c>
      <c r="AL78" s="186">
        <v>2.2000000000000002</v>
      </c>
      <c r="AM78" s="186">
        <v>6.1</v>
      </c>
      <c r="AN78" s="186">
        <v>9.1</v>
      </c>
      <c r="AO78" s="186">
        <v>9.5</v>
      </c>
      <c r="AP78" s="186">
        <v>1.6</v>
      </c>
      <c r="AQ78" s="186">
        <v>1</v>
      </c>
      <c r="AR78" s="186">
        <v>1.6</v>
      </c>
      <c r="AS78" s="186"/>
      <c r="AT78" s="186">
        <v>1</v>
      </c>
      <c r="AU78" s="186"/>
      <c r="AV78" s="186">
        <v>1.5</v>
      </c>
      <c r="AW78" s="186">
        <v>1</v>
      </c>
      <c r="AX78" s="186">
        <f>SUM(AY78:BL78)</f>
        <v>45.39</v>
      </c>
      <c r="AY78" s="186">
        <v>7.3</v>
      </c>
      <c r="AZ78" s="186">
        <v>3.39</v>
      </c>
      <c r="BA78" s="186">
        <v>2.2000000000000002</v>
      </c>
      <c r="BB78" s="186">
        <v>6.1</v>
      </c>
      <c r="BC78" s="186">
        <v>9.1999999999999993</v>
      </c>
      <c r="BD78" s="186">
        <v>9.5</v>
      </c>
      <c r="BE78" s="35">
        <v>1.6</v>
      </c>
      <c r="BF78" s="35">
        <v>1</v>
      </c>
      <c r="BG78" s="35">
        <v>1.6</v>
      </c>
      <c r="BH78" s="35"/>
      <c r="BI78" s="35">
        <v>1</v>
      </c>
      <c r="BJ78" s="35"/>
      <c r="BK78" s="35">
        <v>1.5</v>
      </c>
      <c r="BL78" s="35">
        <v>1</v>
      </c>
      <c r="BM78" s="35">
        <f>SUM(BN78:CA78)</f>
        <v>45.55</v>
      </c>
      <c r="BN78" s="35">
        <v>7.4</v>
      </c>
      <c r="BO78" s="35">
        <v>3.45</v>
      </c>
      <c r="BP78" s="35">
        <v>2.2000000000000002</v>
      </c>
      <c r="BQ78" s="35">
        <v>6.1</v>
      </c>
      <c r="BR78" s="35">
        <v>9.1999999999999993</v>
      </c>
      <c r="BS78" s="35">
        <v>9.5</v>
      </c>
      <c r="BT78" s="35">
        <v>1.6</v>
      </c>
      <c r="BU78" s="35">
        <v>1</v>
      </c>
      <c r="BV78" s="35">
        <v>1.6</v>
      </c>
      <c r="BW78" s="35"/>
      <c r="BX78" s="35">
        <v>1</v>
      </c>
      <c r="BY78" s="35"/>
      <c r="BZ78" s="35">
        <v>1.5</v>
      </c>
      <c r="CA78" s="35">
        <v>1</v>
      </c>
      <c r="CB78" s="35">
        <f>SUM(E78:BM78)</f>
        <v>403.53</v>
      </c>
      <c r="CC78" s="35">
        <v>44</v>
      </c>
      <c r="CD78" s="35">
        <v>35</v>
      </c>
      <c r="CE78" s="35">
        <v>30</v>
      </c>
      <c r="CF78" s="35">
        <f t="shared" ref="CF78:CF79" si="103">SUM(CC78:CE78)</f>
        <v>109</v>
      </c>
      <c r="CG78" s="35">
        <f t="shared" ref="CG78:CG79" si="104">AX78</f>
        <v>45.39</v>
      </c>
      <c r="CH78" s="35">
        <f t="shared" ref="CH78:CH79" si="105">BM78</f>
        <v>45.55</v>
      </c>
      <c r="CI78" s="35">
        <f t="shared" ref="CI78:CI79" si="106">CF78+CG78+CH78</f>
        <v>199.94</v>
      </c>
      <c r="CJ78" s="232">
        <f t="shared" si="40"/>
        <v>27.011622432037274</v>
      </c>
      <c r="CK78" s="232">
        <f t="shared" si="41"/>
        <v>49.547741184050757</v>
      </c>
      <c r="CL78" s="218"/>
    </row>
    <row r="79" spans="1:91" s="146" customFormat="1" ht="15">
      <c r="A79" s="78"/>
      <c r="B79" s="83" t="s">
        <v>99</v>
      </c>
      <c r="C79" s="78" t="s">
        <v>34</v>
      </c>
      <c r="D79" s="35">
        <f>[1]B2NN!$K$73</f>
        <v>497.67599999999999</v>
      </c>
      <c r="E79" s="186">
        <f>SUM(F79:S79)</f>
        <v>155.006</v>
      </c>
      <c r="F79" s="186">
        <v>20.3</v>
      </c>
      <c r="G79" s="186">
        <v>27.02</v>
      </c>
      <c r="H79" s="186">
        <v>20.58</v>
      </c>
      <c r="I79" s="186">
        <v>1.3</v>
      </c>
      <c r="J79" s="186">
        <v>23.28</v>
      </c>
      <c r="K79" s="186">
        <v>59.79</v>
      </c>
      <c r="L79" s="186">
        <v>5.5999999999999994E-2</v>
      </c>
      <c r="M79" s="186">
        <v>1</v>
      </c>
      <c r="N79" s="186">
        <v>0.97999999999999987</v>
      </c>
      <c r="O79" s="186">
        <v>0</v>
      </c>
      <c r="P79" s="186">
        <v>0.7</v>
      </c>
      <c r="Q79" s="186">
        <v>0</v>
      </c>
      <c r="R79" s="186">
        <v>0</v>
      </c>
      <c r="S79" s="186">
        <v>0</v>
      </c>
      <c r="T79" s="186">
        <f>SUM(U79:AH79)</f>
        <v>155.60599999999999</v>
      </c>
      <c r="U79" s="186">
        <v>20.9</v>
      </c>
      <c r="V79" s="186">
        <v>27.52</v>
      </c>
      <c r="W79" s="186">
        <v>20.98</v>
      </c>
      <c r="X79" s="186">
        <v>1.3</v>
      </c>
      <c r="Y79" s="186">
        <v>23.98</v>
      </c>
      <c r="Z79" s="186">
        <v>58.19</v>
      </c>
      <c r="AA79" s="186">
        <v>5.5999999999999994E-2</v>
      </c>
      <c r="AB79" s="186">
        <v>1</v>
      </c>
      <c r="AC79" s="186">
        <v>0.97999999999999987</v>
      </c>
      <c r="AD79" s="186">
        <v>0</v>
      </c>
      <c r="AE79" s="186">
        <v>0.7</v>
      </c>
      <c r="AF79" s="186">
        <v>0</v>
      </c>
      <c r="AG79" s="186">
        <v>0</v>
      </c>
      <c r="AH79" s="186">
        <v>0</v>
      </c>
      <c r="AI79" s="186">
        <f>SUM(AJ79:AW79)</f>
        <v>157.94599999999997</v>
      </c>
      <c r="AJ79" s="186">
        <v>21.12</v>
      </c>
      <c r="AK79" s="186">
        <v>27.99</v>
      </c>
      <c r="AL79" s="186">
        <v>21.58</v>
      </c>
      <c r="AM79" s="186">
        <v>1.35</v>
      </c>
      <c r="AN79" s="186">
        <v>24.28</v>
      </c>
      <c r="AO79" s="186">
        <v>58.89</v>
      </c>
      <c r="AP79" s="186">
        <v>5.5999999999999994E-2</v>
      </c>
      <c r="AQ79" s="186">
        <v>1</v>
      </c>
      <c r="AR79" s="186">
        <v>0.97999999999999987</v>
      </c>
      <c r="AS79" s="186">
        <v>0</v>
      </c>
      <c r="AT79" s="186">
        <v>0.7</v>
      </c>
      <c r="AU79" s="186">
        <v>0</v>
      </c>
      <c r="AV79" s="186">
        <v>0</v>
      </c>
      <c r="AW79" s="186">
        <v>0</v>
      </c>
      <c r="AX79" s="186">
        <f>SUM(AY79:BL79)</f>
        <v>158.94599999999997</v>
      </c>
      <c r="AY79" s="186">
        <v>21.32</v>
      </c>
      <c r="AZ79" s="186">
        <v>28.29</v>
      </c>
      <c r="BA79" s="186">
        <v>21.78</v>
      </c>
      <c r="BB79" s="186">
        <v>1.35</v>
      </c>
      <c r="BC79" s="186">
        <v>24.58</v>
      </c>
      <c r="BD79" s="186">
        <v>58.89</v>
      </c>
      <c r="BE79" s="35">
        <v>5.5999999999999994E-2</v>
      </c>
      <c r="BF79" s="35">
        <v>1</v>
      </c>
      <c r="BG79" s="35">
        <v>0.97999999999999987</v>
      </c>
      <c r="BH79" s="35">
        <v>0</v>
      </c>
      <c r="BI79" s="35">
        <v>0.7</v>
      </c>
      <c r="BJ79" s="35">
        <v>0</v>
      </c>
      <c r="BK79" s="35">
        <v>0</v>
      </c>
      <c r="BL79" s="35">
        <v>0</v>
      </c>
      <c r="BM79" s="35">
        <f>SUM(BN79:CA79)</f>
        <v>159.94599999999997</v>
      </c>
      <c r="BN79" s="35">
        <v>21.62</v>
      </c>
      <c r="BO79" s="35">
        <v>28.49</v>
      </c>
      <c r="BP79" s="35">
        <v>21.88</v>
      </c>
      <c r="BQ79" s="35">
        <v>1.35</v>
      </c>
      <c r="BR79" s="35">
        <v>24.88</v>
      </c>
      <c r="BS79" s="35">
        <v>58.99</v>
      </c>
      <c r="BT79" s="35">
        <v>5.5999999999999994E-2</v>
      </c>
      <c r="BU79" s="35">
        <v>1</v>
      </c>
      <c r="BV79" s="35">
        <v>0.97999999999999987</v>
      </c>
      <c r="BW79" s="35">
        <v>0</v>
      </c>
      <c r="BX79" s="35">
        <v>0.7</v>
      </c>
      <c r="BY79" s="35">
        <v>0</v>
      </c>
      <c r="BZ79" s="35">
        <v>0</v>
      </c>
      <c r="CA79" s="35">
        <v>0</v>
      </c>
      <c r="CB79" s="35">
        <f>SUM(E79:BM79)</f>
        <v>1414.954</v>
      </c>
      <c r="CC79" s="35">
        <v>155.006</v>
      </c>
      <c r="CD79" s="35">
        <v>166.98</v>
      </c>
      <c r="CE79" s="282">
        <v>173</v>
      </c>
      <c r="CF79" s="282">
        <f t="shared" si="103"/>
        <v>494.98599999999999</v>
      </c>
      <c r="CG79" s="282">
        <f t="shared" si="104"/>
        <v>158.94599999999997</v>
      </c>
      <c r="CH79" s="282">
        <f t="shared" si="105"/>
        <v>159.94599999999997</v>
      </c>
      <c r="CI79" s="282">
        <f t="shared" si="106"/>
        <v>813.87799999999993</v>
      </c>
      <c r="CJ79" s="232">
        <f t="shared" si="40"/>
        <v>34.982479995816121</v>
      </c>
      <c r="CK79" s="232">
        <f t="shared" si="41"/>
        <v>57.51974975864939</v>
      </c>
      <c r="CL79" s="218"/>
    </row>
    <row r="80" spans="1:91" s="11" customFormat="1" ht="15">
      <c r="A80" s="89">
        <v>2</v>
      </c>
      <c r="B80" s="90" t="s">
        <v>100</v>
      </c>
      <c r="C80" s="89" t="s">
        <v>41</v>
      </c>
      <c r="D80" s="257">
        <f>[1]B2NN!$K$74</f>
        <v>54.86</v>
      </c>
      <c r="E80" s="258">
        <f>SUM(F80:S80)</f>
        <v>54.86</v>
      </c>
      <c r="F80" s="258">
        <v>15</v>
      </c>
      <c r="G80" s="258">
        <v>15.52</v>
      </c>
      <c r="H80" s="258">
        <v>9</v>
      </c>
      <c r="I80" s="258">
        <v>1</v>
      </c>
      <c r="J80" s="258">
        <v>10</v>
      </c>
      <c r="K80" s="258">
        <v>2.35</v>
      </c>
      <c r="L80" s="258">
        <v>0.04</v>
      </c>
      <c r="M80" s="258">
        <v>0.8</v>
      </c>
      <c r="N80" s="258">
        <v>0.7</v>
      </c>
      <c r="O80" s="258"/>
      <c r="P80" s="258">
        <v>0.45</v>
      </c>
      <c r="Q80" s="258"/>
      <c r="R80" s="258"/>
      <c r="S80" s="258"/>
      <c r="T80" s="258">
        <f>SUM(U80:AH80)</f>
        <v>54.86</v>
      </c>
      <c r="U80" s="258">
        <v>15</v>
      </c>
      <c r="V80" s="258">
        <v>15.52</v>
      </c>
      <c r="W80" s="258">
        <v>9</v>
      </c>
      <c r="X80" s="258">
        <v>1</v>
      </c>
      <c r="Y80" s="258">
        <v>10</v>
      </c>
      <c r="Z80" s="258">
        <v>2.35</v>
      </c>
      <c r="AA80" s="258">
        <v>0.04</v>
      </c>
      <c r="AB80" s="258">
        <v>0.8</v>
      </c>
      <c r="AC80" s="258">
        <v>0.7</v>
      </c>
      <c r="AD80" s="258"/>
      <c r="AE80" s="258">
        <v>0.45</v>
      </c>
      <c r="AF80" s="258"/>
      <c r="AG80" s="258"/>
      <c r="AH80" s="258"/>
      <c r="AI80" s="258">
        <f>SUM(AJ80:AW80)</f>
        <v>54.86</v>
      </c>
      <c r="AJ80" s="258">
        <v>15</v>
      </c>
      <c r="AK80" s="258">
        <v>15.52</v>
      </c>
      <c r="AL80" s="258">
        <v>9</v>
      </c>
      <c r="AM80" s="258">
        <v>1</v>
      </c>
      <c r="AN80" s="258">
        <v>10</v>
      </c>
      <c r="AO80" s="258">
        <v>2.35</v>
      </c>
      <c r="AP80" s="258">
        <v>0.04</v>
      </c>
      <c r="AQ80" s="258">
        <v>0.8</v>
      </c>
      <c r="AR80" s="258">
        <v>0.7</v>
      </c>
      <c r="AS80" s="258"/>
      <c r="AT80" s="258">
        <v>0.45</v>
      </c>
      <c r="AU80" s="258"/>
      <c r="AV80" s="258"/>
      <c r="AW80" s="258"/>
      <c r="AX80" s="258">
        <f>SUM(AY80:BL80)</f>
        <v>55.01</v>
      </c>
      <c r="AY80" s="258">
        <v>15</v>
      </c>
      <c r="AZ80" s="258">
        <v>15.52</v>
      </c>
      <c r="BA80" s="258">
        <v>9</v>
      </c>
      <c r="BB80" s="258">
        <v>1</v>
      </c>
      <c r="BC80" s="258">
        <v>10</v>
      </c>
      <c r="BD80" s="258">
        <v>2.5</v>
      </c>
      <c r="BE80" s="257">
        <v>0.04</v>
      </c>
      <c r="BF80" s="257">
        <v>0.8</v>
      </c>
      <c r="BG80" s="257">
        <v>0.7</v>
      </c>
      <c r="BH80" s="257"/>
      <c r="BI80" s="257">
        <v>0.45</v>
      </c>
      <c r="BJ80" s="257"/>
      <c r="BK80" s="257"/>
      <c r="BL80" s="257"/>
      <c r="BM80" s="257">
        <f>SUM(BN80:CA80)</f>
        <v>55.01</v>
      </c>
      <c r="BN80" s="257">
        <v>15</v>
      </c>
      <c r="BO80" s="257">
        <v>15.52</v>
      </c>
      <c r="BP80" s="257">
        <v>9</v>
      </c>
      <c r="BQ80" s="257">
        <v>1</v>
      </c>
      <c r="BR80" s="257">
        <v>10</v>
      </c>
      <c r="BS80" s="257">
        <v>2.5</v>
      </c>
      <c r="BT80" s="257">
        <v>0.04</v>
      </c>
      <c r="BU80" s="257">
        <v>0.8</v>
      </c>
      <c r="BV80" s="257">
        <v>0.7</v>
      </c>
      <c r="BW80" s="257"/>
      <c r="BX80" s="257">
        <v>0.45</v>
      </c>
      <c r="BY80" s="257"/>
      <c r="BZ80" s="257"/>
      <c r="CA80" s="257"/>
      <c r="CB80" s="257">
        <f>BM80</f>
        <v>55.01</v>
      </c>
      <c r="CC80" s="257">
        <v>65.98</v>
      </c>
      <c r="CD80" s="257">
        <v>70.300000000000011</v>
      </c>
      <c r="CE80" s="219">
        <v>65.98</v>
      </c>
      <c r="CF80" s="219">
        <f>CE80</f>
        <v>65.98</v>
      </c>
      <c r="CG80" s="219">
        <f>CF80</f>
        <v>65.98</v>
      </c>
      <c r="CH80" s="219">
        <f>CG80</f>
        <v>65.98</v>
      </c>
      <c r="CI80" s="219">
        <f>CH80</f>
        <v>65.98</v>
      </c>
      <c r="CJ80" s="232">
        <f t="shared" si="40"/>
        <v>119.94182875840757</v>
      </c>
      <c r="CK80" s="232">
        <f t="shared" si="41"/>
        <v>119.94182875840757</v>
      </c>
      <c r="CL80" s="219"/>
      <c r="CM80" s="383">
        <f>CG80-D80</f>
        <v>11.120000000000005</v>
      </c>
    </row>
    <row r="81" spans="1:90" s="11" customFormat="1" ht="15">
      <c r="A81" s="89" t="s">
        <v>101</v>
      </c>
      <c r="B81" s="90" t="s">
        <v>102</v>
      </c>
      <c r="C81" s="89"/>
      <c r="D81" s="98"/>
      <c r="E81" s="245"/>
      <c r="F81" s="245"/>
      <c r="G81" s="245"/>
      <c r="H81" s="245"/>
      <c r="I81" s="245"/>
      <c r="J81" s="245"/>
      <c r="K81" s="245"/>
      <c r="L81" s="245"/>
      <c r="M81" s="245"/>
      <c r="N81" s="245"/>
      <c r="O81" s="245"/>
      <c r="P81" s="245"/>
      <c r="Q81" s="245"/>
      <c r="R81" s="245"/>
      <c r="S81" s="245"/>
      <c r="T81" s="245"/>
      <c r="U81" s="245"/>
      <c r="V81" s="245"/>
      <c r="W81" s="245"/>
      <c r="X81" s="245"/>
      <c r="Y81" s="245"/>
      <c r="Z81" s="245"/>
      <c r="AA81" s="245"/>
      <c r="AB81" s="245"/>
      <c r="AC81" s="245"/>
      <c r="AD81" s="245"/>
      <c r="AE81" s="245"/>
      <c r="AF81" s="245"/>
      <c r="AG81" s="245"/>
      <c r="AH81" s="245"/>
      <c r="AI81" s="245"/>
      <c r="AJ81" s="245"/>
      <c r="AK81" s="245"/>
      <c r="AL81" s="245"/>
      <c r="AM81" s="245"/>
      <c r="AN81" s="245"/>
      <c r="AO81" s="245"/>
      <c r="AP81" s="245"/>
      <c r="AQ81" s="245"/>
      <c r="AR81" s="245"/>
      <c r="AS81" s="245"/>
      <c r="AT81" s="245"/>
      <c r="AU81" s="245"/>
      <c r="AV81" s="245"/>
      <c r="AW81" s="245"/>
      <c r="AX81" s="245"/>
      <c r="AY81" s="245"/>
      <c r="AZ81" s="245"/>
      <c r="BA81" s="245"/>
      <c r="BB81" s="245"/>
      <c r="BC81" s="245"/>
      <c r="BD81" s="245"/>
      <c r="BE81" s="98"/>
      <c r="BF81" s="98"/>
      <c r="BG81" s="98"/>
      <c r="BH81" s="98"/>
      <c r="BI81" s="98"/>
      <c r="BJ81" s="98"/>
      <c r="BK81" s="98"/>
      <c r="BL81" s="98"/>
      <c r="BM81" s="98"/>
      <c r="BN81" s="98"/>
      <c r="BO81" s="98"/>
      <c r="BP81" s="98"/>
      <c r="BQ81" s="98"/>
      <c r="BR81" s="98"/>
      <c r="BS81" s="98"/>
      <c r="BT81" s="98"/>
      <c r="BU81" s="98"/>
      <c r="BV81" s="98"/>
      <c r="BW81" s="98"/>
      <c r="BX81" s="98"/>
      <c r="BY81" s="98"/>
      <c r="BZ81" s="98"/>
      <c r="CA81" s="98"/>
      <c r="CB81" s="98"/>
      <c r="CC81" s="98"/>
      <c r="CD81" s="218"/>
      <c r="CE81" s="218"/>
      <c r="CF81" s="218"/>
      <c r="CG81" s="218"/>
      <c r="CH81" s="218"/>
      <c r="CI81" s="218"/>
      <c r="CJ81" s="232"/>
      <c r="CK81" s="232"/>
      <c r="CL81" s="219"/>
    </row>
    <row r="82" spans="1:90" s="11" customFormat="1" ht="15" hidden="1">
      <c r="A82" s="89"/>
      <c r="B82" s="90" t="s">
        <v>617</v>
      </c>
      <c r="C82" s="89"/>
      <c r="D82" s="243">
        <v>267934.15999999997</v>
      </c>
      <c r="E82" s="173">
        <f>SUM(F82:S82)</f>
        <v>267934.09999999998</v>
      </c>
      <c r="F82" s="172">
        <v>1220.7</v>
      </c>
      <c r="G82" s="173">
        <v>7408.2</v>
      </c>
      <c r="H82" s="173">
        <v>9521.7000000000007</v>
      </c>
      <c r="I82" s="173">
        <v>10782.4</v>
      </c>
      <c r="J82" s="173">
        <v>18402.400000000001</v>
      </c>
      <c r="K82" s="173">
        <v>23721.1</v>
      </c>
      <c r="L82" s="173">
        <v>24165.599999999999</v>
      </c>
      <c r="M82" s="173">
        <v>33105.4</v>
      </c>
      <c r="N82" s="173">
        <v>13493.1</v>
      </c>
      <c r="O82" s="173">
        <v>11375.9</v>
      </c>
      <c r="P82" s="173">
        <v>13934</v>
      </c>
      <c r="Q82" s="173">
        <v>11289</v>
      </c>
      <c r="R82" s="173">
        <v>38351.4</v>
      </c>
      <c r="S82" s="173">
        <v>51163.199999999997</v>
      </c>
      <c r="T82" s="259">
        <f>SUM(U82:AH82)</f>
        <v>267934.09999999998</v>
      </c>
      <c r="U82" s="260">
        <v>1220.7</v>
      </c>
      <c r="V82" s="259">
        <v>7408.2</v>
      </c>
      <c r="W82" s="259">
        <v>9521.7000000000007</v>
      </c>
      <c r="X82" s="259">
        <v>10782.4</v>
      </c>
      <c r="Y82" s="259">
        <v>18402.400000000001</v>
      </c>
      <c r="Z82" s="259">
        <v>23721.1</v>
      </c>
      <c r="AA82" s="259">
        <v>24165.599999999999</v>
      </c>
      <c r="AB82" s="259">
        <v>33105.4</v>
      </c>
      <c r="AC82" s="259">
        <v>13493.1</v>
      </c>
      <c r="AD82" s="259">
        <v>11375.9</v>
      </c>
      <c r="AE82" s="259">
        <v>13934</v>
      </c>
      <c r="AF82" s="259">
        <v>11289</v>
      </c>
      <c r="AG82" s="259">
        <v>38351.4</v>
      </c>
      <c r="AH82" s="259">
        <v>51163.199999999997</v>
      </c>
      <c r="AI82" s="245">
        <f>SUM(AJ82:AW82)</f>
        <v>267934.09999999998</v>
      </c>
      <c r="AJ82" s="261">
        <v>1220.7</v>
      </c>
      <c r="AK82" s="245">
        <v>7408.2</v>
      </c>
      <c r="AL82" s="245">
        <v>9521.7000000000007</v>
      </c>
      <c r="AM82" s="245">
        <v>10782.4</v>
      </c>
      <c r="AN82" s="245">
        <v>18402.400000000001</v>
      </c>
      <c r="AO82" s="245">
        <v>23721.1</v>
      </c>
      <c r="AP82" s="245">
        <v>24165.599999999999</v>
      </c>
      <c r="AQ82" s="245">
        <v>33105.4</v>
      </c>
      <c r="AR82" s="245">
        <v>13493.1</v>
      </c>
      <c r="AS82" s="245">
        <v>11375.9</v>
      </c>
      <c r="AT82" s="245">
        <v>13934</v>
      </c>
      <c r="AU82" s="245">
        <v>11289</v>
      </c>
      <c r="AV82" s="245">
        <v>38351.4</v>
      </c>
      <c r="AW82" s="245">
        <v>51163.199999999997</v>
      </c>
      <c r="AX82" s="245">
        <f>SUM(AY82:BL82)</f>
        <v>267934.09999999998</v>
      </c>
      <c r="AY82" s="261">
        <v>1220.7</v>
      </c>
      <c r="AZ82" s="245">
        <v>7408.2</v>
      </c>
      <c r="BA82" s="245">
        <v>9521.7000000000007</v>
      </c>
      <c r="BB82" s="245">
        <v>10782.4</v>
      </c>
      <c r="BC82" s="245">
        <v>18402.400000000001</v>
      </c>
      <c r="BD82" s="245">
        <v>23721.1</v>
      </c>
      <c r="BE82" s="98">
        <v>24165.599999999999</v>
      </c>
      <c r="BF82" s="98">
        <v>33105.4</v>
      </c>
      <c r="BG82" s="98">
        <v>13493.1</v>
      </c>
      <c r="BH82" s="98">
        <v>11375.9</v>
      </c>
      <c r="BI82" s="98">
        <v>13934</v>
      </c>
      <c r="BJ82" s="98">
        <v>11289</v>
      </c>
      <c r="BK82" s="98">
        <v>38351.4</v>
      </c>
      <c r="BL82" s="98">
        <v>51163.199999999997</v>
      </c>
      <c r="BM82" s="98">
        <f>SUM(BN82:CA82)</f>
        <v>267934.09999999998</v>
      </c>
      <c r="BN82" s="262">
        <v>1220.7</v>
      </c>
      <c r="BO82" s="98">
        <v>7408.2</v>
      </c>
      <c r="BP82" s="98">
        <v>9521.7000000000007</v>
      </c>
      <c r="BQ82" s="98">
        <v>10782.4</v>
      </c>
      <c r="BR82" s="98">
        <v>18402.400000000001</v>
      </c>
      <c r="BS82" s="98">
        <v>23721.1</v>
      </c>
      <c r="BT82" s="98">
        <v>24165.599999999999</v>
      </c>
      <c r="BU82" s="98">
        <v>33105.4</v>
      </c>
      <c r="BV82" s="98">
        <v>13493.1</v>
      </c>
      <c r="BW82" s="98">
        <v>11375.9</v>
      </c>
      <c r="BX82" s="98">
        <v>13934</v>
      </c>
      <c r="BY82" s="98">
        <v>11289</v>
      </c>
      <c r="BZ82" s="98">
        <v>38351.4</v>
      </c>
      <c r="CA82" s="98">
        <v>51163.199999999997</v>
      </c>
      <c r="CB82" s="98"/>
      <c r="CC82" s="98"/>
      <c r="CD82" s="218"/>
      <c r="CE82" s="218"/>
      <c r="CF82" s="218"/>
      <c r="CG82" s="218"/>
      <c r="CH82" s="218"/>
      <c r="CI82" s="218"/>
      <c r="CJ82" s="232" t="e">
        <f t="shared" si="40"/>
        <v>#DIV/0!</v>
      </c>
      <c r="CK82" s="232" t="e">
        <f t="shared" si="41"/>
        <v>#DIV/0!</v>
      </c>
      <c r="CL82" s="219"/>
    </row>
    <row r="83" spans="1:90" s="11" customFormat="1" ht="15">
      <c r="A83" s="89">
        <v>1</v>
      </c>
      <c r="B83" s="90" t="s">
        <v>103</v>
      </c>
      <c r="C83" s="89" t="s">
        <v>28</v>
      </c>
      <c r="D83" s="263">
        <f>[1]B2NN!$K$76</f>
        <v>65.053657211906099</v>
      </c>
      <c r="E83" s="264">
        <f>(E85+E90+E97)/E82*100</f>
        <v>65.702551485607856</v>
      </c>
      <c r="F83" s="264">
        <f>(F85+F90+F97)/F82*100</f>
        <v>57.887277791431146</v>
      </c>
      <c r="G83" s="264">
        <f t="shared" ref="G83:T83" si="107">(G85+G90+G97)/G82*100</f>
        <v>71.964444804405929</v>
      </c>
      <c r="H83" s="264">
        <f t="shared" si="107"/>
        <v>58.799164014829287</v>
      </c>
      <c r="I83" s="264">
        <f t="shared" si="107"/>
        <v>46.378357323044959</v>
      </c>
      <c r="J83" s="265">
        <f t="shared" si="107"/>
        <v>62.815665347998085</v>
      </c>
      <c r="K83" s="264">
        <f t="shared" si="107"/>
        <v>69.220735969242568</v>
      </c>
      <c r="L83" s="264">
        <f t="shared" si="107"/>
        <v>60.081231171582751</v>
      </c>
      <c r="M83" s="264">
        <f t="shared" si="107"/>
        <v>68.153805723537559</v>
      </c>
      <c r="N83" s="264">
        <f>(N85+N90+N97)/N82*100</f>
        <v>54.048810132586276</v>
      </c>
      <c r="O83" s="264">
        <f t="shared" si="107"/>
        <v>72.536414701254415</v>
      </c>
      <c r="P83" s="264">
        <f t="shared" si="107"/>
        <v>77.580307162336737</v>
      </c>
      <c r="Q83" s="264">
        <f t="shared" si="107"/>
        <v>82.180263973779788</v>
      </c>
      <c r="R83" s="264">
        <f t="shared" si="107"/>
        <v>77.923543860198052</v>
      </c>
      <c r="S83" s="264">
        <f t="shared" si="107"/>
        <v>56.338344747787474</v>
      </c>
      <c r="T83" s="264">
        <f t="shared" si="107"/>
        <v>65.822036090217708</v>
      </c>
      <c r="U83" s="264">
        <f t="shared" ref="U83" si="108">(U85+U90+U97)/U82*100</f>
        <v>57.887277791431146</v>
      </c>
      <c r="V83" s="264">
        <f t="shared" ref="V83" si="109">(V85+V90+V97)/V82*100</f>
        <v>71.964444804405929</v>
      </c>
      <c r="W83" s="264">
        <f t="shared" ref="W83" si="110">(W85+W90+W97)/W82*100</f>
        <v>59.114233802787318</v>
      </c>
      <c r="X83" s="264">
        <f t="shared" ref="X83" si="111">(X85+X90+X97)/X82*100</f>
        <v>46.378357323044959</v>
      </c>
      <c r="Y83" s="265">
        <f t="shared" ref="Y83" si="112">(Y85+Y90+Y97)/Y82*100</f>
        <v>62.978687562491842</v>
      </c>
      <c r="Z83" s="264">
        <f t="shared" ref="Z83" si="113">(Z85+Z90+Z97)/Z82*100</f>
        <v>69.34720565235169</v>
      </c>
      <c r="AA83" s="264">
        <f t="shared" ref="AA83" si="114">(AA85+AA90+AA97)/AA82*100</f>
        <v>60.081231171582751</v>
      </c>
      <c r="AB83" s="264">
        <f t="shared" ref="AB83" si="115">(AB85+AB90+AB97)/AB82*100</f>
        <v>68.304838485564289</v>
      </c>
      <c r="AC83" s="264">
        <f t="shared" ref="AC83" si="116">(AC85+AC90+AC97)/AC82*100</f>
        <v>54.198071606969492</v>
      </c>
      <c r="AD83" s="264">
        <f t="shared" ref="AD83" si="117">(AD85+AD90+AD97)/AD82*100</f>
        <v>72.800130099596515</v>
      </c>
      <c r="AE83" s="264">
        <f t="shared" ref="AE83" si="118">(AE85+AE90+AE97)/AE82*100</f>
        <v>77.939141667862785</v>
      </c>
      <c r="AF83" s="264">
        <f t="shared" ref="AF83" si="119">(AF85+AF90+AF97)/AF82*100</f>
        <v>82.180263973779788</v>
      </c>
      <c r="AG83" s="264">
        <f t="shared" ref="AG83" si="120">(AG85+AG90+AG97)/AG82*100</f>
        <v>78.001767862450905</v>
      </c>
      <c r="AH83" s="264">
        <f t="shared" ref="AH83:AI83" si="121">(AH85+AH90+AH97)/AH82*100</f>
        <v>56.436071238702823</v>
      </c>
      <c r="AI83" s="264">
        <f t="shared" si="121"/>
        <v>65.956397487292577</v>
      </c>
      <c r="AJ83" s="264">
        <f t="shared" ref="AJ83" si="122">(AJ85+AJ90+AJ97)/AJ82*100</f>
        <v>57.887277791431146</v>
      </c>
      <c r="AK83" s="264">
        <f t="shared" ref="AK83" si="123">(AK85+AK90+AK97)/AK82*100</f>
        <v>71.964444804405929</v>
      </c>
      <c r="AL83" s="264">
        <f t="shared" ref="AL83" si="124">(AL85+AL90+AL97)/AL82*100</f>
        <v>59.429303590745356</v>
      </c>
      <c r="AM83" s="264">
        <f t="shared" ref="AM83" si="125">(AM85+AM90+AM97)/AM82*100</f>
        <v>46.378357323044959</v>
      </c>
      <c r="AN83" s="265">
        <f t="shared" ref="AN83" si="126">(AN85+AN90+AN97)/AN82*100</f>
        <v>63.087369038821016</v>
      </c>
      <c r="AO83" s="264">
        <f t="shared" ref="AO83" si="127">(AO85+AO90+AO97)/AO82*100</f>
        <v>69.34720565235169</v>
      </c>
      <c r="AP83" s="264">
        <f t="shared" ref="AP83" si="128">(AP85+AP90+AP97)/AP82*100</f>
        <v>60.370899129340884</v>
      </c>
      <c r="AQ83" s="264">
        <f t="shared" ref="AQ83" si="129">(AQ85+AQ90+AQ97)/AQ82*100</f>
        <v>68.455871247591034</v>
      </c>
      <c r="AR83" s="264">
        <f t="shared" ref="AR83" si="130">(AR85+AR90+AR97)/AR82*100</f>
        <v>54.198071606969492</v>
      </c>
      <c r="AS83" s="264">
        <f t="shared" ref="AS83" si="131">(AS85+AS90+AS97)/AS82*100</f>
        <v>72.975940365157925</v>
      </c>
      <c r="AT83" s="264">
        <f t="shared" ref="AT83" si="132">(AT85+AT90+AT97)/AT82*100</f>
        <v>78.082675470073198</v>
      </c>
      <c r="AU83" s="264">
        <f t="shared" ref="AU83" si="133">(AU85+AU90+AU97)/AU82*100</f>
        <v>82.44600938967136</v>
      </c>
      <c r="AV83" s="264">
        <f t="shared" ref="AV83" si="134">(AV85+AV90+AV97)/AV82*100</f>
        <v>78.184290534374227</v>
      </c>
      <c r="AW83" s="264">
        <f t="shared" ref="AW83" si="135">(AW85+AW90+AW97)/AW82*100</f>
        <v>56.533797729618165</v>
      </c>
      <c r="AX83" s="264">
        <f t="shared" ref="AX83" si="136">(AX85+AX90+AX97)/AX82*100</f>
        <v>66.128081494666048</v>
      </c>
      <c r="AY83" s="264">
        <f t="shared" ref="AY83" si="137">(AY85+AY90+AY97)/AY82*100</f>
        <v>57.887277791431146</v>
      </c>
      <c r="AZ83" s="264">
        <f t="shared" ref="AZ83" si="138">(AZ85+AZ90+AZ97)/AZ82*100</f>
        <v>71.964444804405929</v>
      </c>
      <c r="BA83" s="264">
        <f t="shared" ref="BA83" si="139">(BA85+BA90+BA97)/BA82*100</f>
        <v>59.429303590745356</v>
      </c>
      <c r="BB83" s="264">
        <f t="shared" ref="BB83" si="140">(BB85+BB90+BB97)/BB82*100</f>
        <v>46.656588514616409</v>
      </c>
      <c r="BC83" s="265">
        <f t="shared" ref="BC83" si="141">(BC85+BC90+BC97)/BC82*100</f>
        <v>63.250391253314788</v>
      </c>
      <c r="BD83" s="264">
        <f t="shared" ref="BD83" si="142">(BD85+BD90+BD97)/BD82*100</f>
        <v>69.64230157960634</v>
      </c>
      <c r="BE83" s="264">
        <f t="shared" ref="BE83" si="143">(BE85+BE90+BE97)/BE82*100</f>
        <v>60.784710497566799</v>
      </c>
      <c r="BF83" s="264">
        <f t="shared" ref="BF83" si="144">(BF85+BF90+BF97)/BF82*100</f>
        <v>68.606904009617764</v>
      </c>
      <c r="BG83" s="264">
        <f t="shared" ref="BG83" si="145">(BG85+BG90+BG97)/BG82*100</f>
        <v>54.198071606969492</v>
      </c>
      <c r="BH83" s="264">
        <f t="shared" ref="BH83" si="146">(BH85+BH90+BH97)/BH82*100</f>
        <v>73.415466029061434</v>
      </c>
      <c r="BI83" s="264">
        <f t="shared" ref="BI83" si="147">(BI85+BI90+BI97)/BI82*100</f>
        <v>78.44150997559926</v>
      </c>
      <c r="BJ83" s="264">
        <f t="shared" ref="BJ83" si="148">(BJ85+BJ90+BJ97)/BJ82*100</f>
        <v>82.44600938967136</v>
      </c>
      <c r="BK83" s="264">
        <f t="shared" ref="BK83" si="149">(BK85+BK90+BK97)/BK82*100</f>
        <v>78.314663871462315</v>
      </c>
      <c r="BL83" s="264">
        <f t="shared" ref="BL83" si="150">(BL85+BL90+BL97)/BL82*100</f>
        <v>56.59243362416737</v>
      </c>
      <c r="BM83" s="264">
        <f t="shared" ref="BM83" si="151">(BM85+BM90+BM97)/BM82*100</f>
        <v>66.329623590278359</v>
      </c>
      <c r="BN83" s="264">
        <f t="shared" ref="BN83" si="152">(BN85+BN90+BN97)/BN82*100</f>
        <v>57.887277791431146</v>
      </c>
      <c r="BO83" s="264">
        <f t="shared" ref="BO83" si="153">(BO85+BO90+BO97)/BO82*100</f>
        <v>71.964444804405929</v>
      </c>
      <c r="BP83" s="264">
        <f t="shared" ref="BP83" si="154">(BP85+BP90+BP97)/BP82*100</f>
        <v>60.059443166661417</v>
      </c>
      <c r="BQ83" s="264">
        <f t="shared" ref="BQ83" si="155">(BQ85+BQ90+BQ97)/BQ82*100</f>
        <v>46.656588514616409</v>
      </c>
      <c r="BR83" s="265">
        <f t="shared" ref="BR83" si="156">(BR85+BR90+BR97)/BR82*100</f>
        <v>63.630776420466894</v>
      </c>
      <c r="BS83" s="264">
        <f t="shared" ref="BS83" si="157">(BS85+BS90+BS97)/BS82*100</f>
        <v>69.937397506860975</v>
      </c>
      <c r="BT83" s="264">
        <f t="shared" ref="BT83" si="158">(BT85+BT90+BT97)/BT82*100</f>
        <v>61.198521865792699</v>
      </c>
      <c r="BU83" s="264">
        <f t="shared" ref="BU83" si="159">(BU85+BU90+BU97)/BU82*100</f>
        <v>68.757936771644495</v>
      </c>
      <c r="BV83" s="264">
        <f t="shared" ref="BV83" si="160">(BV85+BV90+BV97)/BV82*100</f>
        <v>54.5686313745544</v>
      </c>
      <c r="BW83" s="264">
        <f t="shared" ref="BW83" si="161">(BW85+BW90+BW97)/BW82*100</f>
        <v>73.591276294622844</v>
      </c>
      <c r="BX83" s="264">
        <f t="shared" ref="BX83" si="162">(BX85+BX90+BX97)/BX82*100</f>
        <v>78.585043777809688</v>
      </c>
      <c r="BY83" s="264">
        <f t="shared" ref="BY83" si="163">(BY85+BY90+BY97)/BY82*100</f>
        <v>82.711754805562933</v>
      </c>
      <c r="BZ83" s="264">
        <f t="shared" ref="BZ83" si="164">(BZ85+BZ90+BZ97)/BZ82*100</f>
        <v>78.445037208550389</v>
      </c>
      <c r="CA83" s="264">
        <f t="shared" ref="CA83" si="165">(CA85+CA90+CA97)/CA82*100</f>
        <v>56.631524220533514</v>
      </c>
      <c r="CB83" s="266">
        <f t="shared" ref="CB83:CB97" si="166">BM83</f>
        <v>66.329623590278359</v>
      </c>
      <c r="CC83" s="266">
        <v>65.713911301575649</v>
      </c>
      <c r="CD83" s="266">
        <v>66.243670618471924</v>
      </c>
      <c r="CE83" s="369">
        <v>66.870996447426052</v>
      </c>
      <c r="CF83" s="373">
        <f>CE83</f>
        <v>66.870996447426052</v>
      </c>
      <c r="CG83" s="373">
        <v>67.496351009462259</v>
      </c>
      <c r="CH83" s="373">
        <v>68.455850247929746</v>
      </c>
      <c r="CI83" s="377">
        <f>CH83</f>
        <v>68.455850247929746</v>
      </c>
      <c r="CJ83" s="232">
        <f t="shared" ref="CJ83:CJ98" si="167">CF83/CB83%</f>
        <v>100.81618563146351</v>
      </c>
      <c r="CK83" s="232">
        <f t="shared" ref="CK83:CK98" si="168">CI83/CB83%</f>
        <v>103.20554609322856</v>
      </c>
      <c r="CL83" s="219"/>
    </row>
    <row r="84" spans="1:90" s="11" customFormat="1" ht="57.75" customHeight="1">
      <c r="A84" s="89">
        <v>2</v>
      </c>
      <c r="B84" s="90" t="s">
        <v>668</v>
      </c>
      <c r="C84" s="89" t="s">
        <v>41</v>
      </c>
      <c r="D84" s="243">
        <f>[1]B2NN!$K$77</f>
        <v>175782.04000000004</v>
      </c>
      <c r="E84" s="173">
        <f>E85+E89+E97</f>
        <v>177819.27000000002</v>
      </c>
      <c r="F84" s="173">
        <f>F85+F89+F97</f>
        <v>736.28</v>
      </c>
      <c r="G84" s="173">
        <f t="shared" ref="G84:L84" si="169">G85+G89+G97</f>
        <v>5421.05</v>
      </c>
      <c r="H84" s="173">
        <f t="shared" si="169"/>
        <v>5768.92</v>
      </c>
      <c r="I84" s="173">
        <f t="shared" si="169"/>
        <v>5119.9399999999996</v>
      </c>
      <c r="J84" s="267">
        <f t="shared" si="169"/>
        <v>11740.67</v>
      </c>
      <c r="K84" s="173">
        <f t="shared" si="169"/>
        <v>16616.409999999996</v>
      </c>
      <c r="L84" s="173">
        <f t="shared" si="169"/>
        <v>14518.99</v>
      </c>
      <c r="M84" s="173">
        <f t="shared" ref="M84" si="170">M85+M89+M97</f>
        <v>22562.59</v>
      </c>
      <c r="N84" s="173">
        <f t="shared" ref="N84" si="171">N85+N89+N97</f>
        <v>7768.79</v>
      </c>
      <c r="O84" s="173">
        <f t="shared" ref="O84" si="172">O85+O89+O97</f>
        <v>8290.27</v>
      </c>
      <c r="P84" s="173">
        <f t="shared" ref="P84" si="173">P85+P89+P97</f>
        <v>10951.92</v>
      </c>
      <c r="Q84" s="173">
        <f t="shared" ref="Q84:R84" si="174">Q85+Q89+Q97</f>
        <v>9420.6200000000008</v>
      </c>
      <c r="R84" s="173">
        <f t="shared" si="174"/>
        <v>30014.079999999998</v>
      </c>
      <c r="S84" s="173">
        <f t="shared" ref="S84" si="175">S85+S89+S97</f>
        <v>28888.74</v>
      </c>
      <c r="T84" s="173">
        <f>T85+T89+T97</f>
        <v>178289.27000000002</v>
      </c>
      <c r="U84" s="173">
        <f t="shared" ref="U84:AH84" si="176">U85+U89+U97</f>
        <v>746.28</v>
      </c>
      <c r="V84" s="173">
        <f t="shared" si="176"/>
        <v>5431.05</v>
      </c>
      <c r="W84" s="173">
        <f t="shared" si="176"/>
        <v>5778.92</v>
      </c>
      <c r="X84" s="173">
        <f t="shared" si="176"/>
        <v>5129.9399999999996</v>
      </c>
      <c r="Y84" s="267">
        <f t="shared" si="176"/>
        <v>11780.67</v>
      </c>
      <c r="Z84" s="173">
        <f t="shared" si="176"/>
        <v>16666.409999999996</v>
      </c>
      <c r="AA84" s="173">
        <f t="shared" si="176"/>
        <v>14518.99</v>
      </c>
      <c r="AB84" s="173">
        <f t="shared" si="176"/>
        <v>22612.59</v>
      </c>
      <c r="AC84" s="173">
        <f t="shared" si="176"/>
        <v>7888.79</v>
      </c>
      <c r="AD84" s="173">
        <f t="shared" si="176"/>
        <v>8320.27</v>
      </c>
      <c r="AE84" s="173">
        <f t="shared" si="176"/>
        <v>11001.92</v>
      </c>
      <c r="AF84" s="255">
        <f t="shared" si="176"/>
        <v>9420.6200000000008</v>
      </c>
      <c r="AG84" s="173">
        <f t="shared" si="176"/>
        <v>30054.079999999998</v>
      </c>
      <c r="AH84" s="173">
        <f t="shared" si="176"/>
        <v>28938.74</v>
      </c>
      <c r="AI84" s="173">
        <f t="shared" ref="AI84" si="177">AI85+AI89+AI97</f>
        <v>178819.27000000002</v>
      </c>
      <c r="AJ84" s="173">
        <f t="shared" ref="AJ84" si="178">AJ85+AJ89+AJ97</f>
        <v>756.28</v>
      </c>
      <c r="AK84" s="173">
        <f t="shared" ref="AK84" si="179">AK85+AK89+AK97</f>
        <v>5441.05</v>
      </c>
      <c r="AL84" s="173">
        <f t="shared" ref="AL84" si="180">AL85+AL89+AL97</f>
        <v>5788.92</v>
      </c>
      <c r="AM84" s="173">
        <f t="shared" ref="AM84" si="181">AM85+AM89+AM97</f>
        <v>5139.9399999999996</v>
      </c>
      <c r="AN84" s="267">
        <f t="shared" ref="AN84" si="182">AN85+AN89+AN97</f>
        <v>11810.67</v>
      </c>
      <c r="AO84" s="173">
        <f t="shared" ref="AO84" si="183">AO85+AO89+AO97</f>
        <v>16686.409999999996</v>
      </c>
      <c r="AP84" s="173">
        <f t="shared" ref="AP84" si="184">AP85+AP89+AP97</f>
        <v>14588.99</v>
      </c>
      <c r="AQ84" s="173">
        <f t="shared" ref="AQ84" si="185">AQ85+AQ89+AQ97</f>
        <v>22662.59</v>
      </c>
      <c r="AR84" s="173">
        <f t="shared" ref="AR84" si="186">AR85+AR89+AR97</f>
        <v>8008.79</v>
      </c>
      <c r="AS84" s="173">
        <f t="shared" ref="AS84" si="187">AS85+AS89+AS97</f>
        <v>8340.27</v>
      </c>
      <c r="AT84" s="173">
        <f t="shared" ref="AT84" si="188">AT85+AT89+AT97</f>
        <v>11021.92</v>
      </c>
      <c r="AU84" s="173">
        <f t="shared" ref="AU84" si="189">AU85+AU89+AU97</f>
        <v>9450.6200000000008</v>
      </c>
      <c r="AV84" s="173">
        <f t="shared" ref="AV84" si="190">AV85+AV89+AV97</f>
        <v>30134.079999999998</v>
      </c>
      <c r="AW84" s="173">
        <f t="shared" ref="AW84" si="191">AW85+AW89+AW97</f>
        <v>28988.74</v>
      </c>
      <c r="AX84" s="173">
        <f>AX85+AX89+AX97</f>
        <v>179459.27000000002</v>
      </c>
      <c r="AY84" s="173">
        <f t="shared" ref="AY84" si="192">AY85+AY89+AY97</f>
        <v>766.28</v>
      </c>
      <c r="AZ84" s="173">
        <f t="shared" ref="AZ84" si="193">AZ85+AZ89+AZ97</f>
        <v>5451.05</v>
      </c>
      <c r="BA84" s="173">
        <f t="shared" ref="BA84" si="194">BA85+BA89+BA97</f>
        <v>5798.92</v>
      </c>
      <c r="BB84" s="173">
        <f t="shared" ref="BB84" si="195">BB85+BB89+BB97</f>
        <v>5179.9399999999996</v>
      </c>
      <c r="BC84" s="267">
        <f t="shared" ref="BC84" si="196">BC85+BC89+BC97</f>
        <v>11850.67</v>
      </c>
      <c r="BD84" s="173">
        <f t="shared" ref="BD84" si="197">BD85+BD89+BD97</f>
        <v>16756.409999999996</v>
      </c>
      <c r="BE84" s="173">
        <f t="shared" ref="BE84" si="198">BE85+BE89+BE97</f>
        <v>14688.99</v>
      </c>
      <c r="BF84" s="173">
        <f t="shared" ref="BF84" si="199">BF85+BF89+BF97</f>
        <v>22712.59</v>
      </c>
      <c r="BG84" s="173">
        <f t="shared" ref="BG84" si="200">BG85+BG89+BG97</f>
        <v>8128.79</v>
      </c>
      <c r="BH84" s="173">
        <f t="shared" ref="BH84" si="201">BH85+BH89+BH97</f>
        <v>8390.27</v>
      </c>
      <c r="BI84" s="173">
        <f t="shared" ref="BI84" si="202">BI85+BI89+BI97</f>
        <v>11071.92</v>
      </c>
      <c r="BJ84" s="173">
        <f t="shared" ref="BJ84" si="203">BJ85+BJ89+BJ97</f>
        <v>9450.6200000000008</v>
      </c>
      <c r="BK84" s="173">
        <f t="shared" ref="BK84" si="204">BK85+BK89+BK97</f>
        <v>30194.079999999998</v>
      </c>
      <c r="BL84" s="173">
        <f t="shared" ref="BL84" si="205">BL85+BL89+BL97</f>
        <v>29018.74</v>
      </c>
      <c r="BM84" s="173">
        <f>BM85+BM89+BM97</f>
        <v>179949.27000000002</v>
      </c>
      <c r="BN84" s="173">
        <f t="shared" ref="BN84" si="206">BN85+BN89+BN97</f>
        <v>776.28</v>
      </c>
      <c r="BO84" s="173">
        <f t="shared" ref="BO84" si="207">BO85+BO89+BO97</f>
        <v>5461.05</v>
      </c>
      <c r="BP84" s="173">
        <f t="shared" ref="BP84" si="208">BP85+BP89+BP97</f>
        <v>5838.92</v>
      </c>
      <c r="BQ84" s="173">
        <f t="shared" ref="BQ84" si="209">BQ85+BQ89+BQ97</f>
        <v>5179.9399999999996</v>
      </c>
      <c r="BR84" s="267">
        <f t="shared" ref="BR84" si="210">BR85+BR89+BR97</f>
        <v>11880.67</v>
      </c>
      <c r="BS84" s="173">
        <f t="shared" ref="BS84" si="211">BS85+BS89+BS97</f>
        <v>16816.409999999996</v>
      </c>
      <c r="BT84" s="173">
        <f t="shared" ref="BT84" si="212">BT85+BT89+BT97</f>
        <v>14788.99</v>
      </c>
      <c r="BU84" s="173">
        <f t="shared" ref="BU84" si="213">BU85+BU89+BU97</f>
        <v>22762.59</v>
      </c>
      <c r="BV84" s="173">
        <f t="shared" ref="BV84" si="214">BV85+BV89+BV97</f>
        <v>8178.79</v>
      </c>
      <c r="BW84" s="173">
        <f t="shared" ref="BW84" si="215">BW85+BW89+BW97</f>
        <v>8410.27</v>
      </c>
      <c r="BX84" s="173">
        <f t="shared" ref="BX84" si="216">BX85+BX89+BX97</f>
        <v>11091.92</v>
      </c>
      <c r="BY84" s="173">
        <f t="shared" ref="BY84" si="217">BY85+BY89+BY97</f>
        <v>9480.6200000000008</v>
      </c>
      <c r="BZ84" s="173">
        <f t="shared" ref="BZ84" si="218">BZ85+BZ89+BZ97</f>
        <v>30244.079999999998</v>
      </c>
      <c r="CA84" s="173">
        <f t="shared" ref="CA84" si="219">CA85+CA89+CA97</f>
        <v>29038.74</v>
      </c>
      <c r="CB84" s="173">
        <f t="shared" si="166"/>
        <v>179949.27000000002</v>
      </c>
      <c r="CC84" s="173">
        <v>177888.93999999997</v>
      </c>
      <c r="CD84" s="173">
        <v>179824.9</v>
      </c>
      <c r="CE84" s="267">
        <f>179508.66+2000</f>
        <v>181508.66</v>
      </c>
      <c r="CF84" s="375">
        <f t="shared" ref="CF84:CF97" si="220">CE84</f>
        <v>181508.66</v>
      </c>
      <c r="CG84" s="372">
        <f>181183.66+1000</f>
        <v>182183.66</v>
      </c>
      <c r="CH84" s="372">
        <f>183753.66+1000</f>
        <v>184753.66</v>
      </c>
      <c r="CI84" s="378">
        <f>CH84</f>
        <v>184753.66</v>
      </c>
      <c r="CJ84" s="232">
        <f t="shared" si="167"/>
        <v>100.86657200665498</v>
      </c>
      <c r="CK84" s="232">
        <f t="shared" si="168"/>
        <v>102.66985801053818</v>
      </c>
      <c r="CL84" s="219"/>
    </row>
    <row r="85" spans="1:90" s="146" customFormat="1" ht="15">
      <c r="A85" s="78" t="s">
        <v>104</v>
      </c>
      <c r="B85" s="83" t="s">
        <v>105</v>
      </c>
      <c r="C85" s="78" t="s">
        <v>41</v>
      </c>
      <c r="D85" s="110">
        <f>[1]B2NN!$K$78</f>
        <v>173759.83000000002</v>
      </c>
      <c r="E85" s="135">
        <f>SUM(E86:E88)</f>
        <v>175498.4</v>
      </c>
      <c r="F85" s="268">
        <f>SUM(F86:F88)</f>
        <v>706.63</v>
      </c>
      <c r="G85" s="135">
        <f t="shared" ref="G85:S85" si="221">SUM(G86:G88)</f>
        <v>5329.46</v>
      </c>
      <c r="H85" s="135">
        <f t="shared" si="221"/>
        <v>5598.68</v>
      </c>
      <c r="I85" s="135">
        <f t="shared" si="221"/>
        <v>4600</v>
      </c>
      <c r="J85" s="191">
        <f t="shared" si="221"/>
        <v>11477.18</v>
      </c>
      <c r="K85" s="135">
        <f t="shared" si="221"/>
        <v>16393.559999999998</v>
      </c>
      <c r="L85" s="135">
        <f t="shared" si="221"/>
        <v>14518.99</v>
      </c>
      <c r="M85" s="135">
        <f t="shared" si="221"/>
        <v>22562.59</v>
      </c>
      <c r="N85" s="135">
        <f t="shared" si="221"/>
        <v>7263</v>
      </c>
      <c r="O85" s="135">
        <f t="shared" si="221"/>
        <v>8251.67</v>
      </c>
      <c r="P85" s="135">
        <f t="shared" si="221"/>
        <v>10810.04</v>
      </c>
      <c r="Q85" s="135">
        <f t="shared" si="221"/>
        <v>9277.33</v>
      </c>
      <c r="R85" s="135">
        <f t="shared" si="221"/>
        <v>29884.769999999997</v>
      </c>
      <c r="S85" s="135">
        <f t="shared" si="221"/>
        <v>28824.5</v>
      </c>
      <c r="T85" s="135">
        <f>SUM(T86:T88)</f>
        <v>175768.4</v>
      </c>
      <c r="U85" s="135">
        <f>SUM(U86:U88)</f>
        <v>706.63</v>
      </c>
      <c r="V85" s="135">
        <f t="shared" ref="V85:AH85" si="222">SUM(V86:V88)</f>
        <v>5329.46</v>
      </c>
      <c r="W85" s="135">
        <f t="shared" si="222"/>
        <v>5598.68</v>
      </c>
      <c r="X85" s="135">
        <f t="shared" si="222"/>
        <v>4600</v>
      </c>
      <c r="Y85" s="191">
        <f t="shared" si="222"/>
        <v>11507.18</v>
      </c>
      <c r="Z85" s="135">
        <f t="shared" si="222"/>
        <v>16423.559999999998</v>
      </c>
      <c r="AA85" s="135">
        <f t="shared" si="222"/>
        <v>14518.99</v>
      </c>
      <c r="AB85" s="135">
        <f t="shared" si="222"/>
        <v>22612.59</v>
      </c>
      <c r="AC85" s="135">
        <f t="shared" si="222"/>
        <v>7263</v>
      </c>
      <c r="AD85" s="135">
        <f t="shared" si="222"/>
        <v>8281.67</v>
      </c>
      <c r="AE85" s="135">
        <f t="shared" si="222"/>
        <v>10860.04</v>
      </c>
      <c r="AF85" s="135">
        <f t="shared" si="222"/>
        <v>9277.33</v>
      </c>
      <c r="AG85" s="135">
        <f t="shared" si="222"/>
        <v>29914.769999999997</v>
      </c>
      <c r="AH85" s="135">
        <f t="shared" si="222"/>
        <v>28874.5</v>
      </c>
      <c r="AI85" s="135">
        <f>SUM(AI86:AI88)</f>
        <v>176098.4</v>
      </c>
      <c r="AJ85" s="135">
        <f t="shared" ref="AJ85:AW85" si="223">SUM(AJ86:AJ88)</f>
        <v>706.63</v>
      </c>
      <c r="AK85" s="135">
        <f t="shared" si="223"/>
        <v>5329.46</v>
      </c>
      <c r="AL85" s="135">
        <f t="shared" si="223"/>
        <v>5598.68</v>
      </c>
      <c r="AM85" s="135">
        <f t="shared" si="223"/>
        <v>4600</v>
      </c>
      <c r="AN85" s="191">
        <f t="shared" si="223"/>
        <v>11527.18</v>
      </c>
      <c r="AO85" s="135">
        <f t="shared" si="223"/>
        <v>16423.559999999998</v>
      </c>
      <c r="AP85" s="135">
        <f t="shared" si="223"/>
        <v>14588.99</v>
      </c>
      <c r="AQ85" s="135">
        <f t="shared" si="223"/>
        <v>22662.59</v>
      </c>
      <c r="AR85" s="135">
        <f t="shared" si="223"/>
        <v>7263</v>
      </c>
      <c r="AS85" s="135">
        <f t="shared" si="223"/>
        <v>8301.67</v>
      </c>
      <c r="AT85" s="135">
        <f t="shared" si="223"/>
        <v>10880.04</v>
      </c>
      <c r="AU85" s="135">
        <f t="shared" si="223"/>
        <v>9307.33</v>
      </c>
      <c r="AV85" s="135">
        <f t="shared" si="223"/>
        <v>29984.769999999997</v>
      </c>
      <c r="AW85" s="135">
        <f t="shared" si="223"/>
        <v>28924.5</v>
      </c>
      <c r="AX85" s="135">
        <f>SUM(AX86:AX88)</f>
        <v>176538.4</v>
      </c>
      <c r="AY85" s="135">
        <f t="shared" ref="AY85:BL85" si="224">SUM(AY86:AY88)</f>
        <v>706.63</v>
      </c>
      <c r="AZ85" s="135">
        <f t="shared" si="224"/>
        <v>5329.46</v>
      </c>
      <c r="BA85" s="135">
        <f t="shared" si="224"/>
        <v>5598.68</v>
      </c>
      <c r="BB85" s="135">
        <f t="shared" si="224"/>
        <v>4630</v>
      </c>
      <c r="BC85" s="191">
        <f t="shared" si="224"/>
        <v>11557.18</v>
      </c>
      <c r="BD85" s="135">
        <f t="shared" si="224"/>
        <v>16473.559999999998</v>
      </c>
      <c r="BE85" s="135">
        <f t="shared" si="224"/>
        <v>14688.99</v>
      </c>
      <c r="BF85" s="135">
        <f t="shared" si="224"/>
        <v>22712.59</v>
      </c>
      <c r="BG85" s="135">
        <f t="shared" si="224"/>
        <v>7263</v>
      </c>
      <c r="BH85" s="135">
        <f t="shared" si="224"/>
        <v>8351.67</v>
      </c>
      <c r="BI85" s="135">
        <f t="shared" si="224"/>
        <v>10930.04</v>
      </c>
      <c r="BJ85" s="135">
        <f t="shared" si="224"/>
        <v>9307.33</v>
      </c>
      <c r="BK85" s="135">
        <f t="shared" si="224"/>
        <v>30034.769999999997</v>
      </c>
      <c r="BL85" s="135">
        <f t="shared" si="224"/>
        <v>28954.5</v>
      </c>
      <c r="BM85" s="135">
        <f>SUM(BM86:BM88)</f>
        <v>176928.4</v>
      </c>
      <c r="BN85" s="186">
        <f>SUM(BN86:BN88)</f>
        <v>706.63</v>
      </c>
      <c r="BO85" s="186">
        <f t="shared" ref="BO85:CA85" si="225">SUM(BO86:BO88)</f>
        <v>5329.46</v>
      </c>
      <c r="BP85" s="186">
        <f t="shared" si="225"/>
        <v>5628.68</v>
      </c>
      <c r="BQ85" s="186">
        <f t="shared" si="225"/>
        <v>4630</v>
      </c>
      <c r="BR85" s="191">
        <f t="shared" si="225"/>
        <v>11577.18</v>
      </c>
      <c r="BS85" s="186">
        <f t="shared" si="225"/>
        <v>16523.559999999998</v>
      </c>
      <c r="BT85" s="186">
        <f t="shared" si="225"/>
        <v>14788.99</v>
      </c>
      <c r="BU85" s="186">
        <f t="shared" si="225"/>
        <v>22762.59</v>
      </c>
      <c r="BV85" s="186">
        <f t="shared" si="225"/>
        <v>7263</v>
      </c>
      <c r="BW85" s="186">
        <f t="shared" si="225"/>
        <v>8371.67</v>
      </c>
      <c r="BX85" s="186">
        <f t="shared" si="225"/>
        <v>10950.04</v>
      </c>
      <c r="BY85" s="186">
        <f t="shared" si="225"/>
        <v>9337.33</v>
      </c>
      <c r="BZ85" s="186">
        <f t="shared" si="225"/>
        <v>30084.769999999997</v>
      </c>
      <c r="CA85" s="186">
        <f t="shared" si="225"/>
        <v>28974.5</v>
      </c>
      <c r="CB85" s="135">
        <f t="shared" si="166"/>
        <v>176928.4</v>
      </c>
      <c r="CC85" s="135">
        <f>SUM(CC86:CC88)</f>
        <v>175491.03999999995</v>
      </c>
      <c r="CD85" s="135">
        <v>176800.59</v>
      </c>
      <c r="CE85" s="371">
        <v>178481.36</v>
      </c>
      <c r="CF85" s="374">
        <f t="shared" si="220"/>
        <v>178481.36</v>
      </c>
      <c r="CG85" s="371">
        <v>180156.36</v>
      </c>
      <c r="CH85" s="371">
        <v>182726.36</v>
      </c>
      <c r="CI85" s="376">
        <f>CH85</f>
        <v>182726.36</v>
      </c>
      <c r="CJ85" s="232">
        <f t="shared" si="167"/>
        <v>100.87773359166759</v>
      </c>
      <c r="CK85" s="232">
        <f t="shared" si="168"/>
        <v>103.27700923085271</v>
      </c>
      <c r="CL85" s="218"/>
    </row>
    <row r="86" spans="1:90" s="146" customFormat="1" ht="15">
      <c r="A86" s="78"/>
      <c r="B86" s="83" t="s">
        <v>106</v>
      </c>
      <c r="C86" s="78" t="s">
        <v>41</v>
      </c>
      <c r="D86" s="110">
        <f>[1]B2NN!$K$79</f>
        <v>72721.27</v>
      </c>
      <c r="E86" s="135">
        <f>SUM(F86:S86)</f>
        <v>73605.42</v>
      </c>
      <c r="F86" s="191">
        <v>410.31</v>
      </c>
      <c r="G86" s="191">
        <v>4037.15</v>
      </c>
      <c r="H86" s="191">
        <v>4186.8900000000003</v>
      </c>
      <c r="I86" s="191">
        <v>2867</v>
      </c>
      <c r="J86" s="191">
        <v>6781.86</v>
      </c>
      <c r="K86" s="191">
        <v>7904.51</v>
      </c>
      <c r="L86" s="191">
        <v>3306.99</v>
      </c>
      <c r="M86" s="191">
        <v>10153.15</v>
      </c>
      <c r="N86" s="191">
        <v>4758.3</v>
      </c>
      <c r="O86" s="191">
        <v>3746.28</v>
      </c>
      <c r="P86" s="191">
        <v>4161.1099999999997</v>
      </c>
      <c r="Q86" s="191">
        <v>1635.02</v>
      </c>
      <c r="R86" s="191">
        <v>5441.45</v>
      </c>
      <c r="S86" s="191">
        <v>14215.4</v>
      </c>
      <c r="T86" s="135">
        <f>SUM(U86:AH86)</f>
        <v>73875.42</v>
      </c>
      <c r="U86" s="135">
        <v>410.31</v>
      </c>
      <c r="V86" s="135">
        <v>4037.15</v>
      </c>
      <c r="W86" s="135">
        <v>4186.8900000000003</v>
      </c>
      <c r="X86" s="135">
        <v>2867</v>
      </c>
      <c r="Y86" s="191">
        <v>6811.86</v>
      </c>
      <c r="Z86" s="135">
        <v>7934.51</v>
      </c>
      <c r="AA86" s="135">
        <v>3306.99</v>
      </c>
      <c r="AB86" s="135">
        <v>10203.15</v>
      </c>
      <c r="AC86" s="135">
        <v>4758.3</v>
      </c>
      <c r="AD86" s="135">
        <v>3776.28</v>
      </c>
      <c r="AE86" s="135">
        <v>4211.1099999999997</v>
      </c>
      <c r="AF86" s="135">
        <v>1635.02</v>
      </c>
      <c r="AG86" s="135">
        <v>5471.45</v>
      </c>
      <c r="AH86" s="135">
        <v>14265.4</v>
      </c>
      <c r="AI86" s="135">
        <f>SUM(AJ86:AW86)</f>
        <v>74155.42</v>
      </c>
      <c r="AJ86" s="135">
        <v>410.31</v>
      </c>
      <c r="AK86" s="135">
        <v>4037.15</v>
      </c>
      <c r="AL86" s="135">
        <v>4186.8900000000003</v>
      </c>
      <c r="AM86" s="135">
        <v>2867</v>
      </c>
      <c r="AN86" s="191">
        <v>6831.86</v>
      </c>
      <c r="AO86" s="135">
        <v>7934.51</v>
      </c>
      <c r="AP86" s="135">
        <v>3326.99</v>
      </c>
      <c r="AQ86" s="135">
        <v>10253.15</v>
      </c>
      <c r="AR86" s="135">
        <v>4758.3</v>
      </c>
      <c r="AS86" s="135">
        <v>3796.28</v>
      </c>
      <c r="AT86" s="135">
        <v>4231.1099999999997</v>
      </c>
      <c r="AU86" s="135">
        <v>1665.02</v>
      </c>
      <c r="AV86" s="135">
        <v>5541.45</v>
      </c>
      <c r="AW86" s="135">
        <v>14315.4</v>
      </c>
      <c r="AX86" s="135">
        <f>SUM(AY86:BL86)</f>
        <v>74265.42</v>
      </c>
      <c r="AY86" s="135">
        <v>410.31</v>
      </c>
      <c r="AZ86" s="135">
        <v>4037.15</v>
      </c>
      <c r="BA86" s="135">
        <v>4186.8900000000003</v>
      </c>
      <c r="BB86" s="135">
        <v>2897</v>
      </c>
      <c r="BC86" s="191">
        <v>6831.86</v>
      </c>
      <c r="BD86" s="135">
        <v>7934.51</v>
      </c>
      <c r="BE86" s="135">
        <v>3376.99</v>
      </c>
      <c r="BF86" s="135">
        <v>10253.15</v>
      </c>
      <c r="BG86" s="135">
        <v>4758.3</v>
      </c>
      <c r="BH86" s="135">
        <v>3796.28</v>
      </c>
      <c r="BI86" s="135">
        <v>4231.1099999999997</v>
      </c>
      <c r="BJ86" s="135">
        <v>1665.02</v>
      </c>
      <c r="BK86" s="135">
        <v>5541.45</v>
      </c>
      <c r="BL86" s="135">
        <v>14345.4</v>
      </c>
      <c r="BM86" s="135">
        <f>SUM(BN86:CA86)</f>
        <v>74315.42</v>
      </c>
      <c r="BN86" s="186">
        <v>410.31</v>
      </c>
      <c r="BO86" s="186">
        <v>4037.15</v>
      </c>
      <c r="BP86" s="186">
        <v>4216.8900000000003</v>
      </c>
      <c r="BQ86" s="186">
        <v>2897</v>
      </c>
      <c r="BR86" s="191">
        <v>6831.86</v>
      </c>
      <c r="BS86" s="186">
        <v>7934.51</v>
      </c>
      <c r="BT86" s="186">
        <v>3376.99</v>
      </c>
      <c r="BU86" s="186">
        <v>10253.15</v>
      </c>
      <c r="BV86" s="186">
        <v>4758.3</v>
      </c>
      <c r="BW86" s="186">
        <v>3796.28</v>
      </c>
      <c r="BX86" s="186">
        <v>4231.1099999999997</v>
      </c>
      <c r="BY86" s="186">
        <v>1665.02</v>
      </c>
      <c r="BZ86" s="186">
        <v>5541.45</v>
      </c>
      <c r="CA86" s="186">
        <v>14365.4</v>
      </c>
      <c r="CB86" s="135">
        <f t="shared" si="166"/>
        <v>74315.42</v>
      </c>
      <c r="CC86" s="135">
        <v>73807.889999999985</v>
      </c>
      <c r="CD86" s="135">
        <v>74353.450000000012</v>
      </c>
      <c r="CE86" s="371">
        <v>75177.889999999985</v>
      </c>
      <c r="CF86" s="374">
        <f t="shared" si="220"/>
        <v>75177.889999999985</v>
      </c>
      <c r="CG86" s="371">
        <v>76300</v>
      </c>
      <c r="CH86" s="371">
        <v>77600</v>
      </c>
      <c r="CI86" s="376">
        <f t="shared" ref="CI86:CI97" si="226">CH86</f>
        <v>77600</v>
      </c>
      <c r="CJ86" s="232">
        <f t="shared" si="167"/>
        <v>101.16055322031416</v>
      </c>
      <c r="CK86" s="232">
        <f t="shared" si="168"/>
        <v>104.41978259693614</v>
      </c>
      <c r="CL86" s="218"/>
    </row>
    <row r="87" spans="1:90" s="146" customFormat="1" ht="15">
      <c r="A87" s="78"/>
      <c r="B87" s="83" t="s">
        <v>107</v>
      </c>
      <c r="C87" s="78" t="s">
        <v>41</v>
      </c>
      <c r="D87" s="110">
        <f>[1]B2NN!$K$80</f>
        <v>79155.8</v>
      </c>
      <c r="E87" s="135">
        <f>SUM(F87:S87)</f>
        <v>79890.219999999987</v>
      </c>
      <c r="F87" s="191">
        <v>296.32</v>
      </c>
      <c r="G87" s="191">
        <v>1292.31</v>
      </c>
      <c r="H87" s="191">
        <v>1411.79</v>
      </c>
      <c r="I87" s="191">
        <v>1733</v>
      </c>
      <c r="J87" s="191">
        <v>4695.32</v>
      </c>
      <c r="K87" s="191">
        <v>8489.0499999999993</v>
      </c>
      <c r="L87" s="191">
        <v>11212</v>
      </c>
      <c r="M87" s="191">
        <v>12409.44</v>
      </c>
      <c r="N87" s="191">
        <v>2504.6999999999998</v>
      </c>
      <c r="O87" s="191">
        <v>4505.3900000000003</v>
      </c>
      <c r="P87" s="191">
        <v>6648.93</v>
      </c>
      <c r="Q87" s="191">
        <v>7642.31</v>
      </c>
      <c r="R87" s="191">
        <v>13058.76</v>
      </c>
      <c r="S87" s="191">
        <v>3990.9</v>
      </c>
      <c r="T87" s="135">
        <f>SUM(U87:AH87)</f>
        <v>79890.219999999987</v>
      </c>
      <c r="U87" s="135">
        <v>296.32</v>
      </c>
      <c r="V87" s="135">
        <v>1292.31</v>
      </c>
      <c r="W87" s="135">
        <v>1411.79</v>
      </c>
      <c r="X87" s="135">
        <v>1733</v>
      </c>
      <c r="Y87" s="191">
        <v>4695.32</v>
      </c>
      <c r="Z87" s="135">
        <v>8489.0499999999993</v>
      </c>
      <c r="AA87" s="135">
        <v>11212</v>
      </c>
      <c r="AB87" s="135">
        <v>12409.44</v>
      </c>
      <c r="AC87" s="135">
        <v>2504.6999999999998</v>
      </c>
      <c r="AD87" s="135">
        <v>4505.3900000000003</v>
      </c>
      <c r="AE87" s="135">
        <v>6648.93</v>
      </c>
      <c r="AF87" s="135">
        <v>7642.31</v>
      </c>
      <c r="AG87" s="135">
        <v>13058.76</v>
      </c>
      <c r="AH87" s="135">
        <v>3990.9</v>
      </c>
      <c r="AI87" s="135">
        <f>SUM(AJ87:AW87)</f>
        <v>79940.219999999987</v>
      </c>
      <c r="AJ87" s="135">
        <v>296.32</v>
      </c>
      <c r="AK87" s="135">
        <v>1292.31</v>
      </c>
      <c r="AL87" s="135">
        <v>1411.79</v>
      </c>
      <c r="AM87" s="135">
        <v>1733</v>
      </c>
      <c r="AN87" s="191">
        <v>4695.32</v>
      </c>
      <c r="AO87" s="135">
        <v>8489.0499999999993</v>
      </c>
      <c r="AP87" s="135">
        <v>11262</v>
      </c>
      <c r="AQ87" s="135">
        <v>12409.44</v>
      </c>
      <c r="AR87" s="135">
        <v>2504.6999999999998</v>
      </c>
      <c r="AS87" s="135">
        <v>4505.3900000000003</v>
      </c>
      <c r="AT87" s="135">
        <v>6648.93</v>
      </c>
      <c r="AU87" s="135">
        <v>7642.31</v>
      </c>
      <c r="AV87" s="135">
        <v>13058.76</v>
      </c>
      <c r="AW87" s="135">
        <v>3990.9</v>
      </c>
      <c r="AX87" s="135">
        <f>SUM(AY87:BL87)</f>
        <v>80270.219999999987</v>
      </c>
      <c r="AY87" s="135">
        <v>296.32</v>
      </c>
      <c r="AZ87" s="135">
        <v>1292.31</v>
      </c>
      <c r="BA87" s="135">
        <v>1411.79</v>
      </c>
      <c r="BB87" s="135">
        <v>1733</v>
      </c>
      <c r="BC87" s="191">
        <v>4725.32</v>
      </c>
      <c r="BD87" s="135">
        <v>8539.0499999999993</v>
      </c>
      <c r="BE87" s="135">
        <v>11312</v>
      </c>
      <c r="BF87" s="135">
        <v>12459.44</v>
      </c>
      <c r="BG87" s="135">
        <v>2504.6999999999998</v>
      </c>
      <c r="BH87" s="135">
        <v>4555.3900000000003</v>
      </c>
      <c r="BI87" s="135">
        <v>6698.93</v>
      </c>
      <c r="BJ87" s="135">
        <v>7642.31</v>
      </c>
      <c r="BK87" s="135">
        <v>13108.76</v>
      </c>
      <c r="BL87" s="135">
        <v>3990.9</v>
      </c>
      <c r="BM87" s="135">
        <f>SUM(BN87:CA87)</f>
        <v>80560.219999999987</v>
      </c>
      <c r="BN87" s="186">
        <v>296.32</v>
      </c>
      <c r="BO87" s="186">
        <v>1292.31</v>
      </c>
      <c r="BP87" s="186">
        <v>1411.79</v>
      </c>
      <c r="BQ87" s="186">
        <v>1733</v>
      </c>
      <c r="BR87" s="191">
        <v>4745.32</v>
      </c>
      <c r="BS87" s="186">
        <v>8589.0499999999993</v>
      </c>
      <c r="BT87" s="186">
        <v>11412</v>
      </c>
      <c r="BU87" s="186">
        <v>12509.44</v>
      </c>
      <c r="BV87" s="186">
        <v>2504.6999999999998</v>
      </c>
      <c r="BW87" s="186">
        <v>4575.3900000000003</v>
      </c>
      <c r="BX87" s="186">
        <v>6718.93</v>
      </c>
      <c r="BY87" s="186">
        <v>7672.31</v>
      </c>
      <c r="BZ87" s="186">
        <v>13108.76</v>
      </c>
      <c r="CA87" s="186">
        <v>3990.9</v>
      </c>
      <c r="CB87" s="135">
        <f t="shared" si="166"/>
        <v>80560.219999999987</v>
      </c>
      <c r="CC87" s="135">
        <v>79533.559999999983</v>
      </c>
      <c r="CD87" s="135">
        <v>80190.78</v>
      </c>
      <c r="CE87" s="371">
        <v>80913.559999999983</v>
      </c>
      <c r="CF87" s="374">
        <f t="shared" si="220"/>
        <v>80913.559999999983</v>
      </c>
      <c r="CG87" s="371">
        <v>81600</v>
      </c>
      <c r="CH87" s="371">
        <v>82870</v>
      </c>
      <c r="CI87" s="376">
        <f t="shared" si="226"/>
        <v>82870</v>
      </c>
      <c r="CJ87" s="232">
        <f t="shared" si="167"/>
        <v>100.43860356885818</v>
      </c>
      <c r="CK87" s="232">
        <f t="shared" si="168"/>
        <v>102.86714708574532</v>
      </c>
      <c r="CL87" s="218"/>
    </row>
    <row r="88" spans="1:90" s="146" customFormat="1" ht="15">
      <c r="A88" s="78"/>
      <c r="B88" s="83" t="s">
        <v>108</v>
      </c>
      <c r="C88" s="78" t="s">
        <v>41</v>
      </c>
      <c r="D88" s="110">
        <f>[1]B2NN!$K$81</f>
        <v>21882.760000000002</v>
      </c>
      <c r="E88" s="135">
        <f>SUM(F88:S88)</f>
        <v>22002.760000000002</v>
      </c>
      <c r="F88" s="191"/>
      <c r="G88" s="191"/>
      <c r="H88" s="191"/>
      <c r="I88" s="191"/>
      <c r="J88" s="191"/>
      <c r="K88" s="191"/>
      <c r="L88" s="191"/>
      <c r="M88" s="191"/>
      <c r="N88" s="191"/>
      <c r="O88" s="191"/>
      <c r="P88" s="191"/>
      <c r="Q88" s="191"/>
      <c r="R88" s="191">
        <v>11384.56</v>
      </c>
      <c r="S88" s="191">
        <v>10618.2</v>
      </c>
      <c r="T88" s="135">
        <f>SUM(U88:AH88)</f>
        <v>22002.760000000002</v>
      </c>
      <c r="U88" s="135"/>
      <c r="V88" s="135"/>
      <c r="W88" s="135"/>
      <c r="X88" s="135"/>
      <c r="Y88" s="135"/>
      <c r="Z88" s="135"/>
      <c r="AA88" s="135"/>
      <c r="AB88" s="135"/>
      <c r="AC88" s="135"/>
      <c r="AD88" s="135"/>
      <c r="AE88" s="135"/>
      <c r="AF88" s="135"/>
      <c r="AG88" s="135">
        <v>11384.56</v>
      </c>
      <c r="AH88" s="135">
        <v>10618.2</v>
      </c>
      <c r="AI88" s="135">
        <f>SUM(AJ88:AW88)</f>
        <v>22002.760000000002</v>
      </c>
      <c r="AJ88" s="135"/>
      <c r="AK88" s="135"/>
      <c r="AL88" s="135"/>
      <c r="AM88" s="135"/>
      <c r="AN88" s="135"/>
      <c r="AO88" s="135"/>
      <c r="AP88" s="135"/>
      <c r="AQ88" s="135"/>
      <c r="AR88" s="135"/>
      <c r="AS88" s="135"/>
      <c r="AT88" s="135"/>
      <c r="AU88" s="135"/>
      <c r="AV88" s="135">
        <v>11384.56</v>
      </c>
      <c r="AW88" s="135">
        <v>10618.2</v>
      </c>
      <c r="AX88" s="135">
        <f>SUM(AY88:BL88)</f>
        <v>22002.760000000002</v>
      </c>
      <c r="AY88" s="135"/>
      <c r="AZ88" s="135"/>
      <c r="BA88" s="135"/>
      <c r="BB88" s="135"/>
      <c r="BC88" s="191"/>
      <c r="BD88" s="135"/>
      <c r="BE88" s="135"/>
      <c r="BF88" s="135"/>
      <c r="BG88" s="135"/>
      <c r="BH88" s="135"/>
      <c r="BI88" s="135"/>
      <c r="BJ88" s="135"/>
      <c r="BK88" s="135">
        <v>11384.56</v>
      </c>
      <c r="BL88" s="135">
        <v>10618.2</v>
      </c>
      <c r="BM88" s="135">
        <f>SUM(BN88:CA88)</f>
        <v>22052.760000000002</v>
      </c>
      <c r="BN88" s="186"/>
      <c r="BO88" s="186"/>
      <c r="BP88" s="186"/>
      <c r="BQ88" s="186"/>
      <c r="BR88" s="186"/>
      <c r="BS88" s="186"/>
      <c r="BT88" s="186"/>
      <c r="BU88" s="186"/>
      <c r="BV88" s="186"/>
      <c r="BW88" s="186"/>
      <c r="BX88" s="186"/>
      <c r="BY88" s="186"/>
      <c r="BZ88" s="186">
        <v>11434.56</v>
      </c>
      <c r="CA88" s="186">
        <v>10618.2</v>
      </c>
      <c r="CB88" s="135">
        <f t="shared" si="166"/>
        <v>22052.760000000002</v>
      </c>
      <c r="CC88" s="135">
        <v>22149.59</v>
      </c>
      <c r="CD88" s="135">
        <v>22256.36</v>
      </c>
      <c r="CE88" s="371">
        <v>22256.36</v>
      </c>
      <c r="CF88" s="374">
        <f t="shared" si="220"/>
        <v>22256.36</v>
      </c>
      <c r="CG88" s="371">
        <v>22256.36</v>
      </c>
      <c r="CH88" s="371">
        <v>22256.36</v>
      </c>
      <c r="CI88" s="376">
        <f t="shared" si="226"/>
        <v>22256.36</v>
      </c>
      <c r="CJ88" s="232">
        <f t="shared" si="167"/>
        <v>100.92324044700074</v>
      </c>
      <c r="CK88" s="232">
        <f t="shared" si="168"/>
        <v>100.92324044700074</v>
      </c>
      <c r="CL88" s="218"/>
    </row>
    <row r="89" spans="1:90" s="146" customFormat="1" ht="15">
      <c r="A89" s="78" t="s">
        <v>104</v>
      </c>
      <c r="B89" s="83" t="s">
        <v>613</v>
      </c>
      <c r="C89" s="78" t="s">
        <v>41</v>
      </c>
      <c r="D89" s="110">
        <f>[1]B2NN!$K$82</f>
        <v>1621.51</v>
      </c>
      <c r="E89" s="135">
        <f>SUM(F89:S89)</f>
        <v>1920.1699999999998</v>
      </c>
      <c r="F89" s="135">
        <v>29.65</v>
      </c>
      <c r="G89" s="135">
        <v>91.59</v>
      </c>
      <c r="H89" s="135">
        <v>170.24</v>
      </c>
      <c r="I89" s="135">
        <v>119.24</v>
      </c>
      <c r="J89" s="135">
        <v>263.49</v>
      </c>
      <c r="K89" s="135">
        <v>222.84999999999997</v>
      </c>
      <c r="L89" s="135">
        <v>0</v>
      </c>
      <c r="M89" s="135">
        <v>0</v>
      </c>
      <c r="N89" s="135">
        <v>505.79</v>
      </c>
      <c r="O89" s="135">
        <v>38.6</v>
      </c>
      <c r="P89" s="135">
        <v>141.88</v>
      </c>
      <c r="Q89" s="135">
        <v>143.29</v>
      </c>
      <c r="R89" s="135">
        <v>129.31</v>
      </c>
      <c r="S89" s="135">
        <v>64.239999999999995</v>
      </c>
      <c r="T89" s="135">
        <f>SUM(U89:AH89)</f>
        <v>2120.1699999999996</v>
      </c>
      <c r="U89" s="135">
        <f>F89+U100</f>
        <v>39.65</v>
      </c>
      <c r="V89" s="135">
        <f t="shared" ref="V89:AH89" si="227">G89+V100</f>
        <v>101.59</v>
      </c>
      <c r="W89" s="135">
        <f t="shared" si="227"/>
        <v>180.24</v>
      </c>
      <c r="X89" s="135">
        <f t="shared" si="227"/>
        <v>129.24</v>
      </c>
      <c r="Y89" s="135">
        <f t="shared" si="227"/>
        <v>273.49</v>
      </c>
      <c r="Z89" s="135">
        <f t="shared" si="227"/>
        <v>242.84999999999997</v>
      </c>
      <c r="AA89" s="135">
        <f t="shared" si="227"/>
        <v>0</v>
      </c>
      <c r="AB89" s="135">
        <f t="shared" si="227"/>
        <v>0</v>
      </c>
      <c r="AC89" s="135">
        <f t="shared" si="227"/>
        <v>625.79</v>
      </c>
      <c r="AD89" s="135">
        <f t="shared" si="227"/>
        <v>38.6</v>
      </c>
      <c r="AE89" s="135">
        <f t="shared" si="227"/>
        <v>141.88</v>
      </c>
      <c r="AF89" s="135">
        <f t="shared" si="227"/>
        <v>143.29</v>
      </c>
      <c r="AG89" s="135">
        <f t="shared" si="227"/>
        <v>139.31</v>
      </c>
      <c r="AH89" s="135">
        <f t="shared" si="227"/>
        <v>64.239999999999995</v>
      </c>
      <c r="AI89" s="135">
        <f>SUM(AJ89:AW89)</f>
        <v>2320.1699999999996</v>
      </c>
      <c r="AJ89" s="135">
        <f>U89+AJ100</f>
        <v>49.65</v>
      </c>
      <c r="AK89" s="135">
        <f t="shared" ref="AK89:AW89" si="228">V89+AK100</f>
        <v>111.59</v>
      </c>
      <c r="AL89" s="135">
        <f t="shared" si="228"/>
        <v>190.24</v>
      </c>
      <c r="AM89" s="135">
        <f t="shared" si="228"/>
        <v>139.24</v>
      </c>
      <c r="AN89" s="135">
        <f t="shared" si="228"/>
        <v>283.49</v>
      </c>
      <c r="AO89" s="135">
        <f t="shared" si="228"/>
        <v>262.84999999999997</v>
      </c>
      <c r="AP89" s="135">
        <f t="shared" si="228"/>
        <v>0</v>
      </c>
      <c r="AQ89" s="135">
        <f t="shared" si="228"/>
        <v>0</v>
      </c>
      <c r="AR89" s="135">
        <f t="shared" si="228"/>
        <v>745.79</v>
      </c>
      <c r="AS89" s="135">
        <f t="shared" si="228"/>
        <v>38.6</v>
      </c>
      <c r="AT89" s="135">
        <f t="shared" si="228"/>
        <v>141.88</v>
      </c>
      <c r="AU89" s="135">
        <f t="shared" si="228"/>
        <v>143.29</v>
      </c>
      <c r="AV89" s="135">
        <f t="shared" si="228"/>
        <v>149.31</v>
      </c>
      <c r="AW89" s="135">
        <f t="shared" si="228"/>
        <v>64.239999999999995</v>
      </c>
      <c r="AX89" s="135">
        <f>SUM(AY89:BL89)</f>
        <v>2520.1699999999996</v>
      </c>
      <c r="AY89" s="135">
        <f>AJ89+AY100</f>
        <v>59.65</v>
      </c>
      <c r="AZ89" s="135">
        <f t="shared" ref="AZ89:BL89" si="229">AK89+AZ100</f>
        <v>121.59</v>
      </c>
      <c r="BA89" s="135">
        <f t="shared" si="229"/>
        <v>200.24</v>
      </c>
      <c r="BB89" s="135">
        <f t="shared" si="229"/>
        <v>149.24</v>
      </c>
      <c r="BC89" s="135">
        <f t="shared" si="229"/>
        <v>293.49</v>
      </c>
      <c r="BD89" s="135">
        <f t="shared" si="229"/>
        <v>282.84999999999997</v>
      </c>
      <c r="BE89" s="110">
        <f t="shared" si="229"/>
        <v>0</v>
      </c>
      <c r="BF89" s="110">
        <f t="shared" si="229"/>
        <v>0</v>
      </c>
      <c r="BG89" s="110">
        <f t="shared" si="229"/>
        <v>865.79</v>
      </c>
      <c r="BH89" s="110">
        <f t="shared" si="229"/>
        <v>38.6</v>
      </c>
      <c r="BI89" s="110">
        <f t="shared" si="229"/>
        <v>141.88</v>
      </c>
      <c r="BJ89" s="110">
        <f t="shared" si="229"/>
        <v>143.29</v>
      </c>
      <c r="BK89" s="110">
        <f t="shared" si="229"/>
        <v>159.31</v>
      </c>
      <c r="BL89" s="110">
        <f t="shared" si="229"/>
        <v>64.239999999999995</v>
      </c>
      <c r="BM89" s="135">
        <f>SUM(BN89:CA89)</f>
        <v>2620.1699999999996</v>
      </c>
      <c r="BN89" s="110">
        <f>AY89+BN100</f>
        <v>69.650000000000006</v>
      </c>
      <c r="BO89" s="110">
        <f t="shared" ref="BO89:CA89" si="230">AZ89+BO100</f>
        <v>131.59</v>
      </c>
      <c r="BP89" s="110">
        <f t="shared" si="230"/>
        <v>210.24</v>
      </c>
      <c r="BQ89" s="110">
        <f t="shared" si="230"/>
        <v>149.24</v>
      </c>
      <c r="BR89" s="110">
        <f t="shared" si="230"/>
        <v>303.49</v>
      </c>
      <c r="BS89" s="110">
        <f t="shared" si="230"/>
        <v>292.84999999999997</v>
      </c>
      <c r="BT89" s="110">
        <f t="shared" si="230"/>
        <v>0</v>
      </c>
      <c r="BU89" s="110">
        <f t="shared" si="230"/>
        <v>0</v>
      </c>
      <c r="BV89" s="110">
        <f t="shared" si="230"/>
        <v>915.79</v>
      </c>
      <c r="BW89" s="110">
        <f t="shared" si="230"/>
        <v>38.6</v>
      </c>
      <c r="BX89" s="110">
        <f t="shared" si="230"/>
        <v>141.88</v>
      </c>
      <c r="BY89" s="110">
        <f t="shared" si="230"/>
        <v>143.29</v>
      </c>
      <c r="BZ89" s="110">
        <f t="shared" si="230"/>
        <v>159.31</v>
      </c>
      <c r="CA89" s="110">
        <f t="shared" si="230"/>
        <v>64.239999999999995</v>
      </c>
      <c r="CB89" s="110">
        <f t="shared" si="166"/>
        <v>2620.1699999999996</v>
      </c>
      <c r="CC89" s="110">
        <v>2001.8999999999996</v>
      </c>
      <c r="CD89" s="218">
        <v>2628.3100000000004</v>
      </c>
      <c r="CE89" s="370">
        <v>257</v>
      </c>
      <c r="CF89" s="374">
        <f t="shared" si="220"/>
        <v>257</v>
      </c>
      <c r="CG89" s="370">
        <v>257</v>
      </c>
      <c r="CH89" s="370">
        <v>257</v>
      </c>
      <c r="CI89" s="376">
        <f t="shared" si="226"/>
        <v>257</v>
      </c>
      <c r="CJ89" s="232">
        <f t="shared" si="167"/>
        <v>9.8085238744050969</v>
      </c>
      <c r="CK89" s="232">
        <f t="shared" si="168"/>
        <v>9.8085238744050969</v>
      </c>
      <c r="CL89" s="218"/>
    </row>
    <row r="90" spans="1:90" s="146" customFormat="1" ht="15">
      <c r="A90" s="78" t="s">
        <v>615</v>
      </c>
      <c r="B90" s="83" t="s">
        <v>614</v>
      </c>
      <c r="C90" s="78" t="s">
        <v>41</v>
      </c>
      <c r="D90" s="110">
        <f>[1]B2NN!$K$86</f>
        <v>140.44</v>
      </c>
      <c r="E90" s="135">
        <f>SUM(F90:S90)</f>
        <v>140.44</v>
      </c>
      <c r="F90" s="135">
        <v>0</v>
      </c>
      <c r="G90" s="135">
        <v>1.81</v>
      </c>
      <c r="H90" s="135">
        <v>0</v>
      </c>
      <c r="I90" s="135">
        <v>0</v>
      </c>
      <c r="J90" s="135">
        <v>82.41</v>
      </c>
      <c r="K90" s="135">
        <v>26.36</v>
      </c>
      <c r="L90" s="135">
        <v>0</v>
      </c>
      <c r="M90" s="135">
        <v>0</v>
      </c>
      <c r="N90" s="135">
        <v>29.86</v>
      </c>
      <c r="O90" s="135">
        <v>0</v>
      </c>
      <c r="P90" s="135">
        <v>0</v>
      </c>
      <c r="Q90" s="135">
        <v>0</v>
      </c>
      <c r="R90" s="135">
        <v>0</v>
      </c>
      <c r="S90" s="135">
        <v>0</v>
      </c>
      <c r="T90" s="135">
        <f>SUM(U90:AH90)</f>
        <v>190.57999999999998</v>
      </c>
      <c r="U90" s="135"/>
      <c r="V90" s="135">
        <v>1.81</v>
      </c>
      <c r="W90" s="135">
        <v>30</v>
      </c>
      <c r="X90" s="135"/>
      <c r="Y90" s="135">
        <v>82.41</v>
      </c>
      <c r="Z90" s="135">
        <v>26.36</v>
      </c>
      <c r="AA90" s="135"/>
      <c r="AB90" s="135"/>
      <c r="AC90" s="135">
        <v>50</v>
      </c>
      <c r="AD90" s="135"/>
      <c r="AE90" s="135"/>
      <c r="AF90" s="135"/>
      <c r="AG90" s="135"/>
      <c r="AH90" s="135"/>
      <c r="AI90" s="135">
        <f>SUM(AJ90:AW90)</f>
        <v>220.57999999999998</v>
      </c>
      <c r="AJ90" s="135"/>
      <c r="AK90" s="135">
        <v>1.81</v>
      </c>
      <c r="AL90" s="135">
        <v>60</v>
      </c>
      <c r="AM90" s="135"/>
      <c r="AN90" s="135">
        <v>82.41</v>
      </c>
      <c r="AO90" s="135">
        <v>26.36</v>
      </c>
      <c r="AP90" s="135"/>
      <c r="AQ90" s="135"/>
      <c r="AR90" s="135">
        <v>50</v>
      </c>
      <c r="AS90" s="135"/>
      <c r="AT90" s="135"/>
      <c r="AU90" s="135"/>
      <c r="AV90" s="135"/>
      <c r="AW90" s="135"/>
      <c r="AX90" s="135">
        <f>SUM(AY90:BL90)</f>
        <v>240.57999999999998</v>
      </c>
      <c r="AY90" s="135"/>
      <c r="AZ90" s="135">
        <v>1.81</v>
      </c>
      <c r="BA90" s="135">
        <v>60</v>
      </c>
      <c r="BB90" s="135"/>
      <c r="BC90" s="135">
        <v>82.41</v>
      </c>
      <c r="BD90" s="135">
        <v>46.36</v>
      </c>
      <c r="BE90" s="110"/>
      <c r="BF90" s="110"/>
      <c r="BG90" s="110">
        <v>50</v>
      </c>
      <c r="BH90" s="110"/>
      <c r="BI90" s="110"/>
      <c r="BJ90" s="110"/>
      <c r="BK90" s="110"/>
      <c r="BL90" s="110"/>
      <c r="BM90" s="135">
        <f>SUM(BN90:CA90)</f>
        <v>390.58</v>
      </c>
      <c r="BN90" s="110"/>
      <c r="BO90" s="110">
        <v>1.81</v>
      </c>
      <c r="BP90" s="110">
        <v>90</v>
      </c>
      <c r="BQ90" s="110"/>
      <c r="BR90" s="110">
        <v>132.41</v>
      </c>
      <c r="BS90" s="110">
        <v>66.36</v>
      </c>
      <c r="BT90" s="110"/>
      <c r="BU90" s="110"/>
      <c r="BV90" s="110">
        <v>100</v>
      </c>
      <c r="BW90" s="110"/>
      <c r="BX90" s="110"/>
      <c r="BY90" s="110"/>
      <c r="BZ90" s="110"/>
      <c r="CA90" s="110"/>
      <c r="CB90" s="110">
        <f t="shared" si="166"/>
        <v>390.58</v>
      </c>
      <c r="CC90" s="110">
        <v>148.09</v>
      </c>
      <c r="CD90" s="269">
        <v>257.48999999999995</v>
      </c>
      <c r="CE90" s="370">
        <v>257</v>
      </c>
      <c r="CF90" s="374">
        <f t="shared" si="220"/>
        <v>257</v>
      </c>
      <c r="CG90" s="370">
        <v>257</v>
      </c>
      <c r="CH90" s="370">
        <v>257</v>
      </c>
      <c r="CI90" s="376">
        <f t="shared" si="226"/>
        <v>257</v>
      </c>
      <c r="CJ90" s="232">
        <f t="shared" si="167"/>
        <v>65.79958011162887</v>
      </c>
      <c r="CK90" s="232">
        <f t="shared" si="168"/>
        <v>65.79958011162887</v>
      </c>
      <c r="CL90" s="218"/>
    </row>
    <row r="91" spans="1:90" s="146" customFormat="1" ht="15" hidden="1">
      <c r="A91" s="78" t="s">
        <v>104</v>
      </c>
      <c r="B91" s="83" t="s">
        <v>109</v>
      </c>
      <c r="C91" s="78" t="s">
        <v>41</v>
      </c>
      <c r="D91" s="103"/>
      <c r="E91" s="248"/>
      <c r="F91" s="248"/>
      <c r="G91" s="248"/>
      <c r="H91" s="248"/>
      <c r="I91" s="248"/>
      <c r="J91" s="248"/>
      <c r="K91" s="248"/>
      <c r="L91" s="248"/>
      <c r="M91" s="248"/>
      <c r="N91" s="248"/>
      <c r="O91" s="248"/>
      <c r="P91" s="248"/>
      <c r="Q91" s="248"/>
      <c r="R91" s="248"/>
      <c r="S91" s="248"/>
      <c r="T91" s="248"/>
      <c r="U91" s="248"/>
      <c r="V91" s="248"/>
      <c r="W91" s="248"/>
      <c r="X91" s="248"/>
      <c r="Y91" s="248"/>
      <c r="Z91" s="248"/>
      <c r="AA91" s="248"/>
      <c r="AB91" s="248"/>
      <c r="AC91" s="248"/>
      <c r="AD91" s="248"/>
      <c r="AE91" s="248"/>
      <c r="AF91" s="248"/>
      <c r="AG91" s="248">
        <v>10462.07</v>
      </c>
      <c r="AH91" s="248">
        <v>11314.91</v>
      </c>
      <c r="AI91" s="248"/>
      <c r="AJ91" s="135"/>
      <c r="AK91" s="135"/>
      <c r="AL91" s="135"/>
      <c r="AM91" s="135"/>
      <c r="AN91" s="135"/>
      <c r="AO91" s="135"/>
      <c r="AP91" s="135"/>
      <c r="AQ91" s="135"/>
      <c r="AR91" s="135"/>
      <c r="AS91" s="135"/>
      <c r="AT91" s="135"/>
      <c r="AU91" s="135"/>
      <c r="AV91" s="135"/>
      <c r="AW91" s="135"/>
      <c r="AX91" s="248"/>
      <c r="AY91" s="248"/>
      <c r="AZ91" s="248"/>
      <c r="BA91" s="248"/>
      <c r="BB91" s="248"/>
      <c r="BC91" s="248"/>
      <c r="BD91" s="248"/>
      <c r="BE91" s="103"/>
      <c r="BF91" s="103"/>
      <c r="BG91" s="103"/>
      <c r="BH91" s="103"/>
      <c r="BI91" s="103"/>
      <c r="BJ91" s="103"/>
      <c r="BK91" s="103"/>
      <c r="BL91" s="103"/>
      <c r="BM91" s="248"/>
      <c r="BN91" s="103"/>
      <c r="BO91" s="103"/>
      <c r="BP91" s="103"/>
      <c r="BQ91" s="103"/>
      <c r="BR91" s="103"/>
      <c r="BS91" s="103"/>
      <c r="BT91" s="103"/>
      <c r="BU91" s="103"/>
      <c r="BV91" s="103"/>
      <c r="BW91" s="103"/>
      <c r="BX91" s="103"/>
      <c r="BY91" s="103"/>
      <c r="BZ91" s="103"/>
      <c r="CA91" s="103"/>
      <c r="CB91" s="35">
        <f t="shared" si="166"/>
        <v>0</v>
      </c>
      <c r="CC91" s="35"/>
      <c r="CD91" s="218"/>
      <c r="CE91" s="370"/>
      <c r="CF91" s="374">
        <f t="shared" si="220"/>
        <v>0</v>
      </c>
      <c r="CG91" s="370"/>
      <c r="CH91" s="370"/>
      <c r="CI91" s="376">
        <f t="shared" si="226"/>
        <v>0</v>
      </c>
      <c r="CJ91" s="232" t="e">
        <f t="shared" si="167"/>
        <v>#DIV/0!</v>
      </c>
      <c r="CK91" s="232" t="e">
        <f t="shared" si="168"/>
        <v>#DIV/0!</v>
      </c>
      <c r="CL91" s="218"/>
    </row>
    <row r="92" spans="1:90" s="146" customFormat="1" ht="15" hidden="1">
      <c r="A92" s="78"/>
      <c r="B92" s="83" t="s">
        <v>110</v>
      </c>
      <c r="C92" s="78" t="s">
        <v>41</v>
      </c>
      <c r="D92" s="103"/>
      <c r="E92" s="248"/>
      <c r="F92" s="248"/>
      <c r="G92" s="248"/>
      <c r="H92" s="248"/>
      <c r="I92" s="248"/>
      <c r="J92" s="248"/>
      <c r="K92" s="248"/>
      <c r="L92" s="248"/>
      <c r="M92" s="248"/>
      <c r="N92" s="248"/>
      <c r="O92" s="248"/>
      <c r="P92" s="248"/>
      <c r="Q92" s="248"/>
      <c r="R92" s="248"/>
      <c r="S92" s="248"/>
      <c r="T92" s="248"/>
      <c r="U92" s="248"/>
      <c r="V92" s="248"/>
      <c r="W92" s="248"/>
      <c r="X92" s="248"/>
      <c r="Y92" s="248"/>
      <c r="Z92" s="248"/>
      <c r="AA92" s="248"/>
      <c r="AB92" s="248"/>
      <c r="AC92" s="248"/>
      <c r="AD92" s="248"/>
      <c r="AE92" s="248"/>
      <c r="AF92" s="248"/>
      <c r="AG92" s="248"/>
      <c r="AH92" s="248"/>
      <c r="AI92" s="248"/>
      <c r="AJ92" s="135"/>
      <c r="AK92" s="135"/>
      <c r="AL92" s="135"/>
      <c r="AM92" s="135"/>
      <c r="AN92" s="135"/>
      <c r="AO92" s="135"/>
      <c r="AP92" s="135"/>
      <c r="AQ92" s="135"/>
      <c r="AR92" s="135"/>
      <c r="AS92" s="135"/>
      <c r="AT92" s="135"/>
      <c r="AU92" s="135"/>
      <c r="AV92" s="135"/>
      <c r="AW92" s="135"/>
      <c r="AX92" s="248"/>
      <c r="AY92" s="248"/>
      <c r="AZ92" s="248"/>
      <c r="BA92" s="248"/>
      <c r="BB92" s="248"/>
      <c r="BC92" s="248"/>
      <c r="BD92" s="248"/>
      <c r="BE92" s="103"/>
      <c r="BF92" s="103"/>
      <c r="BG92" s="103"/>
      <c r="BH92" s="103"/>
      <c r="BI92" s="103"/>
      <c r="BJ92" s="103"/>
      <c r="BK92" s="103"/>
      <c r="BL92" s="103"/>
      <c r="BM92" s="248"/>
      <c r="BN92" s="103"/>
      <c r="BO92" s="103"/>
      <c r="BP92" s="103"/>
      <c r="BQ92" s="103"/>
      <c r="BR92" s="103"/>
      <c r="BS92" s="103"/>
      <c r="BT92" s="103"/>
      <c r="BU92" s="103"/>
      <c r="BV92" s="103"/>
      <c r="BW92" s="103"/>
      <c r="BX92" s="103"/>
      <c r="BY92" s="103"/>
      <c r="BZ92" s="103"/>
      <c r="CA92" s="103"/>
      <c r="CB92" s="35">
        <f t="shared" si="166"/>
        <v>0</v>
      </c>
      <c r="CC92" s="35"/>
      <c r="CD92" s="218"/>
      <c r="CE92" s="370"/>
      <c r="CF92" s="374">
        <f t="shared" si="220"/>
        <v>0</v>
      </c>
      <c r="CG92" s="370"/>
      <c r="CH92" s="370"/>
      <c r="CI92" s="376">
        <f t="shared" si="226"/>
        <v>0</v>
      </c>
      <c r="CJ92" s="232" t="e">
        <f t="shared" si="167"/>
        <v>#DIV/0!</v>
      </c>
      <c r="CK92" s="232" t="e">
        <f t="shared" si="168"/>
        <v>#DIV/0!</v>
      </c>
      <c r="CL92" s="218"/>
    </row>
    <row r="93" spans="1:90" s="146" customFormat="1" ht="15" hidden="1">
      <c r="A93" s="78"/>
      <c r="B93" s="83" t="s">
        <v>111</v>
      </c>
      <c r="C93" s="78" t="s">
        <v>41</v>
      </c>
      <c r="D93" s="103"/>
      <c r="E93" s="248"/>
      <c r="F93" s="248"/>
      <c r="G93" s="248"/>
      <c r="H93" s="248"/>
      <c r="I93" s="248"/>
      <c r="J93" s="248"/>
      <c r="K93" s="248"/>
      <c r="L93" s="248"/>
      <c r="M93" s="248"/>
      <c r="N93" s="248"/>
      <c r="O93" s="248"/>
      <c r="P93" s="248"/>
      <c r="Q93" s="248"/>
      <c r="R93" s="248"/>
      <c r="S93" s="248"/>
      <c r="T93" s="248"/>
      <c r="U93" s="248"/>
      <c r="V93" s="248"/>
      <c r="W93" s="248"/>
      <c r="X93" s="248"/>
      <c r="Y93" s="248"/>
      <c r="Z93" s="248"/>
      <c r="AA93" s="248"/>
      <c r="AB93" s="248"/>
      <c r="AC93" s="248"/>
      <c r="AD93" s="248"/>
      <c r="AE93" s="248"/>
      <c r="AF93" s="248"/>
      <c r="AG93" s="248"/>
      <c r="AH93" s="248"/>
      <c r="AI93" s="248"/>
      <c r="AJ93" s="135"/>
      <c r="AK93" s="135"/>
      <c r="AL93" s="135"/>
      <c r="AM93" s="135"/>
      <c r="AN93" s="135"/>
      <c r="AO93" s="135"/>
      <c r="AP93" s="135"/>
      <c r="AQ93" s="135"/>
      <c r="AR93" s="135"/>
      <c r="AS93" s="135"/>
      <c r="AT93" s="135"/>
      <c r="AU93" s="135"/>
      <c r="AV93" s="135"/>
      <c r="AW93" s="135"/>
      <c r="AX93" s="248"/>
      <c r="AY93" s="248"/>
      <c r="AZ93" s="248"/>
      <c r="BA93" s="248"/>
      <c r="BB93" s="248"/>
      <c r="BC93" s="248"/>
      <c r="BD93" s="248"/>
      <c r="BE93" s="103"/>
      <c r="BF93" s="103"/>
      <c r="BG93" s="103"/>
      <c r="BH93" s="103"/>
      <c r="BI93" s="103"/>
      <c r="BJ93" s="103"/>
      <c r="BK93" s="103"/>
      <c r="BL93" s="103"/>
      <c r="BM93" s="248"/>
      <c r="BN93" s="103"/>
      <c r="BO93" s="103"/>
      <c r="BP93" s="103"/>
      <c r="BQ93" s="103"/>
      <c r="BR93" s="103"/>
      <c r="BS93" s="103"/>
      <c r="BT93" s="103"/>
      <c r="BU93" s="103"/>
      <c r="BV93" s="103"/>
      <c r="BW93" s="103"/>
      <c r="BX93" s="103"/>
      <c r="BY93" s="103"/>
      <c r="BZ93" s="103"/>
      <c r="CA93" s="103"/>
      <c r="CB93" s="35">
        <f t="shared" si="166"/>
        <v>0</v>
      </c>
      <c r="CC93" s="35"/>
      <c r="CD93" s="218"/>
      <c r="CE93" s="370"/>
      <c r="CF93" s="374">
        <f t="shared" si="220"/>
        <v>0</v>
      </c>
      <c r="CG93" s="370"/>
      <c r="CH93" s="370"/>
      <c r="CI93" s="376">
        <f t="shared" si="226"/>
        <v>0</v>
      </c>
      <c r="CJ93" s="232" t="e">
        <f t="shared" si="167"/>
        <v>#DIV/0!</v>
      </c>
      <c r="CK93" s="232" t="e">
        <f t="shared" si="168"/>
        <v>#DIV/0!</v>
      </c>
      <c r="CL93" s="218"/>
    </row>
    <row r="94" spans="1:90" s="146" customFormat="1" ht="15" hidden="1">
      <c r="A94" s="78" t="s">
        <v>112</v>
      </c>
      <c r="B94" s="83" t="s">
        <v>113</v>
      </c>
      <c r="C94" s="78" t="s">
        <v>41</v>
      </c>
      <c r="D94" s="103"/>
      <c r="E94" s="248"/>
      <c r="F94" s="248"/>
      <c r="G94" s="248"/>
      <c r="H94" s="248"/>
      <c r="I94" s="248"/>
      <c r="J94" s="248"/>
      <c r="K94" s="248"/>
      <c r="L94" s="248"/>
      <c r="M94" s="248"/>
      <c r="N94" s="248"/>
      <c r="O94" s="248"/>
      <c r="P94" s="248"/>
      <c r="Q94" s="248"/>
      <c r="R94" s="248"/>
      <c r="S94" s="248"/>
      <c r="T94" s="248"/>
      <c r="U94" s="248"/>
      <c r="V94" s="248"/>
      <c r="W94" s="248"/>
      <c r="X94" s="248"/>
      <c r="Y94" s="248"/>
      <c r="Z94" s="248"/>
      <c r="AA94" s="248"/>
      <c r="AB94" s="248"/>
      <c r="AC94" s="248"/>
      <c r="AD94" s="248"/>
      <c r="AE94" s="248"/>
      <c r="AF94" s="248"/>
      <c r="AG94" s="248"/>
      <c r="AH94" s="248"/>
      <c r="AI94" s="248"/>
      <c r="AJ94" s="135"/>
      <c r="AK94" s="135"/>
      <c r="AL94" s="135"/>
      <c r="AM94" s="135"/>
      <c r="AN94" s="135"/>
      <c r="AO94" s="135"/>
      <c r="AP94" s="135"/>
      <c r="AQ94" s="135"/>
      <c r="AR94" s="135"/>
      <c r="AS94" s="135"/>
      <c r="AT94" s="135"/>
      <c r="AU94" s="135"/>
      <c r="AV94" s="135"/>
      <c r="AW94" s="135"/>
      <c r="AX94" s="248"/>
      <c r="AY94" s="248"/>
      <c r="AZ94" s="248"/>
      <c r="BA94" s="248"/>
      <c r="BB94" s="248"/>
      <c r="BC94" s="248"/>
      <c r="BD94" s="248"/>
      <c r="BE94" s="103"/>
      <c r="BF94" s="103"/>
      <c r="BG94" s="103"/>
      <c r="BH94" s="103"/>
      <c r="BI94" s="103"/>
      <c r="BJ94" s="103"/>
      <c r="BK94" s="103"/>
      <c r="BL94" s="103"/>
      <c r="BM94" s="248"/>
      <c r="BN94" s="103"/>
      <c r="BO94" s="103"/>
      <c r="BP94" s="103"/>
      <c r="BQ94" s="103"/>
      <c r="BR94" s="103"/>
      <c r="BS94" s="103"/>
      <c r="BT94" s="103"/>
      <c r="BU94" s="103"/>
      <c r="BV94" s="103"/>
      <c r="BW94" s="103"/>
      <c r="BX94" s="103"/>
      <c r="BY94" s="103"/>
      <c r="BZ94" s="103"/>
      <c r="CA94" s="103"/>
      <c r="CB94" s="35">
        <f t="shared" si="166"/>
        <v>0</v>
      </c>
      <c r="CC94" s="35"/>
      <c r="CD94" s="218"/>
      <c r="CE94" s="370"/>
      <c r="CF94" s="374">
        <f t="shared" si="220"/>
        <v>0</v>
      </c>
      <c r="CG94" s="370"/>
      <c r="CH94" s="370"/>
      <c r="CI94" s="376">
        <f t="shared" si="226"/>
        <v>0</v>
      </c>
      <c r="CJ94" s="232" t="e">
        <f t="shared" si="167"/>
        <v>#DIV/0!</v>
      </c>
      <c r="CK94" s="232" t="e">
        <f t="shared" si="168"/>
        <v>#DIV/0!</v>
      </c>
      <c r="CL94" s="218"/>
    </row>
    <row r="95" spans="1:90" s="146" customFormat="1" ht="15" hidden="1">
      <c r="A95" s="78"/>
      <c r="B95" s="83" t="s">
        <v>110</v>
      </c>
      <c r="C95" s="78" t="s">
        <v>41</v>
      </c>
      <c r="D95" s="103"/>
      <c r="E95" s="248"/>
      <c r="F95" s="248"/>
      <c r="G95" s="248"/>
      <c r="H95" s="248"/>
      <c r="I95" s="248"/>
      <c r="J95" s="248"/>
      <c r="K95" s="248"/>
      <c r="L95" s="248"/>
      <c r="M95" s="248"/>
      <c r="N95" s="248"/>
      <c r="O95" s="248"/>
      <c r="P95" s="248"/>
      <c r="Q95" s="248"/>
      <c r="R95" s="248"/>
      <c r="S95" s="248"/>
      <c r="T95" s="248"/>
      <c r="U95" s="248"/>
      <c r="V95" s="248"/>
      <c r="W95" s="248"/>
      <c r="X95" s="248"/>
      <c r="Y95" s="248"/>
      <c r="Z95" s="248"/>
      <c r="AA95" s="248"/>
      <c r="AB95" s="248"/>
      <c r="AC95" s="248"/>
      <c r="AD95" s="248"/>
      <c r="AE95" s="248"/>
      <c r="AF95" s="248"/>
      <c r="AG95" s="248"/>
      <c r="AH95" s="248"/>
      <c r="AI95" s="248"/>
      <c r="AJ95" s="135"/>
      <c r="AK95" s="135"/>
      <c r="AL95" s="135"/>
      <c r="AM95" s="135"/>
      <c r="AN95" s="135"/>
      <c r="AO95" s="135"/>
      <c r="AP95" s="135"/>
      <c r="AQ95" s="135"/>
      <c r="AR95" s="135"/>
      <c r="AS95" s="135"/>
      <c r="AT95" s="135"/>
      <c r="AU95" s="135"/>
      <c r="AV95" s="135"/>
      <c r="AW95" s="135"/>
      <c r="AX95" s="248"/>
      <c r="AY95" s="248"/>
      <c r="AZ95" s="248"/>
      <c r="BA95" s="248"/>
      <c r="BB95" s="248"/>
      <c r="BC95" s="248"/>
      <c r="BD95" s="248"/>
      <c r="BE95" s="103"/>
      <c r="BF95" s="103"/>
      <c r="BG95" s="103"/>
      <c r="BH95" s="103"/>
      <c r="BI95" s="103"/>
      <c r="BJ95" s="103"/>
      <c r="BK95" s="103"/>
      <c r="BL95" s="103"/>
      <c r="BM95" s="248"/>
      <c r="BN95" s="103"/>
      <c r="BO95" s="103"/>
      <c r="BP95" s="103"/>
      <c r="BQ95" s="103"/>
      <c r="BR95" s="103"/>
      <c r="BS95" s="103"/>
      <c r="BT95" s="103"/>
      <c r="BU95" s="103"/>
      <c r="BV95" s="103"/>
      <c r="BW95" s="103"/>
      <c r="BX95" s="103"/>
      <c r="BY95" s="103"/>
      <c r="BZ95" s="103"/>
      <c r="CA95" s="103"/>
      <c r="CB95" s="35">
        <f t="shared" si="166"/>
        <v>0</v>
      </c>
      <c r="CC95" s="35"/>
      <c r="CD95" s="218"/>
      <c r="CE95" s="370"/>
      <c r="CF95" s="374">
        <f t="shared" si="220"/>
        <v>0</v>
      </c>
      <c r="CG95" s="370"/>
      <c r="CH95" s="370"/>
      <c r="CI95" s="376">
        <f t="shared" si="226"/>
        <v>0</v>
      </c>
      <c r="CJ95" s="232" t="e">
        <f t="shared" si="167"/>
        <v>#DIV/0!</v>
      </c>
      <c r="CK95" s="232" t="e">
        <f t="shared" si="168"/>
        <v>#DIV/0!</v>
      </c>
      <c r="CL95" s="218"/>
    </row>
    <row r="96" spans="1:90" s="146" customFormat="1" ht="15" hidden="1">
      <c r="A96" s="78"/>
      <c r="B96" s="83" t="s">
        <v>111</v>
      </c>
      <c r="C96" s="78" t="s">
        <v>41</v>
      </c>
      <c r="D96" s="103"/>
      <c r="E96" s="248"/>
      <c r="F96" s="248"/>
      <c r="G96" s="248"/>
      <c r="H96" s="248"/>
      <c r="I96" s="248"/>
      <c r="J96" s="248"/>
      <c r="K96" s="248"/>
      <c r="L96" s="248"/>
      <c r="M96" s="248"/>
      <c r="N96" s="248"/>
      <c r="O96" s="248"/>
      <c r="P96" s="248"/>
      <c r="Q96" s="248"/>
      <c r="R96" s="248"/>
      <c r="S96" s="248"/>
      <c r="T96" s="248"/>
      <c r="U96" s="248"/>
      <c r="V96" s="248"/>
      <c r="W96" s="248"/>
      <c r="X96" s="248"/>
      <c r="Y96" s="248"/>
      <c r="Z96" s="248"/>
      <c r="AA96" s="248"/>
      <c r="AB96" s="248"/>
      <c r="AC96" s="248"/>
      <c r="AD96" s="248"/>
      <c r="AE96" s="248"/>
      <c r="AF96" s="248"/>
      <c r="AG96" s="248"/>
      <c r="AH96" s="248"/>
      <c r="AI96" s="248"/>
      <c r="AJ96" s="135"/>
      <c r="AK96" s="135"/>
      <c r="AL96" s="135"/>
      <c r="AM96" s="135"/>
      <c r="AN96" s="135"/>
      <c r="AO96" s="135"/>
      <c r="AP96" s="135"/>
      <c r="AQ96" s="135"/>
      <c r="AR96" s="135"/>
      <c r="AS96" s="135"/>
      <c r="AT96" s="135"/>
      <c r="AU96" s="135"/>
      <c r="AV96" s="135"/>
      <c r="AW96" s="135"/>
      <c r="AX96" s="248"/>
      <c r="AY96" s="248"/>
      <c r="AZ96" s="248"/>
      <c r="BA96" s="248"/>
      <c r="BB96" s="248"/>
      <c r="BC96" s="248"/>
      <c r="BD96" s="248"/>
      <c r="BE96" s="103"/>
      <c r="BF96" s="103"/>
      <c r="BG96" s="103"/>
      <c r="BH96" s="103"/>
      <c r="BI96" s="103"/>
      <c r="BJ96" s="103"/>
      <c r="BK96" s="103"/>
      <c r="BL96" s="103"/>
      <c r="BM96" s="248"/>
      <c r="BN96" s="103"/>
      <c r="BO96" s="103"/>
      <c r="BP96" s="103"/>
      <c r="BQ96" s="103"/>
      <c r="BR96" s="103"/>
      <c r="BS96" s="103"/>
      <c r="BT96" s="103"/>
      <c r="BU96" s="103"/>
      <c r="BV96" s="103"/>
      <c r="BW96" s="103"/>
      <c r="BX96" s="103"/>
      <c r="BY96" s="103"/>
      <c r="BZ96" s="103"/>
      <c r="CA96" s="103"/>
      <c r="CB96" s="35">
        <f t="shared" si="166"/>
        <v>0</v>
      </c>
      <c r="CC96" s="35"/>
      <c r="CD96" s="218"/>
      <c r="CE96" s="370"/>
      <c r="CF96" s="374">
        <f t="shared" si="220"/>
        <v>0</v>
      </c>
      <c r="CG96" s="370"/>
      <c r="CH96" s="370"/>
      <c r="CI96" s="376">
        <f t="shared" si="226"/>
        <v>0</v>
      </c>
      <c r="CJ96" s="232" t="e">
        <f t="shared" si="167"/>
        <v>#DIV/0!</v>
      </c>
      <c r="CK96" s="232" t="e">
        <f t="shared" si="168"/>
        <v>#DIV/0!</v>
      </c>
      <c r="CL96" s="218"/>
    </row>
    <row r="97" spans="1:91" s="146" customFormat="1" ht="15">
      <c r="A97" s="78" t="s">
        <v>104</v>
      </c>
      <c r="B97" s="83" t="s">
        <v>114</v>
      </c>
      <c r="C97" s="78" t="s">
        <v>41</v>
      </c>
      <c r="D97" s="35">
        <f>[1]B2NN!$K$88</f>
        <v>400.7</v>
      </c>
      <c r="E97" s="186">
        <f>SUM(F97:S97)</f>
        <v>400.7</v>
      </c>
      <c r="F97" s="186"/>
      <c r="G97" s="186"/>
      <c r="H97" s="186"/>
      <c r="I97" s="186">
        <v>400.7</v>
      </c>
      <c r="J97" s="186"/>
      <c r="K97" s="186"/>
      <c r="L97" s="186"/>
      <c r="M97" s="186"/>
      <c r="N97" s="186"/>
      <c r="O97" s="186"/>
      <c r="P97" s="186"/>
      <c r="Q97" s="186"/>
      <c r="R97" s="186"/>
      <c r="S97" s="186"/>
      <c r="T97" s="186">
        <f>SUM(U97:AH97)</f>
        <v>400.7</v>
      </c>
      <c r="U97" s="186"/>
      <c r="V97" s="186"/>
      <c r="W97" s="186"/>
      <c r="X97" s="186">
        <v>400.7</v>
      </c>
      <c r="Y97" s="186"/>
      <c r="Z97" s="186"/>
      <c r="AA97" s="186"/>
      <c r="AB97" s="186"/>
      <c r="AC97" s="186"/>
      <c r="AD97" s="186"/>
      <c r="AE97" s="186"/>
      <c r="AF97" s="186"/>
      <c r="AG97" s="186"/>
      <c r="AH97" s="186"/>
      <c r="AI97" s="186">
        <f>SUM(AJ97:AW97)</f>
        <v>400.7</v>
      </c>
      <c r="AJ97" s="135"/>
      <c r="AK97" s="135"/>
      <c r="AL97" s="135"/>
      <c r="AM97" s="135">
        <v>400.7</v>
      </c>
      <c r="AN97" s="135"/>
      <c r="AO97" s="135"/>
      <c r="AP97" s="135"/>
      <c r="AQ97" s="135"/>
      <c r="AR97" s="135"/>
      <c r="AS97" s="135"/>
      <c r="AT97" s="135"/>
      <c r="AU97" s="135"/>
      <c r="AV97" s="135"/>
      <c r="AW97" s="135"/>
      <c r="AX97" s="186">
        <f>SUM(AY97:BL97)</f>
        <v>400.7</v>
      </c>
      <c r="AY97" s="186"/>
      <c r="AZ97" s="186"/>
      <c r="BA97" s="186"/>
      <c r="BB97" s="186">
        <v>400.7</v>
      </c>
      <c r="BC97" s="186"/>
      <c r="BD97" s="186"/>
      <c r="BE97" s="35"/>
      <c r="BF97" s="35"/>
      <c r="BG97" s="35"/>
      <c r="BH97" s="35"/>
      <c r="BI97" s="35"/>
      <c r="BJ97" s="35"/>
      <c r="BK97" s="35"/>
      <c r="BL97" s="35"/>
      <c r="BM97" s="186">
        <f>SUM(BN97:CA97)</f>
        <v>400.7</v>
      </c>
      <c r="BN97" s="35"/>
      <c r="BO97" s="35"/>
      <c r="BP97" s="35"/>
      <c r="BQ97" s="35">
        <v>400.7</v>
      </c>
      <c r="BR97" s="35"/>
      <c r="BS97" s="35"/>
      <c r="BT97" s="35"/>
      <c r="BU97" s="35"/>
      <c r="BV97" s="35"/>
      <c r="BW97" s="35"/>
      <c r="BX97" s="35"/>
      <c r="BY97" s="35"/>
      <c r="BZ97" s="35"/>
      <c r="CA97" s="35"/>
      <c r="CB97" s="35">
        <f t="shared" si="166"/>
        <v>400.7</v>
      </c>
      <c r="CC97" s="35">
        <f>+CC98+CC101+CC102+CC103</f>
        <v>459.79999999999995</v>
      </c>
      <c r="CD97" s="35">
        <v>396</v>
      </c>
      <c r="CE97" s="370">
        <v>396</v>
      </c>
      <c r="CF97" s="374">
        <f t="shared" si="220"/>
        <v>396</v>
      </c>
      <c r="CG97" s="370">
        <v>396</v>
      </c>
      <c r="CH97" s="370">
        <v>396</v>
      </c>
      <c r="CI97" s="376">
        <f t="shared" si="226"/>
        <v>396</v>
      </c>
      <c r="CJ97" s="232">
        <f t="shared" si="167"/>
        <v>98.827052657848768</v>
      </c>
      <c r="CK97" s="232">
        <f t="shared" si="168"/>
        <v>98.827052657848768</v>
      </c>
      <c r="CL97" s="218"/>
      <c r="CM97" s="380"/>
    </row>
    <row r="98" spans="1:91" s="16" customFormat="1" ht="15">
      <c r="A98" s="270" t="s">
        <v>112</v>
      </c>
      <c r="B98" s="86" t="s">
        <v>644</v>
      </c>
      <c r="C98" s="85" t="s">
        <v>41</v>
      </c>
      <c r="D98" s="271">
        <f>D99+D101+D102+D103</f>
        <v>1370.9900000000002</v>
      </c>
      <c r="E98" s="271">
        <f>E99+E101+E102+E103</f>
        <v>500</v>
      </c>
      <c r="F98" s="271">
        <f t="shared" ref="F98:S98" si="231">F99+F101+F102+F103</f>
        <v>15</v>
      </c>
      <c r="G98" s="271">
        <f t="shared" si="231"/>
        <v>25</v>
      </c>
      <c r="H98" s="271">
        <f t="shared" si="231"/>
        <v>35</v>
      </c>
      <c r="I98" s="271">
        <f t="shared" si="231"/>
        <v>80</v>
      </c>
      <c r="J98" s="271">
        <f t="shared" si="231"/>
        <v>25</v>
      </c>
      <c r="K98" s="271">
        <f t="shared" si="231"/>
        <v>40</v>
      </c>
      <c r="L98" s="271">
        <f t="shared" si="231"/>
        <v>0</v>
      </c>
      <c r="M98" s="271">
        <f t="shared" si="231"/>
        <v>0</v>
      </c>
      <c r="N98" s="271">
        <f t="shared" si="231"/>
        <v>250</v>
      </c>
      <c r="O98" s="271">
        <f t="shared" si="231"/>
        <v>0</v>
      </c>
      <c r="P98" s="271">
        <f t="shared" si="231"/>
        <v>0</v>
      </c>
      <c r="Q98" s="271">
        <f t="shared" si="231"/>
        <v>0</v>
      </c>
      <c r="R98" s="271">
        <f t="shared" si="231"/>
        <v>30</v>
      </c>
      <c r="S98" s="271">
        <f t="shared" si="231"/>
        <v>0</v>
      </c>
      <c r="T98" s="271">
        <f t="shared" ref="T98" si="232">T99+T101+T102+T103</f>
        <v>200</v>
      </c>
      <c r="U98" s="271">
        <f t="shared" ref="U98" si="233">U99+U101+U102+U103</f>
        <v>10</v>
      </c>
      <c r="V98" s="271">
        <f t="shared" ref="V98" si="234">V99+V101+V102+V103</f>
        <v>10</v>
      </c>
      <c r="W98" s="271">
        <f t="shared" ref="W98" si="235">W99+W101+W102+W103</f>
        <v>10</v>
      </c>
      <c r="X98" s="271">
        <f t="shared" ref="X98" si="236">X99+X101+X102+X103</f>
        <v>10</v>
      </c>
      <c r="Y98" s="271">
        <f t="shared" ref="Y98" si="237">Y99+Y101+Y102+Y103</f>
        <v>10</v>
      </c>
      <c r="Z98" s="271">
        <f t="shared" ref="Z98" si="238">Z99+Z101+Z102+Z103</f>
        <v>20</v>
      </c>
      <c r="AA98" s="271">
        <f t="shared" ref="AA98" si="239">AA99+AA101+AA102+AA103</f>
        <v>0</v>
      </c>
      <c r="AB98" s="271">
        <f t="shared" ref="AB98" si="240">AB99+AB101+AB102+AB103</f>
        <v>0</v>
      </c>
      <c r="AC98" s="271">
        <f t="shared" ref="AC98" si="241">AC99+AC101+AC102+AC103</f>
        <v>120</v>
      </c>
      <c r="AD98" s="271">
        <f t="shared" ref="AD98" si="242">AD99+AD101+AD102+AD103</f>
        <v>0</v>
      </c>
      <c r="AE98" s="271">
        <f t="shared" ref="AE98" si="243">AE99+AE101+AE102+AE103</f>
        <v>0</v>
      </c>
      <c r="AF98" s="271">
        <f t="shared" ref="AF98" si="244">AF99+AF101+AF102+AF103</f>
        <v>0</v>
      </c>
      <c r="AG98" s="271">
        <f t="shared" ref="AG98" si="245">AG99+AG101+AG102+AG103</f>
        <v>10</v>
      </c>
      <c r="AH98" s="271">
        <f t="shared" ref="AH98" si="246">AH99+AH101+AH102+AH103</f>
        <v>0</v>
      </c>
      <c r="AI98" s="271">
        <f t="shared" ref="AI98" si="247">AI99+AI101+AI102+AI103</f>
        <v>200</v>
      </c>
      <c r="AJ98" s="271">
        <f t="shared" ref="AJ98" si="248">AJ99+AJ101+AJ102+AJ103</f>
        <v>10</v>
      </c>
      <c r="AK98" s="271">
        <f t="shared" ref="AK98" si="249">AK99+AK101+AK102+AK103</f>
        <v>10</v>
      </c>
      <c r="AL98" s="271">
        <f t="shared" ref="AL98" si="250">AL99+AL101+AL102+AL103</f>
        <v>10</v>
      </c>
      <c r="AM98" s="271">
        <f t="shared" ref="AM98" si="251">AM99+AM101+AM102+AM103</f>
        <v>10</v>
      </c>
      <c r="AN98" s="271">
        <f t="shared" ref="AN98" si="252">AN99+AN101+AN102+AN103</f>
        <v>10</v>
      </c>
      <c r="AO98" s="271">
        <f t="shared" ref="AO98" si="253">AO99+AO101+AO102+AO103</f>
        <v>20</v>
      </c>
      <c r="AP98" s="271">
        <f t="shared" ref="AP98" si="254">AP99+AP101+AP102+AP103</f>
        <v>0</v>
      </c>
      <c r="AQ98" s="271">
        <f t="shared" ref="AQ98" si="255">AQ99+AQ101+AQ102+AQ103</f>
        <v>0</v>
      </c>
      <c r="AR98" s="271">
        <f t="shared" ref="AR98" si="256">AR99+AR101+AR102+AR103</f>
        <v>120</v>
      </c>
      <c r="AS98" s="271">
        <f t="shared" ref="AS98" si="257">AS99+AS101+AS102+AS103</f>
        <v>0</v>
      </c>
      <c r="AT98" s="271">
        <f t="shared" ref="AT98" si="258">AT99+AT101+AT102+AT103</f>
        <v>0</v>
      </c>
      <c r="AU98" s="271">
        <f t="shared" ref="AU98" si="259">AU99+AU101+AU102+AU103</f>
        <v>0</v>
      </c>
      <c r="AV98" s="271">
        <f t="shared" ref="AV98" si="260">AV99+AV101+AV102+AV103</f>
        <v>10</v>
      </c>
      <c r="AW98" s="271">
        <f t="shared" ref="AW98" si="261">AW99+AW101+AW102+AW103</f>
        <v>0</v>
      </c>
      <c r="AX98" s="271">
        <f t="shared" ref="AX98" si="262">AX99+AX101+AX102+AX103</f>
        <v>200</v>
      </c>
      <c r="AY98" s="271">
        <f t="shared" ref="AY98" si="263">AY99+AY101+AY102+AY103</f>
        <v>10</v>
      </c>
      <c r="AZ98" s="271">
        <f t="shared" ref="AZ98" si="264">AZ99+AZ101+AZ102+AZ103</f>
        <v>10</v>
      </c>
      <c r="BA98" s="271">
        <f t="shared" ref="BA98" si="265">BA99+BA101+BA102+BA103</f>
        <v>10</v>
      </c>
      <c r="BB98" s="271">
        <f t="shared" ref="BB98" si="266">BB99+BB101+BB102+BB103</f>
        <v>10</v>
      </c>
      <c r="BC98" s="271">
        <f t="shared" ref="BC98" si="267">BC99+BC101+BC102+BC103</f>
        <v>10</v>
      </c>
      <c r="BD98" s="271">
        <f t="shared" ref="BD98" si="268">BD99+BD101+BD102+BD103</f>
        <v>20</v>
      </c>
      <c r="BE98" s="271">
        <f t="shared" ref="BE98" si="269">BE99+BE101+BE102+BE103</f>
        <v>0</v>
      </c>
      <c r="BF98" s="271">
        <f t="shared" ref="BF98" si="270">BF99+BF101+BF102+BF103</f>
        <v>0</v>
      </c>
      <c r="BG98" s="271">
        <f t="shared" ref="BG98" si="271">BG99+BG101+BG102+BG103</f>
        <v>120</v>
      </c>
      <c r="BH98" s="271">
        <f t="shared" ref="BH98" si="272">BH99+BH101+BH102+BH103</f>
        <v>0</v>
      </c>
      <c r="BI98" s="271">
        <f t="shared" ref="BI98" si="273">BI99+BI101+BI102+BI103</f>
        <v>0</v>
      </c>
      <c r="BJ98" s="271">
        <f t="shared" ref="BJ98" si="274">BJ99+BJ101+BJ102+BJ103</f>
        <v>0</v>
      </c>
      <c r="BK98" s="271">
        <f t="shared" ref="BK98" si="275">BK99+BK101+BK102+BK103</f>
        <v>10</v>
      </c>
      <c r="BL98" s="271">
        <f t="shared" ref="BL98" si="276">BL99+BL101+BL102+BL103</f>
        <v>0</v>
      </c>
      <c r="BM98" s="271">
        <f t="shared" ref="BM98" si="277">BM99+BM101+BM102+BM103</f>
        <v>100</v>
      </c>
      <c r="BN98" s="271">
        <f t="shared" ref="BN98" si="278">BN99+BN101+BN102+BN103</f>
        <v>0</v>
      </c>
      <c r="BO98" s="271">
        <f t="shared" ref="BO98" si="279">BO99+BO101+BO102+BO103</f>
        <v>0</v>
      </c>
      <c r="BP98" s="271">
        <f t="shared" ref="BP98" si="280">BP99+BP101+BP102+BP103</f>
        <v>0</v>
      </c>
      <c r="BQ98" s="271">
        <f t="shared" ref="BQ98" si="281">BQ99+BQ101+BQ102+BQ103</f>
        <v>0</v>
      </c>
      <c r="BR98" s="271">
        <f t="shared" ref="BR98" si="282">BR99+BR101+BR102+BR103</f>
        <v>0</v>
      </c>
      <c r="BS98" s="271">
        <f t="shared" ref="BS98" si="283">BS99+BS101+BS102+BS103</f>
        <v>0</v>
      </c>
      <c r="BT98" s="271">
        <f t="shared" ref="BT98" si="284">BT99+BT101+BT102+BT103</f>
        <v>0</v>
      </c>
      <c r="BU98" s="271">
        <f t="shared" ref="BU98" si="285">BU99+BU101+BU102+BU103</f>
        <v>0</v>
      </c>
      <c r="BV98" s="271">
        <f t="shared" ref="BV98" si="286">BV99+BV101+BV102+BV103</f>
        <v>0</v>
      </c>
      <c r="BW98" s="271">
        <f t="shared" ref="BW98" si="287">BW99+BW101+BW102+BW103</f>
        <v>0</v>
      </c>
      <c r="BX98" s="271">
        <f t="shared" ref="BX98" si="288">BX99+BX101+BX102+BX103</f>
        <v>0</v>
      </c>
      <c r="BY98" s="271">
        <f t="shared" ref="BY98" si="289">BY99+BY101+BY102+BY103</f>
        <v>0</v>
      </c>
      <c r="BZ98" s="271">
        <f t="shared" ref="BZ98" si="290">BZ99+BZ101+BZ102+BZ103</f>
        <v>0</v>
      </c>
      <c r="CA98" s="271">
        <f t="shared" ref="CA98" si="291">CA99+CA101+CA102+CA103</f>
        <v>0</v>
      </c>
      <c r="CB98" s="271">
        <f t="shared" ref="CB98" si="292">CB99+CB101+CB102+CB103</f>
        <v>1150</v>
      </c>
      <c r="CC98" s="271">
        <f>CC99+CC101+CC102++CC103</f>
        <v>410.66999999999996</v>
      </c>
      <c r="CD98" s="271">
        <f t="shared" ref="CD98:CH98" si="293">CD99+CD101+CD102++CD103</f>
        <v>910.10000000000014</v>
      </c>
      <c r="CE98" s="271">
        <f t="shared" si="293"/>
        <v>528.75</v>
      </c>
      <c r="CF98" s="271">
        <f t="shared" si="293"/>
        <v>1849.5200000000002</v>
      </c>
      <c r="CG98" s="271">
        <f t="shared" si="293"/>
        <v>350</v>
      </c>
      <c r="CH98" s="271">
        <f t="shared" si="293"/>
        <v>350</v>
      </c>
      <c r="CI98" s="271">
        <f>CI99+CI101+CI102++CI103</f>
        <v>2549.52</v>
      </c>
      <c r="CJ98" s="232">
        <f t="shared" si="167"/>
        <v>160.82782608695655</v>
      </c>
      <c r="CK98" s="232">
        <f t="shared" si="168"/>
        <v>221.69739130434783</v>
      </c>
      <c r="CL98" s="220"/>
    </row>
    <row r="99" spans="1:91" s="146" customFormat="1" ht="15">
      <c r="A99" s="272" t="s">
        <v>646</v>
      </c>
      <c r="B99" s="83" t="s">
        <v>648</v>
      </c>
      <c r="C99" s="78" t="s">
        <v>41</v>
      </c>
      <c r="D99" s="35">
        <f>D100</f>
        <v>921.33</v>
      </c>
      <c r="E99" s="186">
        <f>E100</f>
        <v>350</v>
      </c>
      <c r="F99" s="186">
        <f t="shared" ref="F99:BM99" si="294">F100</f>
        <v>15</v>
      </c>
      <c r="G99" s="186">
        <f t="shared" si="294"/>
        <v>25</v>
      </c>
      <c r="H99" s="186">
        <f t="shared" si="294"/>
        <v>35</v>
      </c>
      <c r="I99" s="186">
        <f t="shared" si="294"/>
        <v>30</v>
      </c>
      <c r="J99" s="186">
        <f t="shared" si="294"/>
        <v>25</v>
      </c>
      <c r="K99" s="186">
        <f t="shared" si="294"/>
        <v>40</v>
      </c>
      <c r="L99" s="186">
        <f t="shared" si="294"/>
        <v>0</v>
      </c>
      <c r="M99" s="186">
        <f t="shared" si="294"/>
        <v>0</v>
      </c>
      <c r="N99" s="186">
        <f t="shared" si="294"/>
        <v>150</v>
      </c>
      <c r="O99" s="186">
        <f t="shared" si="294"/>
        <v>0</v>
      </c>
      <c r="P99" s="186">
        <f t="shared" si="294"/>
        <v>0</v>
      </c>
      <c r="Q99" s="186">
        <f t="shared" si="294"/>
        <v>0</v>
      </c>
      <c r="R99" s="186">
        <f t="shared" si="294"/>
        <v>30</v>
      </c>
      <c r="S99" s="186">
        <f t="shared" si="294"/>
        <v>0</v>
      </c>
      <c r="T99" s="186">
        <f t="shared" si="294"/>
        <v>200</v>
      </c>
      <c r="U99" s="186">
        <f t="shared" si="294"/>
        <v>10</v>
      </c>
      <c r="V99" s="186">
        <f t="shared" si="294"/>
        <v>10</v>
      </c>
      <c r="W99" s="186">
        <f t="shared" si="294"/>
        <v>10</v>
      </c>
      <c r="X99" s="186">
        <f t="shared" si="294"/>
        <v>10</v>
      </c>
      <c r="Y99" s="186">
        <f t="shared" si="294"/>
        <v>10</v>
      </c>
      <c r="Z99" s="186">
        <f t="shared" si="294"/>
        <v>20</v>
      </c>
      <c r="AA99" s="186">
        <f t="shared" si="294"/>
        <v>0</v>
      </c>
      <c r="AB99" s="186">
        <f t="shared" si="294"/>
        <v>0</v>
      </c>
      <c r="AC99" s="186">
        <f t="shared" si="294"/>
        <v>120</v>
      </c>
      <c r="AD99" s="186">
        <f t="shared" si="294"/>
        <v>0</v>
      </c>
      <c r="AE99" s="186">
        <f t="shared" si="294"/>
        <v>0</v>
      </c>
      <c r="AF99" s="186">
        <f t="shared" si="294"/>
        <v>0</v>
      </c>
      <c r="AG99" s="186">
        <f t="shared" si="294"/>
        <v>10</v>
      </c>
      <c r="AH99" s="186">
        <f t="shared" si="294"/>
        <v>0</v>
      </c>
      <c r="AI99" s="186">
        <f t="shared" si="294"/>
        <v>200</v>
      </c>
      <c r="AJ99" s="186">
        <f t="shared" si="294"/>
        <v>10</v>
      </c>
      <c r="AK99" s="186">
        <f t="shared" si="294"/>
        <v>10</v>
      </c>
      <c r="AL99" s="186">
        <f t="shared" si="294"/>
        <v>10</v>
      </c>
      <c r="AM99" s="186">
        <f t="shared" si="294"/>
        <v>10</v>
      </c>
      <c r="AN99" s="186">
        <f t="shared" si="294"/>
        <v>10</v>
      </c>
      <c r="AO99" s="186">
        <f t="shared" si="294"/>
        <v>20</v>
      </c>
      <c r="AP99" s="186">
        <f t="shared" si="294"/>
        <v>0</v>
      </c>
      <c r="AQ99" s="186">
        <f t="shared" si="294"/>
        <v>0</v>
      </c>
      <c r="AR99" s="186">
        <f t="shared" si="294"/>
        <v>120</v>
      </c>
      <c r="AS99" s="186">
        <f t="shared" si="294"/>
        <v>0</v>
      </c>
      <c r="AT99" s="186">
        <f t="shared" si="294"/>
        <v>0</v>
      </c>
      <c r="AU99" s="186">
        <f t="shared" si="294"/>
        <v>0</v>
      </c>
      <c r="AV99" s="186">
        <f t="shared" si="294"/>
        <v>10</v>
      </c>
      <c r="AW99" s="186">
        <f t="shared" si="294"/>
        <v>0</v>
      </c>
      <c r="AX99" s="186">
        <f t="shared" si="294"/>
        <v>200</v>
      </c>
      <c r="AY99" s="186">
        <f t="shared" si="294"/>
        <v>10</v>
      </c>
      <c r="AZ99" s="186">
        <f t="shared" si="294"/>
        <v>10</v>
      </c>
      <c r="BA99" s="186">
        <f t="shared" si="294"/>
        <v>10</v>
      </c>
      <c r="BB99" s="186">
        <f t="shared" si="294"/>
        <v>10</v>
      </c>
      <c r="BC99" s="186">
        <f t="shared" si="294"/>
        <v>10</v>
      </c>
      <c r="BD99" s="186">
        <f t="shared" si="294"/>
        <v>20</v>
      </c>
      <c r="BE99" s="186">
        <f t="shared" si="294"/>
        <v>0</v>
      </c>
      <c r="BF99" s="186">
        <f t="shared" si="294"/>
        <v>0</v>
      </c>
      <c r="BG99" s="186">
        <f t="shared" si="294"/>
        <v>120</v>
      </c>
      <c r="BH99" s="186">
        <f t="shared" si="294"/>
        <v>0</v>
      </c>
      <c r="BI99" s="186">
        <f t="shared" si="294"/>
        <v>0</v>
      </c>
      <c r="BJ99" s="186">
        <f t="shared" si="294"/>
        <v>0</v>
      </c>
      <c r="BK99" s="186">
        <f t="shared" si="294"/>
        <v>10</v>
      </c>
      <c r="BL99" s="186">
        <f t="shared" si="294"/>
        <v>0</v>
      </c>
      <c r="BM99" s="186">
        <f t="shared" si="294"/>
        <v>100</v>
      </c>
      <c r="BN99" s="35"/>
      <c r="BO99" s="35"/>
      <c r="BP99" s="35"/>
      <c r="BQ99" s="35"/>
      <c r="BR99" s="35"/>
      <c r="BS99" s="35"/>
      <c r="BT99" s="35"/>
      <c r="BU99" s="35"/>
      <c r="BV99" s="35"/>
      <c r="BW99" s="35"/>
      <c r="BX99" s="35"/>
      <c r="BY99" s="35"/>
      <c r="BZ99" s="35"/>
      <c r="CA99" s="35"/>
      <c r="CB99" s="35">
        <f>BM99+AX99+AI99+T99+E99</f>
        <v>1050</v>
      </c>
      <c r="CC99" s="35">
        <v>361.53999999999996</v>
      </c>
      <c r="CD99" s="218">
        <v>773.90000000000009</v>
      </c>
      <c r="CE99" s="283">
        <f>CE100</f>
        <v>431.67</v>
      </c>
      <c r="CF99" s="335">
        <f>CC99+CD99+CE99</f>
        <v>1567.1100000000001</v>
      </c>
      <c r="CG99" s="283">
        <f>CG100</f>
        <v>300</v>
      </c>
      <c r="CH99" s="283">
        <f>CH100</f>
        <v>300</v>
      </c>
      <c r="CI99" s="335">
        <f>CF99+CG99+CH99</f>
        <v>2167.11</v>
      </c>
      <c r="CJ99" s="232">
        <f t="shared" ref="CJ99" si="295">CF99/CB99%</f>
        <v>149.24857142857144</v>
      </c>
      <c r="CK99" s="232">
        <f>CI99/CB99%</f>
        <v>206.39142857142858</v>
      </c>
      <c r="CL99" s="218"/>
      <c r="CM99" s="388"/>
    </row>
    <row r="100" spans="1:91" s="146" customFormat="1" ht="15">
      <c r="A100" s="272" t="s">
        <v>647</v>
      </c>
      <c r="B100" s="83" t="s">
        <v>115</v>
      </c>
      <c r="C100" s="78" t="s">
        <v>41</v>
      </c>
      <c r="D100" s="273">
        <f>[1]B2NN!$K$90</f>
        <v>921.33</v>
      </c>
      <c r="E100" s="186">
        <f t="shared" ref="E100:E103" si="296">SUM(F100:S100)</f>
        <v>350</v>
      </c>
      <c r="F100" s="186">
        <v>15</v>
      </c>
      <c r="G100" s="186">
        <v>25</v>
      </c>
      <c r="H100" s="186">
        <v>35</v>
      </c>
      <c r="I100" s="186">
        <v>30</v>
      </c>
      <c r="J100" s="186">
        <v>25</v>
      </c>
      <c r="K100" s="186">
        <v>40</v>
      </c>
      <c r="L100" s="186"/>
      <c r="M100" s="186"/>
      <c r="N100" s="186">
        <v>150</v>
      </c>
      <c r="O100" s="186"/>
      <c r="P100" s="186"/>
      <c r="Q100" s="186"/>
      <c r="R100" s="186">
        <v>30</v>
      </c>
      <c r="S100" s="186"/>
      <c r="T100" s="186">
        <f>SUM(U100:AH100)</f>
        <v>200</v>
      </c>
      <c r="U100" s="186">
        <v>10</v>
      </c>
      <c r="V100" s="186">
        <v>10</v>
      </c>
      <c r="W100" s="186">
        <v>10</v>
      </c>
      <c r="X100" s="186">
        <v>10</v>
      </c>
      <c r="Y100" s="186">
        <v>10</v>
      </c>
      <c r="Z100" s="186">
        <v>20</v>
      </c>
      <c r="AA100" s="186">
        <v>0</v>
      </c>
      <c r="AB100" s="186">
        <v>0</v>
      </c>
      <c r="AC100" s="186">
        <v>120</v>
      </c>
      <c r="AD100" s="186">
        <v>0</v>
      </c>
      <c r="AE100" s="186">
        <v>0</v>
      </c>
      <c r="AF100" s="186">
        <v>0</v>
      </c>
      <c r="AG100" s="186">
        <v>10</v>
      </c>
      <c r="AH100" s="186">
        <v>0</v>
      </c>
      <c r="AI100" s="186">
        <f>SUM(AJ100:AW100)</f>
        <v>200</v>
      </c>
      <c r="AJ100" s="135">
        <v>10</v>
      </c>
      <c r="AK100" s="135">
        <v>10</v>
      </c>
      <c r="AL100" s="135">
        <v>10</v>
      </c>
      <c r="AM100" s="135">
        <v>10</v>
      </c>
      <c r="AN100" s="135">
        <v>10</v>
      </c>
      <c r="AO100" s="135">
        <v>20</v>
      </c>
      <c r="AP100" s="135">
        <v>0</v>
      </c>
      <c r="AQ100" s="135">
        <v>0</v>
      </c>
      <c r="AR100" s="135">
        <v>120</v>
      </c>
      <c r="AS100" s="135">
        <v>0</v>
      </c>
      <c r="AT100" s="135">
        <v>0</v>
      </c>
      <c r="AU100" s="135">
        <v>0</v>
      </c>
      <c r="AV100" s="135">
        <v>10</v>
      </c>
      <c r="AW100" s="135">
        <v>0</v>
      </c>
      <c r="AX100" s="186">
        <f>SUM(AY100:BL100)</f>
        <v>200</v>
      </c>
      <c r="AY100" s="186">
        <v>10</v>
      </c>
      <c r="AZ100" s="186">
        <v>10</v>
      </c>
      <c r="BA100" s="186">
        <v>10</v>
      </c>
      <c r="BB100" s="186">
        <v>10</v>
      </c>
      <c r="BC100" s="186">
        <v>10</v>
      </c>
      <c r="BD100" s="186">
        <v>20</v>
      </c>
      <c r="BE100" s="35">
        <v>0</v>
      </c>
      <c r="BF100" s="35">
        <v>0</v>
      </c>
      <c r="BG100" s="35">
        <v>120</v>
      </c>
      <c r="BH100" s="35">
        <v>0</v>
      </c>
      <c r="BI100" s="35">
        <v>0</v>
      </c>
      <c r="BJ100" s="35">
        <v>0</v>
      </c>
      <c r="BK100" s="35">
        <v>10</v>
      </c>
      <c r="BL100" s="35">
        <v>0</v>
      </c>
      <c r="BM100" s="186">
        <f>SUM(BN100:CA100)</f>
        <v>100</v>
      </c>
      <c r="BN100" s="35">
        <v>10</v>
      </c>
      <c r="BO100" s="35">
        <v>10</v>
      </c>
      <c r="BP100" s="35">
        <v>10</v>
      </c>
      <c r="BQ100" s="35"/>
      <c r="BR100" s="35">
        <v>10</v>
      </c>
      <c r="BS100" s="35">
        <v>10</v>
      </c>
      <c r="BT100" s="35">
        <v>0</v>
      </c>
      <c r="BU100" s="35">
        <v>0</v>
      </c>
      <c r="BV100" s="35">
        <v>50</v>
      </c>
      <c r="BW100" s="35">
        <v>0</v>
      </c>
      <c r="BX100" s="35">
        <v>0</v>
      </c>
      <c r="BY100" s="35">
        <v>0</v>
      </c>
      <c r="BZ100" s="35"/>
      <c r="CA100" s="35">
        <v>0</v>
      </c>
      <c r="CB100" s="35">
        <f>BM100+AX100+AI100+T100+E100</f>
        <v>1050</v>
      </c>
      <c r="CC100" s="35">
        <v>361.53999999999996</v>
      </c>
      <c r="CD100" s="218">
        <v>562.46999999999991</v>
      </c>
      <c r="CE100" s="283">
        <v>431.67</v>
      </c>
      <c r="CF100" s="335">
        <f t="shared" ref="CF100:CF101" si="297">CC100+CD100+CE100</f>
        <v>1355.6799999999998</v>
      </c>
      <c r="CG100" s="283">
        <v>300</v>
      </c>
      <c r="CH100" s="283">
        <v>300</v>
      </c>
      <c r="CI100" s="335">
        <f t="shared" ref="CI100:CI103" si="298">CF100+CG100+CH100</f>
        <v>1955.6799999999998</v>
      </c>
      <c r="CJ100" s="232">
        <f t="shared" ref="CJ100:CJ102" si="299">CF100/CB100%</f>
        <v>129.11238095238093</v>
      </c>
      <c r="CK100" s="232">
        <f t="shared" ref="CK100:CK102" si="300">CI100/CB100%</f>
        <v>186.25523809523807</v>
      </c>
      <c r="CL100" s="218"/>
      <c r="CM100" s="387">
        <f>CF98+223.97</f>
        <v>2073.4900000000002</v>
      </c>
    </row>
    <row r="101" spans="1:91" s="146" customFormat="1" ht="15">
      <c r="A101" s="272" t="s">
        <v>646</v>
      </c>
      <c r="B101" s="83" t="s">
        <v>645</v>
      </c>
      <c r="C101" s="78" t="s">
        <v>41</v>
      </c>
      <c r="D101" s="273">
        <v>0</v>
      </c>
      <c r="E101" s="186">
        <f t="shared" si="296"/>
        <v>50</v>
      </c>
      <c r="F101" s="186"/>
      <c r="G101" s="186"/>
      <c r="H101" s="186"/>
      <c r="I101" s="186"/>
      <c r="J101" s="186"/>
      <c r="K101" s="186"/>
      <c r="L101" s="186"/>
      <c r="M101" s="186"/>
      <c r="N101" s="186">
        <v>50</v>
      </c>
      <c r="O101" s="186"/>
      <c r="P101" s="186"/>
      <c r="Q101" s="186"/>
      <c r="R101" s="186"/>
      <c r="S101" s="186"/>
      <c r="T101" s="186"/>
      <c r="U101" s="186"/>
      <c r="V101" s="186"/>
      <c r="W101" s="186"/>
      <c r="X101" s="186"/>
      <c r="Y101" s="186"/>
      <c r="Z101" s="186"/>
      <c r="AA101" s="186"/>
      <c r="AB101" s="186"/>
      <c r="AC101" s="186"/>
      <c r="AD101" s="186"/>
      <c r="AE101" s="186"/>
      <c r="AF101" s="186"/>
      <c r="AG101" s="186"/>
      <c r="AH101" s="186"/>
      <c r="AI101" s="186"/>
      <c r="AJ101" s="135"/>
      <c r="AK101" s="135"/>
      <c r="AL101" s="135"/>
      <c r="AM101" s="135"/>
      <c r="AN101" s="135"/>
      <c r="AO101" s="135"/>
      <c r="AP101" s="135"/>
      <c r="AQ101" s="135"/>
      <c r="AR101" s="135"/>
      <c r="AS101" s="135"/>
      <c r="AT101" s="135"/>
      <c r="AU101" s="135"/>
      <c r="AV101" s="135"/>
      <c r="AW101" s="135"/>
      <c r="AX101" s="186"/>
      <c r="AY101" s="186"/>
      <c r="AZ101" s="186"/>
      <c r="BA101" s="186"/>
      <c r="BB101" s="186"/>
      <c r="BC101" s="186"/>
      <c r="BD101" s="186"/>
      <c r="BE101" s="35"/>
      <c r="BF101" s="35"/>
      <c r="BG101" s="35"/>
      <c r="BH101" s="35"/>
      <c r="BI101" s="35"/>
      <c r="BJ101" s="35"/>
      <c r="BK101" s="35"/>
      <c r="BL101" s="35"/>
      <c r="BM101" s="186"/>
      <c r="BN101" s="35"/>
      <c r="BO101" s="35"/>
      <c r="BP101" s="35"/>
      <c r="BQ101" s="35"/>
      <c r="BR101" s="35"/>
      <c r="BS101" s="35"/>
      <c r="BT101" s="35"/>
      <c r="BU101" s="35"/>
      <c r="BV101" s="35"/>
      <c r="BW101" s="35"/>
      <c r="BX101" s="35"/>
      <c r="BY101" s="35"/>
      <c r="BZ101" s="35"/>
      <c r="CA101" s="35"/>
      <c r="CB101" s="35"/>
      <c r="CC101" s="273">
        <v>49.13</v>
      </c>
      <c r="CD101" s="218">
        <v>26.2</v>
      </c>
      <c r="CE101" s="283">
        <v>97.08</v>
      </c>
      <c r="CF101" s="334">
        <f t="shared" si="297"/>
        <v>172.41</v>
      </c>
      <c r="CG101" s="283">
        <v>50</v>
      </c>
      <c r="CH101" s="283">
        <v>50</v>
      </c>
      <c r="CI101" s="335">
        <f t="shared" si="298"/>
        <v>272.40999999999997</v>
      </c>
      <c r="CJ101" s="232"/>
      <c r="CK101" s="232"/>
      <c r="CL101" s="218"/>
      <c r="CM101" s="387"/>
    </row>
    <row r="102" spans="1:91" s="146" customFormat="1" ht="15">
      <c r="A102" s="272" t="s">
        <v>646</v>
      </c>
      <c r="B102" s="83" t="s">
        <v>116</v>
      </c>
      <c r="C102" s="78" t="s">
        <v>41</v>
      </c>
      <c r="D102" s="273">
        <f>[1]B2NN!$K$91</f>
        <v>430.68000000000006</v>
      </c>
      <c r="E102" s="186">
        <f t="shared" si="296"/>
        <v>100</v>
      </c>
      <c r="F102" s="186">
        <v>0</v>
      </c>
      <c r="G102" s="186">
        <v>0</v>
      </c>
      <c r="H102" s="186">
        <v>0</v>
      </c>
      <c r="I102" s="186">
        <v>50</v>
      </c>
      <c r="J102" s="186">
        <v>0</v>
      </c>
      <c r="K102" s="186">
        <v>0</v>
      </c>
      <c r="L102" s="186">
        <v>0</v>
      </c>
      <c r="M102" s="186">
        <v>0</v>
      </c>
      <c r="N102" s="186">
        <v>50</v>
      </c>
      <c r="O102" s="186">
        <v>0</v>
      </c>
      <c r="P102" s="186">
        <v>0</v>
      </c>
      <c r="Q102" s="186">
        <v>0</v>
      </c>
      <c r="R102" s="186">
        <v>0</v>
      </c>
      <c r="S102" s="186">
        <v>0</v>
      </c>
      <c r="T102" s="186"/>
      <c r="U102" s="186"/>
      <c r="V102" s="186"/>
      <c r="W102" s="186"/>
      <c r="X102" s="186"/>
      <c r="Y102" s="186"/>
      <c r="Z102" s="186"/>
      <c r="AA102" s="186"/>
      <c r="AB102" s="186"/>
      <c r="AC102" s="186"/>
      <c r="AD102" s="186"/>
      <c r="AE102" s="186"/>
      <c r="AF102" s="186"/>
      <c r="AG102" s="186"/>
      <c r="AH102" s="186"/>
      <c r="AI102" s="186"/>
      <c r="AJ102" s="186"/>
      <c r="AK102" s="186"/>
      <c r="AL102" s="186"/>
      <c r="AM102" s="186"/>
      <c r="AN102" s="186"/>
      <c r="AO102" s="186"/>
      <c r="AP102" s="186"/>
      <c r="AQ102" s="186"/>
      <c r="AR102" s="186"/>
      <c r="AS102" s="186"/>
      <c r="AT102" s="186"/>
      <c r="AU102" s="186"/>
      <c r="AV102" s="186"/>
      <c r="AW102" s="186"/>
      <c r="AX102" s="186"/>
      <c r="AY102" s="186"/>
      <c r="AZ102" s="186"/>
      <c r="BA102" s="186"/>
      <c r="BB102" s="186"/>
      <c r="BC102" s="186"/>
      <c r="BD102" s="186"/>
      <c r="BE102" s="35"/>
      <c r="BF102" s="35"/>
      <c r="BG102" s="35"/>
      <c r="BH102" s="35"/>
      <c r="BI102" s="35"/>
      <c r="BJ102" s="35"/>
      <c r="BK102" s="35"/>
      <c r="BL102" s="35"/>
      <c r="BM102" s="274"/>
      <c r="BN102" s="35"/>
      <c r="BO102" s="35"/>
      <c r="BP102" s="35"/>
      <c r="BQ102" s="35"/>
      <c r="BR102" s="35"/>
      <c r="BS102" s="35"/>
      <c r="BT102" s="35"/>
      <c r="BU102" s="35"/>
      <c r="BV102" s="35"/>
      <c r="BW102" s="35"/>
      <c r="BX102" s="35"/>
      <c r="BY102" s="35"/>
      <c r="BZ102" s="35"/>
      <c r="CA102" s="35"/>
      <c r="CB102" s="35">
        <f>BM102+AX102+AI102+T102+E102</f>
        <v>100</v>
      </c>
      <c r="CC102" s="35">
        <v>0</v>
      </c>
      <c r="CD102" s="218">
        <v>110</v>
      </c>
      <c r="CE102" s="283">
        <v>0</v>
      </c>
      <c r="CF102" s="335">
        <f>CC102+CD102+CE102</f>
        <v>110</v>
      </c>
      <c r="CG102" s="283">
        <v>0</v>
      </c>
      <c r="CH102" s="283">
        <v>0</v>
      </c>
      <c r="CI102" s="335">
        <f t="shared" si="298"/>
        <v>110</v>
      </c>
      <c r="CJ102" s="232">
        <f t="shared" si="299"/>
        <v>110</v>
      </c>
      <c r="CK102" s="232">
        <f t="shared" si="300"/>
        <v>110</v>
      </c>
      <c r="CL102" s="218"/>
      <c r="CM102" s="387"/>
    </row>
    <row r="103" spans="1:91" s="146" customFormat="1" ht="15">
      <c r="A103" s="272" t="s">
        <v>646</v>
      </c>
      <c r="B103" s="83" t="s">
        <v>117</v>
      </c>
      <c r="C103" s="78" t="s">
        <v>41</v>
      </c>
      <c r="D103" s="273">
        <f xml:space="preserve">  [1]B2NN!$K$92</f>
        <v>18.98</v>
      </c>
      <c r="E103" s="186">
        <f t="shared" si="296"/>
        <v>0</v>
      </c>
      <c r="F103" s="186"/>
      <c r="G103" s="186"/>
      <c r="H103" s="186"/>
      <c r="I103" s="186"/>
      <c r="J103" s="186"/>
      <c r="K103" s="186"/>
      <c r="L103" s="186"/>
      <c r="M103" s="186"/>
      <c r="N103" s="186"/>
      <c r="O103" s="186"/>
      <c r="P103" s="186"/>
      <c r="Q103" s="186"/>
      <c r="R103" s="186"/>
      <c r="S103" s="186"/>
      <c r="T103" s="135"/>
      <c r="U103" s="186"/>
      <c r="V103" s="186"/>
      <c r="W103" s="186"/>
      <c r="X103" s="186"/>
      <c r="Y103" s="186"/>
      <c r="Z103" s="186"/>
      <c r="AA103" s="186"/>
      <c r="AB103" s="186"/>
      <c r="AC103" s="186"/>
      <c r="AD103" s="186"/>
      <c r="AE103" s="186"/>
      <c r="AF103" s="186"/>
      <c r="AG103" s="186"/>
      <c r="AH103" s="186"/>
      <c r="AI103" s="186"/>
      <c r="AJ103" s="186"/>
      <c r="AK103" s="186"/>
      <c r="AL103" s="186"/>
      <c r="AM103" s="186"/>
      <c r="AN103" s="186"/>
      <c r="AO103" s="186"/>
      <c r="AP103" s="186"/>
      <c r="AQ103" s="186"/>
      <c r="AR103" s="186"/>
      <c r="AS103" s="186"/>
      <c r="AT103" s="186"/>
      <c r="AU103" s="186"/>
      <c r="AV103" s="186"/>
      <c r="AW103" s="186"/>
      <c r="AX103" s="186"/>
      <c r="AY103" s="186"/>
      <c r="AZ103" s="186"/>
      <c r="BA103" s="186"/>
      <c r="BB103" s="186"/>
      <c r="BC103" s="186"/>
      <c r="BD103" s="186"/>
      <c r="BE103" s="35"/>
      <c r="BF103" s="35"/>
      <c r="BG103" s="35"/>
      <c r="BH103" s="35"/>
      <c r="BI103" s="35"/>
      <c r="BJ103" s="35"/>
      <c r="BK103" s="35"/>
      <c r="BL103" s="35"/>
      <c r="BM103" s="35"/>
      <c r="BN103" s="35"/>
      <c r="BO103" s="35"/>
      <c r="BP103" s="35"/>
      <c r="BQ103" s="35"/>
      <c r="BR103" s="35"/>
      <c r="BS103" s="35"/>
      <c r="BT103" s="35"/>
      <c r="BU103" s="35"/>
      <c r="BV103" s="35"/>
      <c r="BW103" s="35"/>
      <c r="BX103" s="35"/>
      <c r="BY103" s="35"/>
      <c r="BZ103" s="35"/>
      <c r="CA103" s="35"/>
      <c r="CB103" s="35">
        <f>BM103+AX103+AI103+T103+E103</f>
        <v>0</v>
      </c>
      <c r="CC103" s="35">
        <v>0</v>
      </c>
      <c r="CD103" s="218">
        <v>0</v>
      </c>
      <c r="CE103" s="283">
        <v>0</v>
      </c>
      <c r="CF103" s="334">
        <f>CC103+CD103+CE103</f>
        <v>0</v>
      </c>
      <c r="CG103" s="283">
        <v>0</v>
      </c>
      <c r="CH103" s="283">
        <v>0</v>
      </c>
      <c r="CI103" s="335">
        <f t="shared" si="298"/>
        <v>0</v>
      </c>
      <c r="CJ103" s="218"/>
      <c r="CK103" s="218"/>
      <c r="CL103" s="218"/>
      <c r="CM103" s="386"/>
    </row>
    <row r="104" spans="1:91" s="11" customFormat="1" ht="15">
      <c r="A104" s="89" t="s">
        <v>118</v>
      </c>
      <c r="B104" s="90" t="s">
        <v>119</v>
      </c>
      <c r="C104" s="89"/>
      <c r="D104" s="98"/>
      <c r="E104" s="245"/>
      <c r="F104" s="245"/>
      <c r="G104" s="245"/>
      <c r="H104" s="245"/>
      <c r="I104" s="245"/>
      <c r="J104" s="245"/>
      <c r="K104" s="245"/>
      <c r="L104" s="245"/>
      <c r="M104" s="245"/>
      <c r="N104" s="245"/>
      <c r="O104" s="245"/>
      <c r="P104" s="245"/>
      <c r="Q104" s="245"/>
      <c r="R104" s="245"/>
      <c r="S104" s="245"/>
      <c r="T104" s="245"/>
      <c r="U104" s="245"/>
      <c r="V104" s="245"/>
      <c r="W104" s="245"/>
      <c r="X104" s="245"/>
      <c r="Y104" s="245"/>
      <c r="Z104" s="245"/>
      <c r="AA104" s="245"/>
      <c r="AB104" s="245"/>
      <c r="AC104" s="245"/>
      <c r="AD104" s="245"/>
      <c r="AE104" s="245"/>
      <c r="AF104" s="245"/>
      <c r="AG104" s="245"/>
      <c r="AH104" s="245"/>
      <c r="AI104" s="245"/>
      <c r="AJ104" s="245"/>
      <c r="AK104" s="245"/>
      <c r="AL104" s="245"/>
      <c r="AM104" s="245"/>
      <c r="AN104" s="245"/>
      <c r="AO104" s="245"/>
      <c r="AP104" s="245"/>
      <c r="AQ104" s="245"/>
      <c r="AR104" s="245"/>
      <c r="AS104" s="245"/>
      <c r="AT104" s="245"/>
      <c r="AU104" s="245"/>
      <c r="AV104" s="245"/>
      <c r="AW104" s="245"/>
      <c r="AX104" s="245"/>
      <c r="AY104" s="245"/>
      <c r="AZ104" s="245"/>
      <c r="BA104" s="245"/>
      <c r="BB104" s="245"/>
      <c r="BC104" s="245"/>
      <c r="BD104" s="245"/>
      <c r="BE104" s="98"/>
      <c r="BF104" s="98"/>
      <c r="BG104" s="98"/>
      <c r="BH104" s="98"/>
      <c r="BI104" s="98"/>
      <c r="BJ104" s="98"/>
      <c r="BK104" s="98"/>
      <c r="BL104" s="98"/>
      <c r="BM104" s="98"/>
      <c r="BN104" s="98"/>
      <c r="BO104" s="98"/>
      <c r="BP104" s="98"/>
      <c r="BQ104" s="98"/>
      <c r="BR104" s="98"/>
      <c r="BS104" s="98"/>
      <c r="BT104" s="98"/>
      <c r="BU104" s="98"/>
      <c r="BV104" s="98"/>
      <c r="BW104" s="98"/>
      <c r="BX104" s="98"/>
      <c r="BY104" s="98"/>
      <c r="BZ104" s="98"/>
      <c r="CA104" s="98"/>
      <c r="CB104" s="98"/>
      <c r="CC104" s="98"/>
      <c r="CD104" s="218"/>
      <c r="CE104" s="218"/>
      <c r="CF104" s="218"/>
      <c r="CG104" s="218"/>
      <c r="CH104" s="218"/>
      <c r="CI104" s="218"/>
      <c r="CJ104" s="219"/>
      <c r="CK104" s="219"/>
      <c r="CL104" s="219"/>
    </row>
    <row r="105" spans="1:91" s="12" customFormat="1" ht="36.75" customHeight="1">
      <c r="A105" s="89">
        <v>1</v>
      </c>
      <c r="B105" s="275" t="s">
        <v>120</v>
      </c>
      <c r="C105" s="98" t="s">
        <v>121</v>
      </c>
      <c r="D105" s="34">
        <f>[1]B2NN!$K$94</f>
        <v>15</v>
      </c>
      <c r="E105" s="255">
        <f>SUM(G105:S105)/13</f>
        <v>15.384615384615385</v>
      </c>
      <c r="F105" s="266"/>
      <c r="G105" s="173">
        <v>19</v>
      </c>
      <c r="H105" s="173">
        <v>17</v>
      </c>
      <c r="I105" s="173">
        <v>16</v>
      </c>
      <c r="J105" s="173">
        <v>19</v>
      </c>
      <c r="K105" s="173">
        <v>19</v>
      </c>
      <c r="L105" s="173">
        <v>13</v>
      </c>
      <c r="M105" s="173">
        <v>11</v>
      </c>
      <c r="N105" s="173">
        <v>13</v>
      </c>
      <c r="O105" s="173">
        <v>10</v>
      </c>
      <c r="P105" s="173">
        <v>18</v>
      </c>
      <c r="Q105" s="173">
        <v>19</v>
      </c>
      <c r="R105" s="173">
        <v>16</v>
      </c>
      <c r="S105" s="173">
        <v>10</v>
      </c>
      <c r="T105" s="255">
        <f>SUM(V105:AH105)/13</f>
        <v>15.538461538461538</v>
      </c>
      <c r="U105" s="266"/>
      <c r="V105" s="173">
        <v>19</v>
      </c>
      <c r="W105" s="173">
        <v>17</v>
      </c>
      <c r="X105" s="173">
        <v>17</v>
      </c>
      <c r="Y105" s="173">
        <v>19</v>
      </c>
      <c r="Z105" s="173">
        <v>19</v>
      </c>
      <c r="AA105" s="173">
        <v>13</v>
      </c>
      <c r="AB105" s="173">
        <v>11</v>
      </c>
      <c r="AC105" s="173">
        <v>13</v>
      </c>
      <c r="AD105" s="173">
        <v>10</v>
      </c>
      <c r="AE105" s="173">
        <v>18</v>
      </c>
      <c r="AF105" s="173">
        <v>19</v>
      </c>
      <c r="AG105" s="173">
        <v>16</v>
      </c>
      <c r="AH105" s="173">
        <v>11</v>
      </c>
      <c r="AI105" s="255">
        <f>SUM(AK105:AW105)/13</f>
        <v>15.692307692307692</v>
      </c>
      <c r="AJ105" s="266"/>
      <c r="AK105" s="173">
        <v>19</v>
      </c>
      <c r="AL105" s="173">
        <v>17</v>
      </c>
      <c r="AM105" s="173">
        <v>19</v>
      </c>
      <c r="AN105" s="173">
        <v>19</v>
      </c>
      <c r="AO105" s="173">
        <v>19</v>
      </c>
      <c r="AP105" s="173">
        <v>13</v>
      </c>
      <c r="AQ105" s="173">
        <v>11</v>
      </c>
      <c r="AR105" s="173">
        <v>13</v>
      </c>
      <c r="AS105" s="173">
        <v>10</v>
      </c>
      <c r="AT105" s="173">
        <v>18</v>
      </c>
      <c r="AU105" s="173">
        <v>19</v>
      </c>
      <c r="AV105" s="173">
        <v>16</v>
      </c>
      <c r="AW105" s="173">
        <v>11</v>
      </c>
      <c r="AX105" s="255">
        <f>SUM(AZ105:BL105)/13</f>
        <v>15.923076923076923</v>
      </c>
      <c r="AY105" s="266"/>
      <c r="AZ105" s="173">
        <v>19</v>
      </c>
      <c r="BA105" s="173">
        <v>18</v>
      </c>
      <c r="BB105" s="173">
        <v>19</v>
      </c>
      <c r="BC105" s="173">
        <v>19</v>
      </c>
      <c r="BD105" s="173">
        <v>19</v>
      </c>
      <c r="BE105" s="173">
        <v>13</v>
      </c>
      <c r="BF105" s="173">
        <v>11</v>
      </c>
      <c r="BG105" s="173">
        <v>13</v>
      </c>
      <c r="BH105" s="173">
        <v>10</v>
      </c>
      <c r="BI105" s="173">
        <v>18</v>
      </c>
      <c r="BJ105" s="173">
        <v>19</v>
      </c>
      <c r="BK105" s="173">
        <v>17</v>
      </c>
      <c r="BL105" s="173">
        <v>12</v>
      </c>
      <c r="BM105" s="255">
        <f>SUM(BO105:CA105)/13</f>
        <v>16.153846153846153</v>
      </c>
      <c r="BN105" s="173"/>
      <c r="BO105" s="173">
        <v>19</v>
      </c>
      <c r="BP105" s="173">
        <v>18</v>
      </c>
      <c r="BQ105" s="173">
        <v>19</v>
      </c>
      <c r="BR105" s="173">
        <v>19</v>
      </c>
      <c r="BS105" s="173">
        <v>19</v>
      </c>
      <c r="BT105" s="173">
        <v>14</v>
      </c>
      <c r="BU105" s="173">
        <v>12</v>
      </c>
      <c r="BV105" s="173">
        <v>13</v>
      </c>
      <c r="BW105" s="173">
        <v>10</v>
      </c>
      <c r="BX105" s="173">
        <v>19</v>
      </c>
      <c r="BY105" s="173">
        <v>19</v>
      </c>
      <c r="BZ105" s="173">
        <v>17</v>
      </c>
      <c r="CA105" s="173">
        <v>12</v>
      </c>
      <c r="CB105" s="255">
        <f>BM105</f>
        <v>16.153846153846153</v>
      </c>
      <c r="CC105" s="255">
        <v>15.384615384615385</v>
      </c>
      <c r="CD105" s="255">
        <v>12.384615384615385</v>
      </c>
      <c r="CE105" s="255">
        <v>13</v>
      </c>
      <c r="CF105" s="255">
        <f>CE105</f>
        <v>13</v>
      </c>
      <c r="CG105" s="255">
        <v>14.5</v>
      </c>
      <c r="CH105" s="266">
        <v>16.38</v>
      </c>
      <c r="CI105" s="266">
        <f>CH105</f>
        <v>16.38</v>
      </c>
      <c r="CJ105" s="232">
        <f t="shared" ref="CJ105" si="301">CF105/CB105%</f>
        <v>80.476190476190482</v>
      </c>
      <c r="CK105" s="232">
        <f>CI105/CB105%</f>
        <v>101.4</v>
      </c>
      <c r="CL105" s="221"/>
      <c r="CM105" s="389"/>
    </row>
    <row r="106" spans="1:91" s="12" customFormat="1" ht="28.5">
      <c r="A106" s="276">
        <v>2</v>
      </c>
      <c r="B106" s="277" t="s">
        <v>122</v>
      </c>
      <c r="C106" s="278" t="s">
        <v>123</v>
      </c>
      <c r="D106" s="278">
        <f>[1]B2NN!$K$95</f>
        <v>4</v>
      </c>
      <c r="E106" s="279">
        <f>COUNTIF(G106:S106,"x")</f>
        <v>4</v>
      </c>
      <c r="F106" s="279"/>
      <c r="G106" s="279" t="s">
        <v>124</v>
      </c>
      <c r="H106" s="279"/>
      <c r="I106" s="279"/>
      <c r="J106" s="279" t="s">
        <v>124</v>
      </c>
      <c r="K106" s="279" t="s">
        <v>124</v>
      </c>
      <c r="L106" s="279"/>
      <c r="M106" s="279"/>
      <c r="N106" s="279"/>
      <c r="O106" s="279"/>
      <c r="P106" s="279"/>
      <c r="Q106" s="279" t="s">
        <v>124</v>
      </c>
      <c r="R106" s="279"/>
      <c r="S106" s="279"/>
      <c r="T106" s="279">
        <f>COUNTIF(V106:AH106,"x")</f>
        <v>4</v>
      </c>
      <c r="U106" s="279"/>
      <c r="V106" s="279" t="s">
        <v>124</v>
      </c>
      <c r="W106" s="279"/>
      <c r="X106" s="279"/>
      <c r="Y106" s="279" t="s">
        <v>124</v>
      </c>
      <c r="Z106" s="279" t="s">
        <v>124</v>
      </c>
      <c r="AA106" s="279"/>
      <c r="AB106" s="279"/>
      <c r="AC106" s="279"/>
      <c r="AD106" s="279"/>
      <c r="AE106" s="279"/>
      <c r="AF106" s="279" t="s">
        <v>124</v>
      </c>
      <c r="AG106" s="279"/>
      <c r="AH106" s="279"/>
      <c r="AI106" s="279">
        <f>COUNTIF(AK106:AW106,"x")</f>
        <v>5</v>
      </c>
      <c r="AJ106" s="279"/>
      <c r="AK106" s="279" t="s">
        <v>124</v>
      </c>
      <c r="AL106" s="279"/>
      <c r="AM106" s="279" t="s">
        <v>124</v>
      </c>
      <c r="AN106" s="279" t="s">
        <v>124</v>
      </c>
      <c r="AO106" s="279" t="s">
        <v>124</v>
      </c>
      <c r="AP106" s="279"/>
      <c r="AQ106" s="279"/>
      <c r="AR106" s="279"/>
      <c r="AS106" s="279"/>
      <c r="AT106" s="279"/>
      <c r="AU106" s="279" t="s">
        <v>124</v>
      </c>
      <c r="AV106" s="279"/>
      <c r="AW106" s="279"/>
      <c r="AX106" s="279">
        <f>COUNTIF(AZ106:BL106,"x")</f>
        <v>5</v>
      </c>
      <c r="AY106" s="279"/>
      <c r="AZ106" s="279" t="s">
        <v>124</v>
      </c>
      <c r="BA106" s="279"/>
      <c r="BB106" s="279" t="s">
        <v>124</v>
      </c>
      <c r="BC106" s="279" t="s">
        <v>124</v>
      </c>
      <c r="BD106" s="279" t="s">
        <v>124</v>
      </c>
      <c r="BE106" s="278"/>
      <c r="BF106" s="278"/>
      <c r="BG106" s="278"/>
      <c r="BH106" s="278"/>
      <c r="BI106" s="280"/>
      <c r="BJ106" s="278" t="s">
        <v>124</v>
      </c>
      <c r="BK106" s="278"/>
      <c r="BL106" s="278"/>
      <c r="BM106" s="278">
        <f>COUNTIF(BO106:CA106,"x")</f>
        <v>6</v>
      </c>
      <c r="BN106" s="278"/>
      <c r="BO106" s="278" t="s">
        <v>124</v>
      </c>
      <c r="BP106" s="278"/>
      <c r="BQ106" s="278" t="s">
        <v>124</v>
      </c>
      <c r="BR106" s="278" t="s">
        <v>124</v>
      </c>
      <c r="BS106" s="278" t="s">
        <v>124</v>
      </c>
      <c r="BT106" s="278"/>
      <c r="BU106" s="278"/>
      <c r="BV106" s="278"/>
      <c r="BW106" s="278"/>
      <c r="BX106" s="278" t="s">
        <v>124</v>
      </c>
      <c r="BY106" s="278" t="s">
        <v>124</v>
      </c>
      <c r="BZ106" s="278"/>
      <c r="CA106" s="278"/>
      <c r="CB106" s="278">
        <f>BM106</f>
        <v>6</v>
      </c>
      <c r="CC106" s="278">
        <v>3</v>
      </c>
      <c r="CD106" s="278">
        <v>3</v>
      </c>
      <c r="CE106" s="278">
        <v>3</v>
      </c>
      <c r="CF106" s="278">
        <f>CE106</f>
        <v>3</v>
      </c>
      <c r="CG106" s="278">
        <v>3</v>
      </c>
      <c r="CH106" s="278">
        <v>4</v>
      </c>
      <c r="CI106" s="361">
        <f>CH106</f>
        <v>4</v>
      </c>
      <c r="CJ106" s="360">
        <f t="shared" ref="CJ106" si="302">CF106/CB106%</f>
        <v>50</v>
      </c>
      <c r="CK106" s="360">
        <f>CI106/CB106*100</f>
        <v>66.666666666666657</v>
      </c>
      <c r="CL106" s="222"/>
      <c r="CM106" s="390"/>
    </row>
    <row r="107" spans="1:91">
      <c r="BN107">
        <v>1220.68</v>
      </c>
      <c r="BO107">
        <v>7408.22</v>
      </c>
      <c r="BP107">
        <v>9521.73</v>
      </c>
      <c r="BQ107">
        <v>10782.41</v>
      </c>
      <c r="BR107">
        <v>18402.419999999998</v>
      </c>
      <c r="BS107">
        <v>23721.1</v>
      </c>
      <c r="BT107">
        <v>24165.62</v>
      </c>
      <c r="BU107">
        <v>33105.39</v>
      </c>
      <c r="BV107">
        <v>13493.13</v>
      </c>
      <c r="BW107">
        <v>11375.87</v>
      </c>
      <c r="BX107">
        <v>13933.99</v>
      </c>
      <c r="BY107">
        <v>11289.01</v>
      </c>
      <c r="BZ107">
        <v>38351.440000000002</v>
      </c>
      <c r="CA107">
        <v>51163.15</v>
      </c>
      <c r="CB107"/>
    </row>
    <row r="108" spans="1:91">
      <c r="CC108" s="223"/>
    </row>
    <row r="109" spans="1:91">
      <c r="BM109" s="175"/>
      <c r="BO109" s="137"/>
      <c r="BP109" s="137"/>
      <c r="BQ109" s="137"/>
      <c r="BR109" s="137"/>
      <c r="BS109" s="137"/>
      <c r="BT109" s="137"/>
      <c r="BU109" s="137"/>
      <c r="BV109" s="137"/>
      <c r="BW109" s="137"/>
      <c r="BX109" s="137"/>
      <c r="BY109" s="137"/>
      <c r="BZ109" s="137"/>
      <c r="CA109" s="137"/>
    </row>
    <row r="110" spans="1:91">
      <c r="BN110" s="160">
        <f>BN85+BN90+BN97</f>
        <v>706.63</v>
      </c>
      <c r="BO110" s="160">
        <f t="shared" ref="BO110:CA110" si="303">BO85+BO90+BO97</f>
        <v>5331.27</v>
      </c>
      <c r="BP110" s="160">
        <f t="shared" si="303"/>
        <v>5718.68</v>
      </c>
      <c r="BQ110" s="160">
        <f t="shared" si="303"/>
        <v>5030.7</v>
      </c>
      <c r="BR110" s="160">
        <f t="shared" si="303"/>
        <v>11709.59</v>
      </c>
      <c r="BS110" s="160">
        <f t="shared" si="303"/>
        <v>16589.919999999998</v>
      </c>
      <c r="BT110" s="160">
        <f t="shared" si="303"/>
        <v>14788.99</v>
      </c>
      <c r="BU110" s="160">
        <f t="shared" si="303"/>
        <v>22762.59</v>
      </c>
      <c r="BV110" s="160">
        <f t="shared" si="303"/>
        <v>7363</v>
      </c>
      <c r="BW110" s="160">
        <f t="shared" si="303"/>
        <v>8371.67</v>
      </c>
      <c r="BX110" s="160">
        <f t="shared" si="303"/>
        <v>10950.04</v>
      </c>
      <c r="BY110" s="160">
        <f t="shared" si="303"/>
        <v>9337.33</v>
      </c>
      <c r="BZ110" s="160">
        <f t="shared" si="303"/>
        <v>30084.769999999997</v>
      </c>
      <c r="CA110" s="160">
        <f t="shared" si="303"/>
        <v>28974.5</v>
      </c>
    </row>
    <row r="111" spans="1:91">
      <c r="BN111" s="174">
        <f>BN110/BN82*100</f>
        <v>57.887277791431146</v>
      </c>
      <c r="BO111" s="174">
        <f t="shared" ref="BO111:CA111" si="304">BO110/BO82*100</f>
        <v>71.964444804405929</v>
      </c>
      <c r="BP111" s="174">
        <f t="shared" si="304"/>
        <v>60.059443166661417</v>
      </c>
      <c r="BQ111" s="174">
        <f t="shared" si="304"/>
        <v>46.656588514616409</v>
      </c>
      <c r="BR111" s="174">
        <f t="shared" si="304"/>
        <v>63.630776420466894</v>
      </c>
      <c r="BS111" s="174">
        <f t="shared" si="304"/>
        <v>69.937397506860975</v>
      </c>
      <c r="BT111" s="174">
        <f t="shared" si="304"/>
        <v>61.198521865792699</v>
      </c>
      <c r="BU111" s="174">
        <f t="shared" si="304"/>
        <v>68.757936771644495</v>
      </c>
      <c r="BV111" s="174">
        <f t="shared" si="304"/>
        <v>54.5686313745544</v>
      </c>
      <c r="BW111" s="174">
        <f t="shared" si="304"/>
        <v>73.591276294622844</v>
      </c>
      <c r="BX111" s="174">
        <f t="shared" si="304"/>
        <v>78.585043777809688</v>
      </c>
      <c r="BY111" s="174">
        <f t="shared" si="304"/>
        <v>82.711754805562933</v>
      </c>
      <c r="BZ111" s="174">
        <f t="shared" si="304"/>
        <v>78.445037208550389</v>
      </c>
      <c r="CA111" s="174">
        <f t="shared" si="304"/>
        <v>56.631524220533514</v>
      </c>
    </row>
  </sheetData>
  <mergeCells count="13">
    <mergeCell ref="A2:CB2"/>
    <mergeCell ref="A5:A6"/>
    <mergeCell ref="B5:B6"/>
    <mergeCell ref="C5:C6"/>
    <mergeCell ref="D5:D6"/>
    <mergeCell ref="A3:CL3"/>
    <mergeCell ref="A4:CL4"/>
    <mergeCell ref="CL5:CL6"/>
    <mergeCell ref="E5:BM5"/>
    <mergeCell ref="BN5:CA5"/>
    <mergeCell ref="CC5:CI5"/>
    <mergeCell ref="CJ5:CK5"/>
    <mergeCell ref="CB5:CB6"/>
  </mergeCells>
  <pageMargins left="0.511811023622047" right="0.23622047244094499" top="0.511811023622047" bottom="0.47244094488188998" header="0.31496062992126" footer="0.31496062992126"/>
  <pageSetup paperSize="9" scale="65" orientation="landscape" r:id="rId1"/>
  <headerFooter>
    <oddHeader>Page &amp;P</oddHead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CM20"/>
  <sheetViews>
    <sheetView zoomScale="85" zoomScaleNormal="85" workbookViewId="0">
      <pane xSplit="3" ySplit="5" topLeftCell="E12" activePane="bottomRight" state="frozen"/>
      <selection activeCell="CG77" activeCellId="1" sqref="CC77:CE77 CG77"/>
      <selection pane="topRight" activeCell="CG77" activeCellId="1" sqref="CC77:CE77 CG77"/>
      <selection pane="bottomLeft" activeCell="CG77" activeCellId="1" sqref="CC77:CE77 CG77"/>
      <selection pane="bottomRight" activeCell="CG77" activeCellId="1" sqref="CC77:CE77 CG77"/>
    </sheetView>
  </sheetViews>
  <sheetFormatPr defaultRowHeight="15.75"/>
  <cols>
    <col min="1" max="1" width="5.42578125" style="2" customWidth="1"/>
    <col min="2" max="2" width="31.42578125" style="1" customWidth="1"/>
    <col min="3" max="3" width="7.5703125" style="2" customWidth="1"/>
    <col min="4" max="4" width="12" style="1" customWidth="1"/>
    <col min="5" max="5" width="9.7109375" style="1" hidden="1" customWidth="1"/>
    <col min="6" max="19" width="9.140625" style="1" hidden="1" customWidth="1"/>
    <col min="20" max="20" width="10.140625" style="1" hidden="1" customWidth="1"/>
    <col min="21" max="34" width="9.140625" style="1" hidden="1" customWidth="1"/>
    <col min="35" max="35" width="10.28515625" style="1" hidden="1" customWidth="1"/>
    <col min="36" max="49" width="0" style="1" hidden="1" customWidth="1"/>
    <col min="50" max="50" width="9.7109375" style="1" hidden="1" customWidth="1"/>
    <col min="51" max="64" width="0" style="1" hidden="1" customWidth="1"/>
    <col min="65" max="65" width="9.7109375" style="1" hidden="1" customWidth="1"/>
    <col min="66" max="79" width="0" style="1" hidden="1" customWidth="1"/>
    <col min="80" max="80" width="11.5703125" style="1" customWidth="1"/>
    <col min="81" max="81" width="9.7109375" customWidth="1"/>
    <col min="82" max="82" width="9.85546875" customWidth="1"/>
    <col min="83" max="83" width="11.28515625" customWidth="1"/>
    <col min="84" max="84" width="11.140625" customWidth="1"/>
    <col min="85" max="85" width="12.28515625" bestFit="1" customWidth="1"/>
    <col min="86" max="86" width="11.42578125" customWidth="1"/>
    <col min="87" max="87" width="12.5703125" customWidth="1"/>
    <col min="90" max="90" width="5" customWidth="1"/>
  </cols>
  <sheetData>
    <row r="1" spans="1:90" ht="15.75" customHeight="1">
      <c r="A1" s="554" t="s">
        <v>126</v>
      </c>
      <c r="B1" s="554"/>
      <c r="C1" s="554"/>
      <c r="D1" s="554"/>
      <c r="E1" s="554"/>
      <c r="F1" s="554"/>
      <c r="G1" s="554"/>
      <c r="H1" s="554"/>
      <c r="I1" s="554"/>
      <c r="J1" s="554"/>
      <c r="K1" s="554"/>
      <c r="L1" s="554"/>
      <c r="M1" s="554"/>
      <c r="N1" s="554"/>
      <c r="O1" s="554"/>
      <c r="P1" s="554"/>
      <c r="Q1" s="554"/>
      <c r="R1" s="554"/>
      <c r="S1" s="554"/>
      <c r="T1" s="554"/>
      <c r="U1" s="554"/>
      <c r="V1" s="554"/>
      <c r="W1" s="554"/>
      <c r="X1" s="554"/>
      <c r="Y1" s="554"/>
      <c r="Z1" s="554"/>
      <c r="AA1" s="554"/>
      <c r="AB1" s="554"/>
      <c r="AC1" s="554"/>
      <c r="AD1" s="554"/>
      <c r="AE1" s="554"/>
      <c r="AF1" s="554"/>
      <c r="AG1" s="554"/>
      <c r="AH1" s="554"/>
      <c r="AI1" s="554"/>
      <c r="AJ1" s="554"/>
      <c r="AK1" s="554"/>
      <c r="AL1" s="554"/>
      <c r="AM1" s="554"/>
      <c r="AN1" s="554"/>
      <c r="AO1" s="554"/>
      <c r="AP1" s="554"/>
      <c r="AQ1" s="554"/>
      <c r="AR1" s="554"/>
      <c r="AS1" s="554"/>
      <c r="AT1" s="554"/>
      <c r="AU1" s="554"/>
      <c r="AV1" s="554"/>
      <c r="AW1" s="554"/>
      <c r="AX1" s="554"/>
      <c r="AY1" s="554"/>
      <c r="AZ1" s="554"/>
      <c r="BA1" s="554"/>
      <c r="BB1" s="554"/>
      <c r="BC1" s="554"/>
      <c r="BD1" s="554"/>
      <c r="BE1" s="554"/>
      <c r="BF1" s="554"/>
      <c r="BG1" s="554"/>
      <c r="BH1" s="554"/>
      <c r="BI1" s="554"/>
      <c r="BJ1" s="554"/>
      <c r="BK1" s="554"/>
      <c r="BL1" s="554"/>
      <c r="BM1" s="554"/>
      <c r="BN1" s="554"/>
      <c r="BO1" s="554"/>
      <c r="BP1" s="554"/>
      <c r="BQ1" s="554"/>
      <c r="BR1" s="554"/>
      <c r="BS1" s="554"/>
      <c r="BT1" s="554"/>
      <c r="BU1" s="554"/>
      <c r="BV1" s="554"/>
      <c r="BW1" s="554"/>
      <c r="BX1" s="554"/>
      <c r="BY1" s="554"/>
      <c r="BZ1" s="554"/>
      <c r="CA1" s="554"/>
      <c r="CB1" s="554"/>
      <c r="CG1" s="144">
        <f>CF8+366</f>
        <v>1859866</v>
      </c>
      <c r="CI1">
        <f>CG1/CB8*100</f>
        <v>80.080344456404745</v>
      </c>
    </row>
    <row r="2" spans="1:90" ht="15.75" customHeight="1">
      <c r="A2" s="538" t="s">
        <v>127</v>
      </c>
      <c r="B2" s="538"/>
      <c r="C2" s="538"/>
      <c r="D2" s="538"/>
      <c r="E2" s="538"/>
      <c r="F2" s="538"/>
      <c r="G2" s="538"/>
      <c r="H2" s="538"/>
      <c r="I2" s="538"/>
      <c r="J2" s="538"/>
      <c r="K2" s="538"/>
      <c r="L2" s="538"/>
      <c r="M2" s="538"/>
      <c r="N2" s="538"/>
      <c r="O2" s="538"/>
      <c r="P2" s="538"/>
      <c r="Q2" s="538"/>
      <c r="R2" s="538"/>
      <c r="S2" s="538"/>
      <c r="T2" s="538"/>
      <c r="U2" s="538"/>
      <c r="V2" s="538"/>
      <c r="W2" s="538"/>
      <c r="X2" s="538"/>
      <c r="Y2" s="538"/>
      <c r="Z2" s="538"/>
      <c r="AA2" s="538"/>
      <c r="AB2" s="538"/>
      <c r="AC2" s="538"/>
      <c r="AD2" s="538"/>
      <c r="AE2" s="538"/>
      <c r="AF2" s="538"/>
      <c r="AG2" s="538"/>
      <c r="AH2" s="538"/>
      <c r="AI2" s="538"/>
      <c r="AJ2" s="538"/>
      <c r="AK2" s="538"/>
      <c r="AL2" s="538"/>
      <c r="AM2" s="538"/>
      <c r="AN2" s="538"/>
      <c r="AO2" s="538"/>
      <c r="AP2" s="538"/>
      <c r="AQ2" s="538"/>
      <c r="AR2" s="538"/>
      <c r="AS2" s="538"/>
      <c r="AT2" s="538"/>
      <c r="AU2" s="538"/>
      <c r="AV2" s="538"/>
      <c r="AW2" s="538"/>
      <c r="AX2" s="538"/>
      <c r="AY2" s="538"/>
      <c r="AZ2" s="538"/>
      <c r="BA2" s="538"/>
      <c r="BB2" s="538"/>
      <c r="BC2" s="538"/>
      <c r="BD2" s="538"/>
      <c r="BE2" s="538"/>
      <c r="BF2" s="538"/>
      <c r="BG2" s="538"/>
      <c r="BH2" s="538"/>
      <c r="BI2" s="538"/>
      <c r="BJ2" s="538"/>
      <c r="BK2" s="538"/>
      <c r="BL2" s="538"/>
      <c r="BM2" s="538"/>
      <c r="BN2" s="538"/>
      <c r="BO2" s="538"/>
      <c r="BP2" s="538"/>
      <c r="BQ2" s="538"/>
      <c r="BR2" s="538"/>
      <c r="BS2" s="538"/>
      <c r="BT2" s="538"/>
      <c r="BU2" s="538"/>
      <c r="BV2" s="538"/>
      <c r="BW2" s="538"/>
      <c r="BX2" s="538"/>
      <c r="BY2" s="538"/>
      <c r="BZ2" s="538"/>
      <c r="CA2" s="538"/>
      <c r="CB2" s="538"/>
      <c r="CC2" s="538"/>
      <c r="CD2" s="538"/>
      <c r="CE2" s="538"/>
      <c r="CF2" s="538"/>
      <c r="CG2" s="538"/>
      <c r="CH2" s="538"/>
      <c r="CI2" s="538"/>
      <c r="CJ2" s="538"/>
      <c r="CK2" s="538"/>
      <c r="CL2" s="538"/>
    </row>
    <row r="3" spans="1:90" ht="25.5" customHeight="1">
      <c r="A3" s="542" t="str">
        <f>'B1 TH'!A3:J3</f>
        <v>(Kèm theo Báo cáo số 545-BC/HU, ngày 02/10/2024 của BTV Huyện ủy)</v>
      </c>
      <c r="B3" s="542"/>
      <c r="C3" s="542"/>
      <c r="D3" s="542"/>
      <c r="E3" s="542"/>
      <c r="F3" s="542"/>
      <c r="G3" s="542"/>
      <c r="H3" s="542"/>
      <c r="I3" s="542"/>
      <c r="J3" s="542"/>
      <c r="K3" s="542"/>
      <c r="L3" s="542"/>
      <c r="M3" s="542"/>
      <c r="N3" s="542"/>
      <c r="O3" s="542"/>
      <c r="P3" s="542"/>
      <c r="Q3" s="542"/>
      <c r="R3" s="542"/>
      <c r="S3" s="542"/>
      <c r="T3" s="542"/>
      <c r="U3" s="542"/>
      <c r="V3" s="542"/>
      <c r="W3" s="542"/>
      <c r="X3" s="542"/>
      <c r="Y3" s="542"/>
      <c r="Z3" s="542"/>
      <c r="AA3" s="542"/>
      <c r="AB3" s="542"/>
      <c r="AC3" s="542"/>
      <c r="AD3" s="542"/>
      <c r="AE3" s="542"/>
      <c r="AF3" s="542"/>
      <c r="AG3" s="542"/>
      <c r="AH3" s="542"/>
      <c r="AI3" s="542"/>
      <c r="AJ3" s="542"/>
      <c r="AK3" s="542"/>
      <c r="AL3" s="542"/>
      <c r="AM3" s="542"/>
      <c r="AN3" s="542"/>
      <c r="AO3" s="542"/>
      <c r="AP3" s="542"/>
      <c r="AQ3" s="542"/>
      <c r="AR3" s="542"/>
      <c r="AS3" s="542"/>
      <c r="AT3" s="542"/>
      <c r="AU3" s="542"/>
      <c r="AV3" s="542"/>
      <c r="AW3" s="542"/>
      <c r="AX3" s="542"/>
      <c r="AY3" s="542"/>
      <c r="AZ3" s="542"/>
      <c r="BA3" s="542"/>
      <c r="BB3" s="542"/>
      <c r="BC3" s="542"/>
      <c r="BD3" s="542"/>
      <c r="BE3" s="542"/>
      <c r="BF3" s="542"/>
      <c r="BG3" s="542"/>
      <c r="BH3" s="542"/>
      <c r="BI3" s="542"/>
      <c r="BJ3" s="542"/>
      <c r="BK3" s="542"/>
      <c r="BL3" s="542"/>
      <c r="BM3" s="542"/>
      <c r="BN3" s="542"/>
      <c r="BO3" s="542"/>
      <c r="BP3" s="542"/>
      <c r="BQ3" s="542"/>
      <c r="BR3" s="542"/>
      <c r="BS3" s="542"/>
      <c r="BT3" s="542"/>
      <c r="BU3" s="542"/>
      <c r="BV3" s="542"/>
      <c r="BW3" s="542"/>
      <c r="BX3" s="542"/>
      <c r="BY3" s="542"/>
      <c r="BZ3" s="542"/>
      <c r="CA3" s="542"/>
      <c r="CB3" s="542"/>
      <c r="CC3" s="542"/>
      <c r="CD3" s="542"/>
      <c r="CE3" s="542"/>
      <c r="CF3" s="542"/>
      <c r="CG3" s="542"/>
      <c r="CH3" s="542"/>
      <c r="CI3" s="542"/>
      <c r="CJ3" s="542"/>
      <c r="CK3" s="542"/>
      <c r="CL3" s="542"/>
    </row>
    <row r="4" spans="1:90" s="146" customFormat="1" ht="15.75" customHeight="1">
      <c r="A4" s="536" t="s">
        <v>1</v>
      </c>
      <c r="B4" s="536" t="s">
        <v>2</v>
      </c>
      <c r="C4" s="536" t="s">
        <v>3</v>
      </c>
      <c r="D4" s="536" t="s">
        <v>128</v>
      </c>
      <c r="E4" s="546" t="s">
        <v>652</v>
      </c>
      <c r="F4" s="547"/>
      <c r="G4" s="547"/>
      <c r="H4" s="547"/>
      <c r="I4" s="547"/>
      <c r="J4" s="547"/>
      <c r="K4" s="547"/>
      <c r="L4" s="547"/>
      <c r="M4" s="547"/>
      <c r="N4" s="547"/>
      <c r="O4" s="547"/>
      <c r="P4" s="547"/>
      <c r="Q4" s="547"/>
      <c r="R4" s="547"/>
      <c r="S4" s="547"/>
      <c r="T4" s="547"/>
      <c r="U4" s="547"/>
      <c r="V4" s="547"/>
      <c r="W4" s="547"/>
      <c r="X4" s="547"/>
      <c r="Y4" s="547"/>
      <c r="Z4" s="547"/>
      <c r="AA4" s="547"/>
      <c r="AB4" s="547"/>
      <c r="AC4" s="547"/>
      <c r="AD4" s="547"/>
      <c r="AE4" s="547"/>
      <c r="AF4" s="547"/>
      <c r="AG4" s="547"/>
      <c r="AH4" s="547"/>
      <c r="AI4" s="547"/>
      <c r="AJ4" s="547"/>
      <c r="AK4" s="547"/>
      <c r="AL4" s="547"/>
      <c r="AM4" s="547"/>
      <c r="AN4" s="547"/>
      <c r="AO4" s="547"/>
      <c r="AP4" s="547"/>
      <c r="AQ4" s="547"/>
      <c r="AR4" s="547"/>
      <c r="AS4" s="547"/>
      <c r="AT4" s="547"/>
      <c r="AU4" s="547"/>
      <c r="AV4" s="547"/>
      <c r="AW4" s="547"/>
      <c r="AX4" s="547"/>
      <c r="AY4" s="547"/>
      <c r="AZ4" s="547"/>
      <c r="BA4" s="547"/>
      <c r="BB4" s="547"/>
      <c r="BC4" s="547"/>
      <c r="BD4" s="547"/>
      <c r="BE4" s="547"/>
      <c r="BF4" s="547"/>
      <c r="BG4" s="547"/>
      <c r="BH4" s="547"/>
      <c r="BI4" s="547"/>
      <c r="BJ4" s="547"/>
      <c r="BK4" s="547"/>
      <c r="BL4" s="547"/>
      <c r="BM4" s="548"/>
      <c r="BN4" s="536" t="s">
        <v>6</v>
      </c>
      <c r="BO4" s="536"/>
      <c r="BP4" s="536"/>
      <c r="BQ4" s="536"/>
      <c r="BR4" s="536"/>
      <c r="BS4" s="536"/>
      <c r="BT4" s="536"/>
      <c r="BU4" s="536"/>
      <c r="BV4" s="536"/>
      <c r="BW4" s="536"/>
      <c r="BX4" s="536"/>
      <c r="BY4" s="536"/>
      <c r="BZ4" s="536"/>
      <c r="CA4" s="536"/>
      <c r="CB4" s="536" t="s">
        <v>11</v>
      </c>
      <c r="CC4" s="549" t="s">
        <v>653</v>
      </c>
      <c r="CD4" s="550"/>
      <c r="CE4" s="550"/>
      <c r="CF4" s="550"/>
      <c r="CG4" s="550"/>
      <c r="CH4" s="550"/>
      <c r="CI4" s="551"/>
      <c r="CJ4" s="552" t="s">
        <v>661</v>
      </c>
      <c r="CK4" s="553"/>
      <c r="CL4" s="543" t="s">
        <v>319</v>
      </c>
    </row>
    <row r="5" spans="1:90" s="146" customFormat="1" ht="114">
      <c r="A5" s="536"/>
      <c r="B5" s="536"/>
      <c r="C5" s="536"/>
      <c r="D5" s="536"/>
      <c r="E5" s="236" t="s">
        <v>5</v>
      </c>
      <c r="F5" s="238" t="s">
        <v>6</v>
      </c>
      <c r="G5" s="239"/>
      <c r="H5" s="239"/>
      <c r="I5" s="239"/>
      <c r="J5" s="239"/>
      <c r="K5" s="239"/>
      <c r="L5" s="239"/>
      <c r="M5" s="239"/>
      <c r="N5" s="239"/>
      <c r="O5" s="239"/>
      <c r="P5" s="239"/>
      <c r="Q5" s="239"/>
      <c r="R5" s="239"/>
      <c r="S5" s="240"/>
      <c r="T5" s="236" t="s">
        <v>7</v>
      </c>
      <c r="U5" s="238" t="s">
        <v>6</v>
      </c>
      <c r="V5" s="239"/>
      <c r="W5" s="239"/>
      <c r="X5" s="239"/>
      <c r="Y5" s="239"/>
      <c r="Z5" s="239"/>
      <c r="AA5" s="239"/>
      <c r="AB5" s="239"/>
      <c r="AC5" s="239"/>
      <c r="AD5" s="239"/>
      <c r="AE5" s="239"/>
      <c r="AF5" s="239"/>
      <c r="AG5" s="239"/>
      <c r="AH5" s="240"/>
      <c r="AI5" s="236" t="s">
        <v>8</v>
      </c>
      <c r="AJ5" s="238" t="s">
        <v>6</v>
      </c>
      <c r="AK5" s="239"/>
      <c r="AL5" s="239"/>
      <c r="AM5" s="239"/>
      <c r="AN5" s="239"/>
      <c r="AO5" s="239"/>
      <c r="AP5" s="239"/>
      <c r="AQ5" s="239"/>
      <c r="AR5" s="239"/>
      <c r="AS5" s="239"/>
      <c r="AT5" s="239"/>
      <c r="AU5" s="239"/>
      <c r="AV5" s="239"/>
      <c r="AW5" s="240"/>
      <c r="AX5" s="236" t="s">
        <v>9</v>
      </c>
      <c r="AY5" s="238" t="s">
        <v>6</v>
      </c>
      <c r="AZ5" s="239"/>
      <c r="BA5" s="239"/>
      <c r="BB5" s="239"/>
      <c r="BC5" s="239"/>
      <c r="BD5" s="239"/>
      <c r="BE5" s="239"/>
      <c r="BF5" s="239"/>
      <c r="BG5" s="239"/>
      <c r="BH5" s="239"/>
      <c r="BI5" s="239"/>
      <c r="BJ5" s="239"/>
      <c r="BK5" s="239"/>
      <c r="BL5" s="240"/>
      <c r="BM5" s="236" t="s">
        <v>10</v>
      </c>
      <c r="BN5" s="237" t="s">
        <v>12</v>
      </c>
      <c r="BO5" s="237" t="s">
        <v>13</v>
      </c>
      <c r="BP5" s="237" t="s">
        <v>14</v>
      </c>
      <c r="BQ5" s="237" t="s">
        <v>15</v>
      </c>
      <c r="BR5" s="237" t="s">
        <v>16</v>
      </c>
      <c r="BS5" s="237" t="s">
        <v>17</v>
      </c>
      <c r="BT5" s="237" t="s">
        <v>18</v>
      </c>
      <c r="BU5" s="237" t="s">
        <v>19</v>
      </c>
      <c r="BV5" s="237" t="s">
        <v>20</v>
      </c>
      <c r="BW5" s="237" t="s">
        <v>21</v>
      </c>
      <c r="BX5" s="237" t="s">
        <v>22</v>
      </c>
      <c r="BY5" s="237" t="s">
        <v>23</v>
      </c>
      <c r="BZ5" s="237" t="s">
        <v>24</v>
      </c>
      <c r="CA5" s="237" t="s">
        <v>25</v>
      </c>
      <c r="CB5" s="536"/>
      <c r="CC5" s="237" t="s">
        <v>654</v>
      </c>
      <c r="CD5" s="237" t="s">
        <v>655</v>
      </c>
      <c r="CE5" s="237" t="s">
        <v>656</v>
      </c>
      <c r="CF5" s="237" t="s">
        <v>657</v>
      </c>
      <c r="CG5" s="237" t="s">
        <v>658</v>
      </c>
      <c r="CH5" s="237" t="s">
        <v>659</v>
      </c>
      <c r="CI5" s="201" t="s">
        <v>660</v>
      </c>
      <c r="CJ5" s="195" t="s">
        <v>662</v>
      </c>
      <c r="CK5" s="195" t="s">
        <v>663</v>
      </c>
      <c r="CL5" s="544"/>
    </row>
    <row r="6" spans="1:90" s="14" customFormat="1" ht="28.5" hidden="1">
      <c r="A6" s="91" t="s">
        <v>129</v>
      </c>
      <c r="B6" s="106" t="s">
        <v>130</v>
      </c>
      <c r="C6" s="91" t="s">
        <v>31</v>
      </c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C6" s="124"/>
      <c r="CD6" s="124"/>
      <c r="CE6" s="124"/>
      <c r="CF6" s="124"/>
      <c r="CG6" s="124"/>
      <c r="CH6" s="124"/>
      <c r="CI6" s="124"/>
      <c r="CJ6" s="227"/>
      <c r="CK6" s="227"/>
      <c r="CL6" s="228"/>
    </row>
    <row r="7" spans="1:90" s="14" customFormat="1" ht="15">
      <c r="A7" s="89">
        <v>1</v>
      </c>
      <c r="B7" s="90" t="s">
        <v>132</v>
      </c>
      <c r="C7" s="89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90"/>
      <c r="V7" s="90"/>
      <c r="W7" s="90"/>
      <c r="X7" s="90"/>
      <c r="Y7" s="90"/>
      <c r="Z7" s="90"/>
      <c r="AA7" s="90"/>
      <c r="AB7" s="90"/>
      <c r="AC7" s="90"/>
      <c r="AD7" s="90"/>
      <c r="AE7" s="90"/>
      <c r="AF7" s="90"/>
      <c r="AG7" s="90"/>
      <c r="AH7" s="90"/>
      <c r="AI7" s="90"/>
      <c r="AJ7" s="90"/>
      <c r="AK7" s="90"/>
      <c r="AL7" s="90"/>
      <c r="AM7" s="90"/>
      <c r="AN7" s="90"/>
      <c r="AO7" s="90"/>
      <c r="AP7" s="90"/>
      <c r="AQ7" s="90"/>
      <c r="AR7" s="90"/>
      <c r="AS7" s="90"/>
      <c r="AT7" s="90"/>
      <c r="AU7" s="90"/>
      <c r="AV7" s="90"/>
      <c r="AW7" s="90"/>
      <c r="AX7" s="90"/>
      <c r="AY7" s="90"/>
      <c r="AZ7" s="90"/>
      <c r="BA7" s="90"/>
      <c r="BB7" s="90"/>
      <c r="BC7" s="90"/>
      <c r="BD7" s="90"/>
      <c r="BE7" s="90"/>
      <c r="BF7" s="90"/>
      <c r="BG7" s="90"/>
      <c r="BH7" s="90"/>
      <c r="BI7" s="90"/>
      <c r="BJ7" s="90"/>
      <c r="BK7" s="90"/>
      <c r="BL7" s="90"/>
      <c r="BM7" s="90"/>
      <c r="BN7" s="90"/>
      <c r="BO7" s="90"/>
      <c r="BP7" s="90"/>
      <c r="BQ7" s="90"/>
      <c r="BR7" s="90"/>
      <c r="BS7" s="90"/>
      <c r="BT7" s="90"/>
      <c r="BU7" s="90"/>
      <c r="BV7" s="90"/>
      <c r="BW7" s="90"/>
      <c r="BX7" s="90"/>
      <c r="BY7" s="90"/>
      <c r="BZ7" s="90"/>
      <c r="CA7" s="90"/>
      <c r="CB7" s="90"/>
      <c r="CC7" s="126"/>
      <c r="CD7" s="126"/>
      <c r="CE7" s="126"/>
      <c r="CF7" s="126"/>
      <c r="CG7" s="126"/>
      <c r="CH7" s="126"/>
      <c r="CI7" s="126"/>
      <c r="CJ7" s="229"/>
      <c r="CK7" s="229"/>
      <c r="CL7" s="230"/>
    </row>
    <row r="8" spans="1:90" s="154" customFormat="1" ht="30">
      <c r="A8" s="78"/>
      <c r="B8" s="83" t="s">
        <v>133</v>
      </c>
      <c r="C8" s="78" t="s">
        <v>134</v>
      </c>
      <c r="D8" s="110">
        <f>D9</f>
        <v>105954.61</v>
      </c>
      <c r="E8" s="110">
        <f t="shared" ref="E8:BP8" si="0">E9</f>
        <v>228500</v>
      </c>
      <c r="F8" s="110">
        <f t="shared" si="0"/>
        <v>0</v>
      </c>
      <c r="G8" s="110">
        <f t="shared" si="0"/>
        <v>0</v>
      </c>
      <c r="H8" s="110">
        <f t="shared" si="0"/>
        <v>0</v>
      </c>
      <c r="I8" s="110">
        <f t="shared" si="0"/>
        <v>0</v>
      </c>
      <c r="J8" s="110">
        <f t="shared" si="0"/>
        <v>0</v>
      </c>
      <c r="K8" s="110">
        <f t="shared" si="0"/>
        <v>0</v>
      </c>
      <c r="L8" s="110">
        <f t="shared" si="0"/>
        <v>0</v>
      </c>
      <c r="M8" s="110">
        <f t="shared" si="0"/>
        <v>0</v>
      </c>
      <c r="N8" s="110">
        <f t="shared" si="0"/>
        <v>0</v>
      </c>
      <c r="O8" s="110">
        <f t="shared" si="0"/>
        <v>0</v>
      </c>
      <c r="P8" s="110">
        <f t="shared" si="0"/>
        <v>0</v>
      </c>
      <c r="Q8" s="110">
        <f t="shared" si="0"/>
        <v>0</v>
      </c>
      <c r="R8" s="110">
        <f t="shared" si="0"/>
        <v>0</v>
      </c>
      <c r="S8" s="110">
        <f t="shared" si="0"/>
        <v>0</v>
      </c>
      <c r="T8" s="110">
        <f t="shared" si="0"/>
        <v>368000</v>
      </c>
      <c r="U8" s="110">
        <f t="shared" si="0"/>
        <v>0</v>
      </c>
      <c r="V8" s="110">
        <f t="shared" si="0"/>
        <v>0</v>
      </c>
      <c r="W8" s="110">
        <f t="shared" si="0"/>
        <v>0</v>
      </c>
      <c r="X8" s="110">
        <f t="shared" si="0"/>
        <v>0</v>
      </c>
      <c r="Y8" s="110">
        <f t="shared" si="0"/>
        <v>0</v>
      </c>
      <c r="Z8" s="110">
        <f t="shared" si="0"/>
        <v>0</v>
      </c>
      <c r="AA8" s="110">
        <f t="shared" si="0"/>
        <v>0</v>
      </c>
      <c r="AB8" s="110">
        <f t="shared" si="0"/>
        <v>0</v>
      </c>
      <c r="AC8" s="110">
        <f t="shared" si="0"/>
        <v>0</v>
      </c>
      <c r="AD8" s="110">
        <f t="shared" si="0"/>
        <v>0</v>
      </c>
      <c r="AE8" s="110">
        <f t="shared" si="0"/>
        <v>0</v>
      </c>
      <c r="AF8" s="110">
        <f t="shared" si="0"/>
        <v>0</v>
      </c>
      <c r="AG8" s="110">
        <f t="shared" si="0"/>
        <v>0</v>
      </c>
      <c r="AH8" s="110">
        <f t="shared" si="0"/>
        <v>0</v>
      </c>
      <c r="AI8" s="110">
        <f t="shared" si="0"/>
        <v>438000</v>
      </c>
      <c r="AJ8" s="110">
        <f t="shared" si="0"/>
        <v>0</v>
      </c>
      <c r="AK8" s="110">
        <f t="shared" si="0"/>
        <v>0</v>
      </c>
      <c r="AL8" s="110">
        <f t="shared" si="0"/>
        <v>0</v>
      </c>
      <c r="AM8" s="110">
        <f t="shared" si="0"/>
        <v>0</v>
      </c>
      <c r="AN8" s="110">
        <f t="shared" si="0"/>
        <v>0</v>
      </c>
      <c r="AO8" s="110">
        <f t="shared" si="0"/>
        <v>0</v>
      </c>
      <c r="AP8" s="110">
        <f t="shared" si="0"/>
        <v>0</v>
      </c>
      <c r="AQ8" s="110">
        <f t="shared" si="0"/>
        <v>0</v>
      </c>
      <c r="AR8" s="110">
        <f t="shared" si="0"/>
        <v>0</v>
      </c>
      <c r="AS8" s="110">
        <f t="shared" si="0"/>
        <v>0</v>
      </c>
      <c r="AT8" s="110">
        <f t="shared" si="0"/>
        <v>0</v>
      </c>
      <c r="AU8" s="110">
        <f t="shared" si="0"/>
        <v>0</v>
      </c>
      <c r="AV8" s="110">
        <f t="shared" si="0"/>
        <v>0</v>
      </c>
      <c r="AW8" s="110">
        <f t="shared" si="0"/>
        <v>0</v>
      </c>
      <c r="AX8" s="110">
        <f t="shared" si="0"/>
        <v>520000</v>
      </c>
      <c r="AY8" s="110">
        <f t="shared" si="0"/>
        <v>0</v>
      </c>
      <c r="AZ8" s="110">
        <f t="shared" si="0"/>
        <v>0</v>
      </c>
      <c r="BA8" s="110">
        <f t="shared" si="0"/>
        <v>0</v>
      </c>
      <c r="BB8" s="110">
        <f t="shared" si="0"/>
        <v>0</v>
      </c>
      <c r="BC8" s="110">
        <f t="shared" si="0"/>
        <v>0</v>
      </c>
      <c r="BD8" s="110">
        <f t="shared" si="0"/>
        <v>0</v>
      </c>
      <c r="BE8" s="110">
        <f t="shared" si="0"/>
        <v>0</v>
      </c>
      <c r="BF8" s="110">
        <f t="shared" si="0"/>
        <v>0</v>
      </c>
      <c r="BG8" s="110">
        <f t="shared" si="0"/>
        <v>0</v>
      </c>
      <c r="BH8" s="110">
        <f t="shared" si="0"/>
        <v>0</v>
      </c>
      <c r="BI8" s="110">
        <f t="shared" si="0"/>
        <v>0</v>
      </c>
      <c r="BJ8" s="110">
        <f t="shared" si="0"/>
        <v>0</v>
      </c>
      <c r="BK8" s="110">
        <f t="shared" si="0"/>
        <v>0</v>
      </c>
      <c r="BL8" s="110">
        <f t="shared" si="0"/>
        <v>0</v>
      </c>
      <c r="BM8" s="110">
        <f t="shared" si="0"/>
        <v>768000</v>
      </c>
      <c r="BN8" s="231">
        <f t="shared" si="0"/>
        <v>0</v>
      </c>
      <c r="BO8" s="231">
        <f t="shared" si="0"/>
        <v>0</v>
      </c>
      <c r="BP8" s="231">
        <f t="shared" si="0"/>
        <v>0</v>
      </c>
      <c r="BQ8" s="231">
        <f t="shared" ref="BQ8:CA8" si="1">BQ9</f>
        <v>0</v>
      </c>
      <c r="BR8" s="231">
        <f t="shared" si="1"/>
        <v>0</v>
      </c>
      <c r="BS8" s="231">
        <f t="shared" si="1"/>
        <v>0</v>
      </c>
      <c r="BT8" s="231">
        <f t="shared" si="1"/>
        <v>0</v>
      </c>
      <c r="BU8" s="231">
        <f t="shared" si="1"/>
        <v>0</v>
      </c>
      <c r="BV8" s="231">
        <f t="shared" si="1"/>
        <v>0</v>
      </c>
      <c r="BW8" s="231">
        <f t="shared" si="1"/>
        <v>0</v>
      </c>
      <c r="BX8" s="231">
        <f t="shared" si="1"/>
        <v>0</v>
      </c>
      <c r="BY8" s="231">
        <f t="shared" si="1"/>
        <v>0</v>
      </c>
      <c r="BZ8" s="231">
        <f t="shared" si="1"/>
        <v>0</v>
      </c>
      <c r="CA8" s="231">
        <f t="shared" si="1"/>
        <v>0</v>
      </c>
      <c r="CB8" s="110">
        <f>CB9</f>
        <v>2322500</v>
      </c>
      <c r="CC8" s="110">
        <v>228500</v>
      </c>
      <c r="CD8" s="110">
        <v>690000</v>
      </c>
      <c r="CE8" s="110">
        <v>941000</v>
      </c>
      <c r="CF8" s="110">
        <f>SUM(CC8:CE8)</f>
        <v>1859500</v>
      </c>
      <c r="CG8" s="110">
        <v>1678000</v>
      </c>
      <c r="CH8" s="110">
        <v>1500000</v>
      </c>
      <c r="CI8" s="110">
        <f>+CH8+CG8+CF8</f>
        <v>5037500</v>
      </c>
      <c r="CJ8" s="232">
        <f>CF8/CB8%</f>
        <v>80.064585575888046</v>
      </c>
      <c r="CK8" s="232">
        <f>CI8/CB8%</f>
        <v>216.89989235737352</v>
      </c>
      <c r="CL8" s="230"/>
    </row>
    <row r="9" spans="1:90" s="154" customFormat="1" ht="30">
      <c r="A9" s="78"/>
      <c r="B9" s="83" t="s">
        <v>135</v>
      </c>
      <c r="C9" s="78" t="s">
        <v>134</v>
      </c>
      <c r="D9" s="35">
        <f>'[1]B3 CNXD'!$K$9</f>
        <v>105954.61</v>
      </c>
      <c r="E9" s="110">
        <f>'B4'!E9</f>
        <v>228500</v>
      </c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110">
        <f>'B4'!F9</f>
        <v>368000</v>
      </c>
      <c r="U9" s="110"/>
      <c r="V9" s="110"/>
      <c r="W9" s="110"/>
      <c r="X9" s="110"/>
      <c r="Y9" s="110"/>
      <c r="Z9" s="110"/>
      <c r="AA9" s="110"/>
      <c r="AB9" s="110"/>
      <c r="AC9" s="110"/>
      <c r="AD9" s="110"/>
      <c r="AE9" s="110"/>
      <c r="AF9" s="110"/>
      <c r="AG9" s="110"/>
      <c r="AH9" s="110"/>
      <c r="AI9" s="110">
        <f>'B4'!G9</f>
        <v>438000</v>
      </c>
      <c r="AJ9" s="110"/>
      <c r="AK9" s="110"/>
      <c r="AL9" s="110"/>
      <c r="AM9" s="110"/>
      <c r="AN9" s="110"/>
      <c r="AO9" s="110"/>
      <c r="AP9" s="110"/>
      <c r="AQ9" s="110"/>
      <c r="AR9" s="110"/>
      <c r="AS9" s="110"/>
      <c r="AT9" s="110"/>
      <c r="AU9" s="110"/>
      <c r="AV9" s="110"/>
      <c r="AW9" s="110"/>
      <c r="AX9" s="110">
        <f>'B4'!H9</f>
        <v>520000</v>
      </c>
      <c r="AY9" s="110"/>
      <c r="AZ9" s="110"/>
      <c r="BA9" s="110"/>
      <c r="BB9" s="110"/>
      <c r="BC9" s="110"/>
      <c r="BD9" s="110"/>
      <c r="BE9" s="110"/>
      <c r="BF9" s="110"/>
      <c r="BG9" s="110"/>
      <c r="BH9" s="110"/>
      <c r="BI9" s="110"/>
      <c r="BJ9" s="110"/>
      <c r="BK9" s="110"/>
      <c r="BL9" s="110"/>
      <c r="BM9" s="110">
        <f>'B4'!I9</f>
        <v>768000</v>
      </c>
      <c r="BN9" s="35"/>
      <c r="BO9" s="35"/>
      <c r="BP9" s="35"/>
      <c r="BQ9" s="35"/>
      <c r="BR9" s="35"/>
      <c r="BS9" s="35"/>
      <c r="BT9" s="35"/>
      <c r="BU9" s="35"/>
      <c r="BV9" s="35"/>
      <c r="BW9" s="35"/>
      <c r="BX9" s="35"/>
      <c r="BY9" s="35"/>
      <c r="BZ9" s="35"/>
      <c r="CA9" s="35"/>
      <c r="CB9" s="110">
        <f>E9+T9+AI9+AX9+BM9</f>
        <v>2322500</v>
      </c>
      <c r="CC9" s="110">
        <v>228500</v>
      </c>
      <c r="CD9" s="110">
        <v>690000</v>
      </c>
      <c r="CE9" s="110">
        <v>1361000</v>
      </c>
      <c r="CF9" s="110">
        <f t="shared" ref="CF9:CF13" si="2">SUM(CC9:CE9)</f>
        <v>2279500</v>
      </c>
      <c r="CG9" s="110">
        <v>1420000</v>
      </c>
      <c r="CH9" s="110">
        <v>1500000</v>
      </c>
      <c r="CI9" s="110">
        <f>+CH9+CG9+CF9</f>
        <v>5199500</v>
      </c>
      <c r="CJ9" s="232">
        <f t="shared" ref="CJ9:CJ13" si="3">CF9/CB9%</f>
        <v>98.148546824542521</v>
      </c>
      <c r="CK9" s="232">
        <f t="shared" ref="CK9:CK13" si="4">CI9/CB9%</f>
        <v>223.87513455328309</v>
      </c>
      <c r="CL9" s="224"/>
    </row>
    <row r="10" spans="1:90" s="154" customFormat="1" ht="30" hidden="1">
      <c r="A10" s="78"/>
      <c r="B10" s="83" t="s">
        <v>136</v>
      </c>
      <c r="C10" s="78" t="s">
        <v>134</v>
      </c>
      <c r="D10" s="35" t="e">
        <f>#REF!</f>
        <v>#REF!</v>
      </c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M10" s="35"/>
      <c r="AN10" s="35"/>
      <c r="AO10" s="35"/>
      <c r="AP10" s="35"/>
      <c r="AQ10" s="35"/>
      <c r="AR10" s="35"/>
      <c r="AS10" s="35"/>
      <c r="AT10" s="35"/>
      <c r="AU10" s="35"/>
      <c r="AV10" s="35"/>
      <c r="AW10" s="35"/>
      <c r="AX10" s="35"/>
      <c r="AY10" s="35"/>
      <c r="AZ10" s="35"/>
      <c r="BA10" s="35"/>
      <c r="BB10" s="35"/>
      <c r="BC10" s="35"/>
      <c r="BD10" s="35"/>
      <c r="BE10" s="35"/>
      <c r="BF10" s="35"/>
      <c r="BG10" s="35"/>
      <c r="BH10" s="35"/>
      <c r="BI10" s="35"/>
      <c r="BJ10" s="35"/>
      <c r="BK10" s="35"/>
      <c r="BL10" s="35"/>
      <c r="BM10" s="35"/>
      <c r="BN10" s="35"/>
      <c r="BO10" s="35"/>
      <c r="BP10" s="35"/>
      <c r="BQ10" s="35"/>
      <c r="BR10" s="35"/>
      <c r="BS10" s="35"/>
      <c r="BT10" s="35"/>
      <c r="BU10" s="35"/>
      <c r="BV10" s="35"/>
      <c r="BW10" s="35"/>
      <c r="BX10" s="35"/>
      <c r="BY10" s="35"/>
      <c r="BZ10" s="35"/>
      <c r="CA10" s="35"/>
      <c r="CB10" s="35">
        <f>E10+T10+AI10+AX10+BM10</f>
        <v>0</v>
      </c>
      <c r="CC10" s="35"/>
      <c r="CD10" s="35"/>
      <c r="CE10" s="35"/>
      <c r="CF10" s="35">
        <f t="shared" si="2"/>
        <v>0</v>
      </c>
      <c r="CG10" s="235"/>
      <c r="CH10" s="235"/>
      <c r="CI10" s="336">
        <f t="shared" ref="CI10:CI11" si="5">+CH10+CG10+CF10</f>
        <v>0</v>
      </c>
      <c r="CJ10" s="232" t="e">
        <f t="shared" si="3"/>
        <v>#DIV/0!</v>
      </c>
      <c r="CK10" s="232" t="e">
        <f t="shared" si="4"/>
        <v>#DIV/0!</v>
      </c>
      <c r="CL10" s="224"/>
    </row>
    <row r="11" spans="1:90" s="154" customFormat="1" ht="33">
      <c r="A11" s="78"/>
      <c r="B11" s="83" t="s">
        <v>137</v>
      </c>
      <c r="C11" s="78" t="s">
        <v>667</v>
      </c>
      <c r="D11" s="35">
        <f>'[1]B3 CNXD'!$K$10</f>
        <v>390.1</v>
      </c>
      <c r="E11" s="35">
        <v>91.2</v>
      </c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>
        <v>92</v>
      </c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>
        <v>92.8</v>
      </c>
      <c r="AJ11" s="35"/>
      <c r="AK11" s="35"/>
      <c r="AL11" s="35"/>
      <c r="AM11" s="35"/>
      <c r="AN11" s="35"/>
      <c r="AO11" s="35"/>
      <c r="AP11" s="35"/>
      <c r="AQ11" s="35"/>
      <c r="AR11" s="35"/>
      <c r="AS11" s="35"/>
      <c r="AT11" s="35"/>
      <c r="AU11" s="35"/>
      <c r="AV11" s="35"/>
      <c r="AW11" s="35"/>
      <c r="AX11" s="35">
        <v>93.1</v>
      </c>
      <c r="AY11" s="35"/>
      <c r="AZ11" s="35"/>
      <c r="BA11" s="35"/>
      <c r="BB11" s="35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>
        <v>94</v>
      </c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  <c r="BZ11" s="35"/>
      <c r="CA11" s="35"/>
      <c r="CB11" s="35">
        <f>E11+T11+AI11+AX11+BM11</f>
        <v>463.1</v>
      </c>
      <c r="CC11" s="35">
        <v>91.2</v>
      </c>
      <c r="CD11" s="35">
        <v>123.27500000000001</v>
      </c>
      <c r="CE11" s="35">
        <v>124</v>
      </c>
      <c r="CF11" s="35">
        <f t="shared" si="2"/>
        <v>338.47500000000002</v>
      </c>
      <c r="CG11" s="35">
        <v>93.1</v>
      </c>
      <c r="CH11" s="35">
        <v>94</v>
      </c>
      <c r="CI11" s="35">
        <f t="shared" si="5"/>
        <v>525.57500000000005</v>
      </c>
      <c r="CJ11" s="232">
        <f t="shared" si="3"/>
        <v>73.088965666162821</v>
      </c>
      <c r="CK11" s="232">
        <f t="shared" si="4"/>
        <v>113.49060678039301</v>
      </c>
      <c r="CL11" s="224"/>
    </row>
    <row r="12" spans="1:90" s="154" customFormat="1" ht="30">
      <c r="A12" s="78"/>
      <c r="B12" s="83" t="s">
        <v>138</v>
      </c>
      <c r="C12" s="78" t="s">
        <v>612</v>
      </c>
      <c r="D12" s="35">
        <f>'[1]B3 CNXD'!$K$11</f>
        <v>69.900000000000006</v>
      </c>
      <c r="E12" s="35">
        <v>19.5</v>
      </c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>
        <v>20</v>
      </c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>
        <v>21</v>
      </c>
      <c r="AJ12" s="35"/>
      <c r="AK12" s="35"/>
      <c r="AL12" s="35"/>
      <c r="AM12" s="35"/>
      <c r="AN12" s="35"/>
      <c r="AO12" s="35"/>
      <c r="AP12" s="35"/>
      <c r="AQ12" s="35"/>
      <c r="AR12" s="35"/>
      <c r="AS12" s="35"/>
      <c r="AT12" s="35"/>
      <c r="AU12" s="35"/>
      <c r="AV12" s="35"/>
      <c r="AW12" s="35"/>
      <c r="AX12" s="35">
        <v>22.3</v>
      </c>
      <c r="AY12" s="35"/>
      <c r="AZ12" s="35"/>
      <c r="BA12" s="35"/>
      <c r="BB12" s="35"/>
      <c r="BC12" s="35"/>
      <c r="BD12" s="35"/>
      <c r="BE12" s="35"/>
      <c r="BF12" s="35"/>
      <c r="BG12" s="35"/>
      <c r="BH12" s="35"/>
      <c r="BI12" s="35"/>
      <c r="BJ12" s="35"/>
      <c r="BK12" s="35"/>
      <c r="BL12" s="35"/>
      <c r="BM12" s="35">
        <v>23</v>
      </c>
      <c r="BN12" s="35"/>
      <c r="BO12" s="35"/>
      <c r="BP12" s="35"/>
      <c r="BQ12" s="35"/>
      <c r="BR12" s="35"/>
      <c r="BS12" s="35"/>
      <c r="BT12" s="35"/>
      <c r="BU12" s="35"/>
      <c r="BV12" s="35"/>
      <c r="BW12" s="35"/>
      <c r="BX12" s="35"/>
      <c r="BY12" s="35"/>
      <c r="BZ12" s="35"/>
      <c r="CA12" s="35"/>
      <c r="CB12" s="35">
        <f>E12+T12+AI12+AX12+BM12</f>
        <v>105.8</v>
      </c>
      <c r="CC12" s="35">
        <v>19.5</v>
      </c>
      <c r="CD12" s="35">
        <v>20</v>
      </c>
      <c r="CE12" s="35">
        <v>21</v>
      </c>
      <c r="CF12" s="35">
        <f t="shared" si="2"/>
        <v>60.5</v>
      </c>
      <c r="CG12" s="35">
        <f>AX12</f>
        <v>22.3</v>
      </c>
      <c r="CH12" s="35">
        <f>BM12</f>
        <v>23</v>
      </c>
      <c r="CI12" s="35">
        <f>CH12+CG12+CF12</f>
        <v>105.8</v>
      </c>
      <c r="CJ12" s="232">
        <f t="shared" si="3"/>
        <v>57.183364839319466</v>
      </c>
      <c r="CK12" s="232">
        <f t="shared" si="4"/>
        <v>99.999999999999986</v>
      </c>
      <c r="CL12" s="224"/>
    </row>
    <row r="13" spans="1:90" s="154" customFormat="1" ht="33">
      <c r="A13" s="78"/>
      <c r="B13" s="83" t="s">
        <v>139</v>
      </c>
      <c r="C13" s="78" t="s">
        <v>667</v>
      </c>
      <c r="D13" s="35">
        <f>'[1]B3 CNXD'!$K$12</f>
        <v>640</v>
      </c>
      <c r="E13" s="35">
        <v>136</v>
      </c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>
        <v>138</v>
      </c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>
        <v>140</v>
      </c>
      <c r="AJ13" s="35"/>
      <c r="AK13" s="35"/>
      <c r="AL13" s="35"/>
      <c r="AM13" s="35"/>
      <c r="AN13" s="35"/>
      <c r="AO13" s="35"/>
      <c r="AP13" s="35"/>
      <c r="AQ13" s="35"/>
      <c r="AR13" s="35"/>
      <c r="AS13" s="35"/>
      <c r="AT13" s="35"/>
      <c r="AU13" s="35"/>
      <c r="AV13" s="35"/>
      <c r="AW13" s="35"/>
      <c r="AX13" s="35">
        <v>160</v>
      </c>
      <c r="AY13" s="35"/>
      <c r="AZ13" s="35"/>
      <c r="BA13" s="35"/>
      <c r="BB13" s="35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>
        <v>185</v>
      </c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  <c r="BZ13" s="35"/>
      <c r="CA13" s="35"/>
      <c r="CB13" s="35">
        <f>E13+T13+AI13+AX13+BM13</f>
        <v>759</v>
      </c>
      <c r="CC13" s="110">
        <v>136</v>
      </c>
      <c r="CD13" s="110">
        <v>140</v>
      </c>
      <c r="CE13" s="110">
        <v>146</v>
      </c>
      <c r="CF13" s="110">
        <f t="shared" si="2"/>
        <v>422</v>
      </c>
      <c r="CG13" s="110">
        <f>AX13</f>
        <v>160</v>
      </c>
      <c r="CH13" s="110">
        <f>BM13</f>
        <v>185</v>
      </c>
      <c r="CI13" s="110">
        <f>CH13+CG13+CF13</f>
        <v>767</v>
      </c>
      <c r="CJ13" s="232">
        <f t="shared" si="3"/>
        <v>55.599472990777336</v>
      </c>
      <c r="CK13" s="232">
        <f t="shared" si="4"/>
        <v>101.0540184453228</v>
      </c>
      <c r="CL13" s="224"/>
    </row>
    <row r="14" spans="1:90" s="14" customFormat="1" ht="15">
      <c r="A14" s="89">
        <v>2</v>
      </c>
      <c r="B14" s="90" t="s">
        <v>140</v>
      </c>
      <c r="C14" s="89"/>
      <c r="D14" s="90"/>
      <c r="E14" s="90"/>
      <c r="F14" s="90"/>
      <c r="G14" s="90"/>
      <c r="H14" s="90"/>
      <c r="I14" s="90"/>
      <c r="J14" s="90"/>
      <c r="K14" s="90"/>
      <c r="L14" s="90"/>
      <c r="M14" s="90"/>
      <c r="N14" s="90"/>
      <c r="O14" s="90"/>
      <c r="P14" s="90"/>
      <c r="Q14" s="90"/>
      <c r="R14" s="90"/>
      <c r="S14" s="90"/>
      <c r="T14" s="90"/>
      <c r="U14" s="90"/>
      <c r="V14" s="90"/>
      <c r="W14" s="90"/>
      <c r="X14" s="90"/>
      <c r="Y14" s="90"/>
      <c r="Z14" s="90"/>
      <c r="AA14" s="90"/>
      <c r="AB14" s="90"/>
      <c r="AC14" s="90"/>
      <c r="AD14" s="90"/>
      <c r="AE14" s="90"/>
      <c r="AF14" s="90"/>
      <c r="AG14" s="90"/>
      <c r="AH14" s="90"/>
      <c r="AI14" s="90"/>
      <c r="AJ14" s="90"/>
      <c r="AK14" s="90"/>
      <c r="AL14" s="90"/>
      <c r="AM14" s="90"/>
      <c r="AN14" s="90"/>
      <c r="AO14" s="90"/>
      <c r="AP14" s="90"/>
      <c r="AQ14" s="90"/>
      <c r="AR14" s="90"/>
      <c r="AS14" s="90"/>
      <c r="AT14" s="90"/>
      <c r="AU14" s="90"/>
      <c r="AV14" s="90"/>
      <c r="AW14" s="90"/>
      <c r="AX14" s="90"/>
      <c r="AY14" s="90"/>
      <c r="AZ14" s="90"/>
      <c r="BA14" s="90"/>
      <c r="BB14" s="90"/>
      <c r="BC14" s="90"/>
      <c r="BD14" s="90"/>
      <c r="BE14" s="90"/>
      <c r="BF14" s="90"/>
      <c r="BG14" s="90"/>
      <c r="BH14" s="90"/>
      <c r="BI14" s="90"/>
      <c r="BJ14" s="90"/>
      <c r="BK14" s="90"/>
      <c r="BL14" s="90"/>
      <c r="BM14" s="90"/>
      <c r="BN14" s="90"/>
      <c r="BO14" s="90"/>
      <c r="BP14" s="90"/>
      <c r="BQ14" s="90"/>
      <c r="BR14" s="90"/>
      <c r="BS14" s="90"/>
      <c r="BT14" s="90"/>
      <c r="BU14" s="90"/>
      <c r="BV14" s="90"/>
      <c r="BW14" s="90"/>
      <c r="BX14" s="90"/>
      <c r="BY14" s="90"/>
      <c r="BZ14" s="90"/>
      <c r="CA14" s="90"/>
      <c r="CB14" s="90"/>
      <c r="CC14" s="130"/>
      <c r="CD14" s="130"/>
      <c r="CE14" s="130"/>
      <c r="CF14" s="130"/>
      <c r="CG14" s="130"/>
      <c r="CH14" s="130"/>
      <c r="CI14" s="130"/>
      <c r="CJ14" s="209"/>
      <c r="CK14" s="209"/>
      <c r="CL14" s="209"/>
    </row>
    <row r="15" spans="1:90" s="154" customFormat="1" ht="30">
      <c r="A15" s="78"/>
      <c r="B15" s="83" t="s">
        <v>141</v>
      </c>
      <c r="C15" s="78" t="s">
        <v>142</v>
      </c>
      <c r="D15" s="103">
        <f>'[1]B3 CNXD'!$K$14</f>
        <v>14</v>
      </c>
      <c r="E15" s="103">
        <f>COUNTIF(F15:S15,"x")</f>
        <v>14</v>
      </c>
      <c r="F15" s="103" t="s">
        <v>124</v>
      </c>
      <c r="G15" s="103" t="s">
        <v>124</v>
      </c>
      <c r="H15" s="103" t="s">
        <v>124</v>
      </c>
      <c r="I15" s="103" t="s">
        <v>124</v>
      </c>
      <c r="J15" s="103" t="s">
        <v>124</v>
      </c>
      <c r="K15" s="103" t="s">
        <v>124</v>
      </c>
      <c r="L15" s="103" t="s">
        <v>124</v>
      </c>
      <c r="M15" s="103" t="s">
        <v>124</v>
      </c>
      <c r="N15" s="103" t="s">
        <v>124</v>
      </c>
      <c r="O15" s="103" t="s">
        <v>124</v>
      </c>
      <c r="P15" s="103" t="s">
        <v>124</v>
      </c>
      <c r="Q15" s="103" t="s">
        <v>124</v>
      </c>
      <c r="R15" s="103" t="s">
        <v>124</v>
      </c>
      <c r="S15" s="103" t="s">
        <v>124</v>
      </c>
      <c r="T15" s="103">
        <f>COUNTIF(U15:AH15,"x")</f>
        <v>14</v>
      </c>
      <c r="U15" s="103" t="s">
        <v>124</v>
      </c>
      <c r="V15" s="103" t="s">
        <v>124</v>
      </c>
      <c r="W15" s="103" t="s">
        <v>124</v>
      </c>
      <c r="X15" s="103" t="s">
        <v>124</v>
      </c>
      <c r="Y15" s="103" t="s">
        <v>124</v>
      </c>
      <c r="Z15" s="103" t="s">
        <v>124</v>
      </c>
      <c r="AA15" s="103" t="s">
        <v>124</v>
      </c>
      <c r="AB15" s="103" t="s">
        <v>124</v>
      </c>
      <c r="AC15" s="103" t="s">
        <v>124</v>
      </c>
      <c r="AD15" s="103" t="s">
        <v>124</v>
      </c>
      <c r="AE15" s="103" t="s">
        <v>124</v>
      </c>
      <c r="AF15" s="103" t="s">
        <v>124</v>
      </c>
      <c r="AG15" s="103" t="s">
        <v>124</v>
      </c>
      <c r="AH15" s="103" t="s">
        <v>124</v>
      </c>
      <c r="AI15" s="103">
        <f>COUNTIF(AJ15:AW15,"x")</f>
        <v>14</v>
      </c>
      <c r="AJ15" s="103" t="s">
        <v>124</v>
      </c>
      <c r="AK15" s="103" t="s">
        <v>124</v>
      </c>
      <c r="AL15" s="103" t="s">
        <v>124</v>
      </c>
      <c r="AM15" s="103" t="s">
        <v>124</v>
      </c>
      <c r="AN15" s="103" t="s">
        <v>124</v>
      </c>
      <c r="AO15" s="103" t="s">
        <v>124</v>
      </c>
      <c r="AP15" s="103" t="s">
        <v>124</v>
      </c>
      <c r="AQ15" s="103" t="s">
        <v>124</v>
      </c>
      <c r="AR15" s="103" t="s">
        <v>124</v>
      </c>
      <c r="AS15" s="103" t="s">
        <v>124</v>
      </c>
      <c r="AT15" s="103" t="s">
        <v>124</v>
      </c>
      <c r="AU15" s="103" t="s">
        <v>124</v>
      </c>
      <c r="AV15" s="103" t="s">
        <v>124</v>
      </c>
      <c r="AW15" s="103" t="s">
        <v>124</v>
      </c>
      <c r="AX15" s="103">
        <f>COUNTIF(AY15:BL15,"x")</f>
        <v>14</v>
      </c>
      <c r="AY15" s="103" t="s">
        <v>124</v>
      </c>
      <c r="AZ15" s="103" t="s">
        <v>124</v>
      </c>
      <c r="BA15" s="103" t="s">
        <v>124</v>
      </c>
      <c r="BB15" s="103" t="s">
        <v>124</v>
      </c>
      <c r="BC15" s="103" t="s">
        <v>124</v>
      </c>
      <c r="BD15" s="103" t="s">
        <v>124</v>
      </c>
      <c r="BE15" s="103" t="s">
        <v>124</v>
      </c>
      <c r="BF15" s="103" t="s">
        <v>124</v>
      </c>
      <c r="BG15" s="103" t="s">
        <v>124</v>
      </c>
      <c r="BH15" s="103" t="s">
        <v>124</v>
      </c>
      <c r="BI15" s="103" t="s">
        <v>124</v>
      </c>
      <c r="BJ15" s="103" t="s">
        <v>124</v>
      </c>
      <c r="BK15" s="103" t="s">
        <v>124</v>
      </c>
      <c r="BL15" s="103" t="s">
        <v>124</v>
      </c>
      <c r="BM15" s="103">
        <f>COUNTIF(BN15:CA15,"x")</f>
        <v>14</v>
      </c>
      <c r="BN15" s="103" t="s">
        <v>124</v>
      </c>
      <c r="BO15" s="103" t="s">
        <v>124</v>
      </c>
      <c r="BP15" s="103" t="s">
        <v>124</v>
      </c>
      <c r="BQ15" s="103" t="s">
        <v>124</v>
      </c>
      <c r="BR15" s="103" t="s">
        <v>124</v>
      </c>
      <c r="BS15" s="103" t="s">
        <v>124</v>
      </c>
      <c r="BT15" s="103" t="s">
        <v>124</v>
      </c>
      <c r="BU15" s="103" t="s">
        <v>124</v>
      </c>
      <c r="BV15" s="103" t="s">
        <v>124</v>
      </c>
      <c r="BW15" s="103" t="s">
        <v>124</v>
      </c>
      <c r="BX15" s="103" t="s">
        <v>124</v>
      </c>
      <c r="BY15" s="103" t="s">
        <v>124</v>
      </c>
      <c r="BZ15" s="103" t="s">
        <v>124</v>
      </c>
      <c r="CA15" s="103" t="s">
        <v>124</v>
      </c>
      <c r="CB15" s="103">
        <f t="shared" ref="CB15:CB20" si="6">BM15</f>
        <v>14</v>
      </c>
      <c r="CC15" s="130">
        <v>14</v>
      </c>
      <c r="CD15" s="130">
        <v>14</v>
      </c>
      <c r="CE15" s="130">
        <v>14</v>
      </c>
      <c r="CF15" s="130">
        <v>14</v>
      </c>
      <c r="CG15" s="130">
        <v>14</v>
      </c>
      <c r="CH15" s="130">
        <v>14</v>
      </c>
      <c r="CI15" s="130">
        <v>14</v>
      </c>
      <c r="CJ15" s="232">
        <f t="shared" ref="CJ15" si="7">CF15/CB15%</f>
        <v>99.999999999999986</v>
      </c>
      <c r="CK15" s="232">
        <f t="shared" ref="CK15" si="8">CI15/CB15%</f>
        <v>99.999999999999986</v>
      </c>
      <c r="CL15" s="224"/>
    </row>
    <row r="16" spans="1:90" s="154" customFormat="1" ht="30">
      <c r="A16" s="78"/>
      <c r="B16" s="83" t="s">
        <v>143</v>
      </c>
      <c r="C16" s="78" t="s">
        <v>28</v>
      </c>
      <c r="D16" s="158">
        <f>'[1]B3 CNXD'!$K$15</f>
        <v>100</v>
      </c>
      <c r="E16" s="158">
        <v>100</v>
      </c>
      <c r="F16" s="158">
        <v>100</v>
      </c>
      <c r="G16" s="158">
        <v>100</v>
      </c>
      <c r="H16" s="158">
        <v>100</v>
      </c>
      <c r="I16" s="158">
        <v>100</v>
      </c>
      <c r="J16" s="158">
        <v>100</v>
      </c>
      <c r="K16" s="158">
        <v>100</v>
      </c>
      <c r="L16" s="158">
        <v>100</v>
      </c>
      <c r="M16" s="158">
        <v>100</v>
      </c>
      <c r="N16" s="158">
        <v>100</v>
      </c>
      <c r="O16" s="158">
        <v>100</v>
      </c>
      <c r="P16" s="158">
        <v>100</v>
      </c>
      <c r="Q16" s="158">
        <v>100</v>
      </c>
      <c r="R16" s="158">
        <v>100</v>
      </c>
      <c r="S16" s="158">
        <v>100</v>
      </c>
      <c r="T16" s="158">
        <v>100</v>
      </c>
      <c r="U16" s="158">
        <v>100</v>
      </c>
      <c r="V16" s="158">
        <v>100</v>
      </c>
      <c r="W16" s="158">
        <v>100</v>
      </c>
      <c r="X16" s="158">
        <v>100</v>
      </c>
      <c r="Y16" s="158">
        <v>100</v>
      </c>
      <c r="Z16" s="158">
        <v>100</v>
      </c>
      <c r="AA16" s="158">
        <v>100</v>
      </c>
      <c r="AB16" s="158">
        <v>100</v>
      </c>
      <c r="AC16" s="158">
        <v>100</v>
      </c>
      <c r="AD16" s="158">
        <v>100</v>
      </c>
      <c r="AE16" s="158">
        <v>100</v>
      </c>
      <c r="AF16" s="158">
        <v>100</v>
      </c>
      <c r="AG16" s="158">
        <v>100</v>
      </c>
      <c r="AH16" s="158">
        <v>100</v>
      </c>
      <c r="AI16" s="158">
        <v>100</v>
      </c>
      <c r="AJ16" s="158">
        <v>100</v>
      </c>
      <c r="AK16" s="158">
        <v>100</v>
      </c>
      <c r="AL16" s="158">
        <v>100</v>
      </c>
      <c r="AM16" s="158">
        <v>100</v>
      </c>
      <c r="AN16" s="158">
        <v>100</v>
      </c>
      <c r="AO16" s="158">
        <v>100</v>
      </c>
      <c r="AP16" s="158">
        <v>100</v>
      </c>
      <c r="AQ16" s="158">
        <v>100</v>
      </c>
      <c r="AR16" s="158">
        <v>100</v>
      </c>
      <c r="AS16" s="158">
        <v>100</v>
      </c>
      <c r="AT16" s="158">
        <v>100</v>
      </c>
      <c r="AU16" s="158">
        <v>100</v>
      </c>
      <c r="AV16" s="158">
        <v>100</v>
      </c>
      <c r="AW16" s="158">
        <v>100</v>
      </c>
      <c r="AX16" s="158">
        <v>100</v>
      </c>
      <c r="AY16" s="158">
        <v>100</v>
      </c>
      <c r="AZ16" s="158">
        <v>100</v>
      </c>
      <c r="BA16" s="158">
        <v>100</v>
      </c>
      <c r="BB16" s="158">
        <v>100</v>
      </c>
      <c r="BC16" s="158">
        <v>100</v>
      </c>
      <c r="BD16" s="158">
        <v>100</v>
      </c>
      <c r="BE16" s="158">
        <v>100</v>
      </c>
      <c r="BF16" s="158">
        <v>100</v>
      </c>
      <c r="BG16" s="158">
        <v>100</v>
      </c>
      <c r="BH16" s="158">
        <v>100</v>
      </c>
      <c r="BI16" s="158">
        <v>100</v>
      </c>
      <c r="BJ16" s="158">
        <v>100</v>
      </c>
      <c r="BK16" s="158">
        <v>100</v>
      </c>
      <c r="BL16" s="158">
        <v>100</v>
      </c>
      <c r="BM16" s="158">
        <v>100</v>
      </c>
      <c r="BN16" s="158">
        <v>100</v>
      </c>
      <c r="BO16" s="158">
        <v>100</v>
      </c>
      <c r="BP16" s="158">
        <v>100</v>
      </c>
      <c r="BQ16" s="158">
        <v>100</v>
      </c>
      <c r="BR16" s="158">
        <v>100</v>
      </c>
      <c r="BS16" s="158">
        <v>100</v>
      </c>
      <c r="BT16" s="158">
        <v>100</v>
      </c>
      <c r="BU16" s="158">
        <v>100</v>
      </c>
      <c r="BV16" s="158">
        <v>100</v>
      </c>
      <c r="BW16" s="158">
        <v>100</v>
      </c>
      <c r="BX16" s="158">
        <v>100</v>
      </c>
      <c r="BY16" s="158">
        <v>100</v>
      </c>
      <c r="BZ16" s="158">
        <v>100</v>
      </c>
      <c r="CA16" s="158">
        <v>100</v>
      </c>
      <c r="CB16" s="158">
        <f t="shared" si="6"/>
        <v>100</v>
      </c>
      <c r="CC16" s="130">
        <v>100</v>
      </c>
      <c r="CD16" s="130">
        <v>100</v>
      </c>
      <c r="CE16" s="130">
        <v>100</v>
      </c>
      <c r="CF16" s="130">
        <v>100</v>
      </c>
      <c r="CG16" s="130">
        <v>100</v>
      </c>
      <c r="CH16" s="130">
        <v>100</v>
      </c>
      <c r="CI16" s="130">
        <v>100</v>
      </c>
      <c r="CJ16" s="232">
        <f t="shared" ref="CJ16:CJ19" si="9">CF16/CB16%</f>
        <v>100</v>
      </c>
      <c r="CK16" s="232">
        <f t="shared" ref="CK16:CK19" si="10">CI16/CB16%</f>
        <v>100</v>
      </c>
      <c r="CL16" s="224"/>
    </row>
    <row r="17" spans="1:91" s="154" customFormat="1" ht="24" hidden="1" customHeight="1">
      <c r="A17" s="78"/>
      <c r="B17" s="83" t="s">
        <v>144</v>
      </c>
      <c r="C17" s="78" t="s">
        <v>28</v>
      </c>
      <c r="D17" s="158">
        <f>'[1]B3 CNXD'!$K$16</f>
        <v>92.6</v>
      </c>
      <c r="E17" s="158">
        <v>94.2</v>
      </c>
      <c r="F17" s="158"/>
      <c r="G17" s="158"/>
      <c r="H17" s="158"/>
      <c r="I17" s="158"/>
      <c r="J17" s="158"/>
      <c r="K17" s="158"/>
      <c r="L17" s="158"/>
      <c r="M17" s="158"/>
      <c r="N17" s="158"/>
      <c r="O17" s="158"/>
      <c r="P17" s="158"/>
      <c r="Q17" s="158"/>
      <c r="R17" s="158"/>
      <c r="S17" s="158"/>
      <c r="T17" s="158">
        <v>96.3</v>
      </c>
      <c r="U17" s="158"/>
      <c r="V17" s="158"/>
      <c r="W17" s="158"/>
      <c r="X17" s="158"/>
      <c r="Y17" s="158"/>
      <c r="Z17" s="158"/>
      <c r="AA17" s="158"/>
      <c r="AB17" s="158"/>
      <c r="AC17" s="158"/>
      <c r="AD17" s="158"/>
      <c r="AE17" s="158"/>
      <c r="AF17" s="158"/>
      <c r="AG17" s="158"/>
      <c r="AH17" s="158"/>
      <c r="AI17" s="158">
        <v>97.6</v>
      </c>
      <c r="AJ17" s="158"/>
      <c r="AK17" s="158"/>
      <c r="AL17" s="158"/>
      <c r="AM17" s="158"/>
      <c r="AN17" s="158"/>
      <c r="AO17" s="158"/>
      <c r="AP17" s="158"/>
      <c r="AQ17" s="158"/>
      <c r="AR17" s="158"/>
      <c r="AS17" s="158"/>
      <c r="AT17" s="158"/>
      <c r="AU17" s="158"/>
      <c r="AV17" s="158"/>
      <c r="AW17" s="158"/>
      <c r="AX17" s="158">
        <v>98.8</v>
      </c>
      <c r="AY17" s="158"/>
      <c r="AZ17" s="158"/>
      <c r="BA17" s="158"/>
      <c r="BB17" s="158"/>
      <c r="BC17" s="158"/>
      <c r="BD17" s="158"/>
      <c r="BE17" s="158"/>
      <c r="BF17" s="158"/>
      <c r="BG17" s="158"/>
      <c r="BH17" s="158"/>
      <c r="BI17" s="158"/>
      <c r="BJ17" s="158"/>
      <c r="BK17" s="158"/>
      <c r="BL17" s="158"/>
      <c r="BM17" s="158">
        <v>99.8</v>
      </c>
      <c r="BN17" s="158"/>
      <c r="BO17" s="158"/>
      <c r="BP17" s="158"/>
      <c r="BQ17" s="158"/>
      <c r="BR17" s="158"/>
      <c r="BS17" s="158"/>
      <c r="BT17" s="158"/>
      <c r="BU17" s="158"/>
      <c r="BV17" s="158"/>
      <c r="BW17" s="158"/>
      <c r="BX17" s="158"/>
      <c r="BY17" s="158"/>
      <c r="BZ17" s="158"/>
      <c r="CA17" s="158"/>
      <c r="CB17" s="158">
        <f t="shared" si="6"/>
        <v>99.8</v>
      </c>
      <c r="CC17" s="130">
        <v>85.5</v>
      </c>
      <c r="CD17" s="130">
        <v>90</v>
      </c>
      <c r="CE17" s="130">
        <v>92.4</v>
      </c>
      <c r="CF17" s="130">
        <f>CE17</f>
        <v>92.4</v>
      </c>
      <c r="CG17" s="130"/>
      <c r="CH17" s="130"/>
      <c r="CI17" s="130"/>
      <c r="CJ17" s="232">
        <f t="shared" si="9"/>
        <v>92.585170340681373</v>
      </c>
      <c r="CK17" s="232">
        <f t="shared" si="10"/>
        <v>0</v>
      </c>
      <c r="CL17" s="224"/>
    </row>
    <row r="18" spans="1:91" s="154" customFormat="1" ht="24" hidden="1" customHeight="1">
      <c r="A18" s="78"/>
      <c r="B18" s="83" t="s">
        <v>145</v>
      </c>
      <c r="C18" s="78" t="s">
        <v>28</v>
      </c>
      <c r="D18" s="158">
        <f>'[1]B3 CNXD'!$K$17</f>
        <v>91.5</v>
      </c>
      <c r="E18" s="158">
        <v>92.7</v>
      </c>
      <c r="F18" s="158"/>
      <c r="G18" s="158"/>
      <c r="H18" s="158"/>
      <c r="I18" s="158"/>
      <c r="J18" s="158"/>
      <c r="K18" s="158"/>
      <c r="L18" s="158"/>
      <c r="M18" s="158"/>
      <c r="N18" s="158"/>
      <c r="O18" s="158"/>
      <c r="P18" s="158"/>
      <c r="Q18" s="158"/>
      <c r="R18" s="158"/>
      <c r="S18" s="158"/>
      <c r="T18" s="158">
        <v>94.2</v>
      </c>
      <c r="U18" s="158"/>
      <c r="V18" s="158"/>
      <c r="W18" s="158"/>
      <c r="X18" s="158"/>
      <c r="Y18" s="158"/>
      <c r="Z18" s="158"/>
      <c r="AA18" s="158"/>
      <c r="AB18" s="158"/>
      <c r="AC18" s="158"/>
      <c r="AD18" s="158"/>
      <c r="AE18" s="158"/>
      <c r="AF18" s="158"/>
      <c r="AG18" s="158"/>
      <c r="AH18" s="158"/>
      <c r="AI18" s="158">
        <v>96.4</v>
      </c>
      <c r="AJ18" s="158"/>
      <c r="AK18" s="158"/>
      <c r="AL18" s="158"/>
      <c r="AM18" s="158"/>
      <c r="AN18" s="158"/>
      <c r="AO18" s="158"/>
      <c r="AP18" s="158"/>
      <c r="AQ18" s="158"/>
      <c r="AR18" s="158"/>
      <c r="AS18" s="158"/>
      <c r="AT18" s="158"/>
      <c r="AU18" s="158"/>
      <c r="AV18" s="158"/>
      <c r="AW18" s="158"/>
      <c r="AX18" s="158">
        <v>98</v>
      </c>
      <c r="AY18" s="158"/>
      <c r="AZ18" s="158"/>
      <c r="BA18" s="158"/>
      <c r="BB18" s="158"/>
      <c r="BC18" s="158"/>
      <c r="BD18" s="158"/>
      <c r="BE18" s="158"/>
      <c r="BF18" s="158"/>
      <c r="BG18" s="158"/>
      <c r="BH18" s="158"/>
      <c r="BI18" s="158"/>
      <c r="BJ18" s="158"/>
      <c r="BK18" s="158"/>
      <c r="BL18" s="158"/>
      <c r="BM18" s="158">
        <v>99.1</v>
      </c>
      <c r="BN18" s="158"/>
      <c r="BO18" s="158"/>
      <c r="BP18" s="158"/>
      <c r="BQ18" s="158"/>
      <c r="BR18" s="158"/>
      <c r="BS18" s="158"/>
      <c r="BT18" s="158"/>
      <c r="BU18" s="158"/>
      <c r="BV18" s="158"/>
      <c r="BW18" s="158"/>
      <c r="BX18" s="158"/>
      <c r="BY18" s="158"/>
      <c r="BZ18" s="158"/>
      <c r="CA18" s="158"/>
      <c r="CB18" s="158">
        <f t="shared" si="6"/>
        <v>99.1</v>
      </c>
      <c r="CC18" s="130">
        <v>78.099999999999994</v>
      </c>
      <c r="CD18" s="130">
        <v>88.2</v>
      </c>
      <c r="CE18" s="130">
        <v>89</v>
      </c>
      <c r="CF18" s="130">
        <v>89</v>
      </c>
      <c r="CG18" s="235"/>
      <c r="CH18" s="235"/>
      <c r="CI18" s="130"/>
      <c r="CJ18" s="232">
        <f t="shared" si="9"/>
        <v>89.808274470232092</v>
      </c>
      <c r="CK18" s="232">
        <f t="shared" si="10"/>
        <v>0</v>
      </c>
      <c r="CL18" s="224"/>
    </row>
    <row r="19" spans="1:91" s="154" customFormat="1" ht="30">
      <c r="A19" s="78"/>
      <c r="B19" s="83" t="s">
        <v>146</v>
      </c>
      <c r="C19" s="78" t="s">
        <v>28</v>
      </c>
      <c r="D19" s="158">
        <f>'[1]B3 CNXD'!$K$18</f>
        <v>85</v>
      </c>
      <c r="E19" s="158">
        <v>95</v>
      </c>
      <c r="F19" s="158"/>
      <c r="G19" s="158"/>
      <c r="H19" s="158"/>
      <c r="I19" s="158"/>
      <c r="J19" s="158"/>
      <c r="K19" s="158"/>
      <c r="L19" s="158"/>
      <c r="M19" s="158"/>
      <c r="N19" s="158"/>
      <c r="O19" s="158"/>
      <c r="P19" s="158"/>
      <c r="Q19" s="158"/>
      <c r="R19" s="158"/>
      <c r="S19" s="158"/>
      <c r="T19" s="158">
        <v>96</v>
      </c>
      <c r="U19" s="158"/>
      <c r="V19" s="158"/>
      <c r="W19" s="158"/>
      <c r="X19" s="158"/>
      <c r="Y19" s="158"/>
      <c r="Z19" s="158"/>
      <c r="AA19" s="158"/>
      <c r="AB19" s="158"/>
      <c r="AC19" s="158"/>
      <c r="AD19" s="158"/>
      <c r="AE19" s="158"/>
      <c r="AF19" s="158"/>
      <c r="AG19" s="158"/>
      <c r="AH19" s="158"/>
      <c r="AI19" s="158">
        <v>97</v>
      </c>
      <c r="AJ19" s="158"/>
      <c r="AK19" s="158"/>
      <c r="AL19" s="158"/>
      <c r="AM19" s="158"/>
      <c r="AN19" s="158"/>
      <c r="AO19" s="158"/>
      <c r="AP19" s="158"/>
      <c r="AQ19" s="158"/>
      <c r="AR19" s="158"/>
      <c r="AS19" s="158"/>
      <c r="AT19" s="158"/>
      <c r="AU19" s="158"/>
      <c r="AV19" s="158"/>
      <c r="AW19" s="158"/>
      <c r="AX19" s="158">
        <v>98</v>
      </c>
      <c r="AY19" s="158"/>
      <c r="AZ19" s="158"/>
      <c r="BA19" s="158"/>
      <c r="BB19" s="158"/>
      <c r="BC19" s="158"/>
      <c r="BD19" s="158"/>
      <c r="BE19" s="158"/>
      <c r="BF19" s="158"/>
      <c r="BG19" s="158"/>
      <c r="BH19" s="158"/>
      <c r="BI19" s="158"/>
      <c r="BJ19" s="158"/>
      <c r="BK19" s="158"/>
      <c r="BL19" s="158"/>
      <c r="BM19" s="158">
        <v>99</v>
      </c>
      <c r="BN19" s="158"/>
      <c r="BO19" s="158"/>
      <c r="BP19" s="158"/>
      <c r="BQ19" s="158"/>
      <c r="BR19" s="158"/>
      <c r="BS19" s="158"/>
      <c r="BT19" s="158"/>
      <c r="BU19" s="158"/>
      <c r="BV19" s="158"/>
      <c r="BW19" s="158"/>
      <c r="BX19" s="158"/>
      <c r="BY19" s="158"/>
      <c r="BZ19" s="158"/>
      <c r="CA19" s="158"/>
      <c r="CB19" s="158">
        <f t="shared" si="6"/>
        <v>99</v>
      </c>
      <c r="CC19" s="130">
        <v>85</v>
      </c>
      <c r="CD19" s="130">
        <v>89.8</v>
      </c>
      <c r="CE19" s="130">
        <v>92</v>
      </c>
      <c r="CF19" s="130">
        <v>92</v>
      </c>
      <c r="CG19" s="362">
        <v>98</v>
      </c>
      <c r="CH19" s="362">
        <v>99</v>
      </c>
      <c r="CI19" s="130">
        <f>CH19</f>
        <v>99</v>
      </c>
      <c r="CJ19" s="232">
        <f t="shared" si="9"/>
        <v>92.929292929292927</v>
      </c>
      <c r="CK19" s="232">
        <f t="shared" si="10"/>
        <v>100</v>
      </c>
      <c r="CL19" s="224"/>
      <c r="CM19" s="395">
        <f>93.5/CB19*100</f>
        <v>94.444444444444443</v>
      </c>
    </row>
    <row r="20" spans="1:91" s="154" customFormat="1" ht="30">
      <c r="A20" s="80"/>
      <c r="B20" s="84" t="s">
        <v>147</v>
      </c>
      <c r="C20" s="80" t="s">
        <v>28</v>
      </c>
      <c r="D20" s="233">
        <f>'[1]B3 CNXD'!$K$19</f>
        <v>7.3</v>
      </c>
      <c r="E20" s="233">
        <v>6.8</v>
      </c>
      <c r="F20" s="233"/>
      <c r="G20" s="233"/>
      <c r="H20" s="233"/>
      <c r="I20" s="233"/>
      <c r="J20" s="233"/>
      <c r="K20" s="233"/>
      <c r="L20" s="233"/>
      <c r="M20" s="233"/>
      <c r="N20" s="233"/>
      <c r="O20" s="233"/>
      <c r="P20" s="233"/>
      <c r="Q20" s="233"/>
      <c r="R20" s="233"/>
      <c r="S20" s="233"/>
      <c r="T20" s="233">
        <v>5.7</v>
      </c>
      <c r="U20" s="233"/>
      <c r="V20" s="233"/>
      <c r="W20" s="233"/>
      <c r="X20" s="233"/>
      <c r="Y20" s="233"/>
      <c r="Z20" s="233"/>
      <c r="AA20" s="233"/>
      <c r="AB20" s="233"/>
      <c r="AC20" s="233"/>
      <c r="AD20" s="233"/>
      <c r="AE20" s="233"/>
      <c r="AF20" s="233"/>
      <c r="AG20" s="233"/>
      <c r="AH20" s="233"/>
      <c r="AI20" s="233">
        <v>4.3</v>
      </c>
      <c r="AJ20" s="233"/>
      <c r="AK20" s="233"/>
      <c r="AL20" s="233"/>
      <c r="AM20" s="233"/>
      <c r="AN20" s="233"/>
      <c r="AO20" s="233"/>
      <c r="AP20" s="233"/>
      <c r="AQ20" s="233"/>
      <c r="AR20" s="233"/>
      <c r="AS20" s="233"/>
      <c r="AT20" s="233"/>
      <c r="AU20" s="233"/>
      <c r="AV20" s="233"/>
      <c r="AW20" s="233"/>
      <c r="AX20" s="233">
        <v>3.6</v>
      </c>
      <c r="AY20" s="233"/>
      <c r="AZ20" s="233"/>
      <c r="BA20" s="233"/>
      <c r="BB20" s="233"/>
      <c r="BC20" s="233"/>
      <c r="BD20" s="233"/>
      <c r="BE20" s="233"/>
      <c r="BF20" s="233"/>
      <c r="BG20" s="233"/>
      <c r="BH20" s="233"/>
      <c r="BI20" s="233"/>
      <c r="BJ20" s="233"/>
      <c r="BK20" s="233"/>
      <c r="BL20" s="233"/>
      <c r="BM20" s="233">
        <v>3</v>
      </c>
      <c r="BN20" s="233"/>
      <c r="BO20" s="233"/>
      <c r="BP20" s="233"/>
      <c r="BQ20" s="233"/>
      <c r="BR20" s="233"/>
      <c r="BS20" s="233"/>
      <c r="BT20" s="233"/>
      <c r="BU20" s="233"/>
      <c r="BV20" s="233"/>
      <c r="BW20" s="233"/>
      <c r="BX20" s="233"/>
      <c r="BY20" s="233"/>
      <c r="BZ20" s="233"/>
      <c r="CA20" s="233"/>
      <c r="CB20" s="233">
        <f t="shared" si="6"/>
        <v>3</v>
      </c>
      <c r="CC20" s="226">
        <f>CC19-CC18</f>
        <v>6.9000000000000057</v>
      </c>
      <c r="CD20" s="226">
        <f t="shared" ref="CD20" si="11">CD19-CD18</f>
        <v>1.5999999999999943</v>
      </c>
      <c r="CE20" s="234">
        <v>1</v>
      </c>
      <c r="CF20" s="234">
        <v>1</v>
      </c>
      <c r="CG20" s="363">
        <v>0.8</v>
      </c>
      <c r="CH20" s="363">
        <v>0.5</v>
      </c>
      <c r="CI20" s="226">
        <f>CH20</f>
        <v>0.5</v>
      </c>
      <c r="CJ20" s="364">
        <f>CF20/CB20%</f>
        <v>33.333333333333336</v>
      </c>
      <c r="CK20" s="364">
        <f>CI20/CB20%</f>
        <v>16.666666666666668</v>
      </c>
      <c r="CL20" s="225"/>
    </row>
  </sheetData>
  <mergeCells count="13">
    <mergeCell ref="CJ4:CK4"/>
    <mergeCell ref="CL4:CL5"/>
    <mergeCell ref="E4:BM4"/>
    <mergeCell ref="CC4:CI4"/>
    <mergeCell ref="A1:CB1"/>
    <mergeCell ref="BN4:CA4"/>
    <mergeCell ref="CB4:CB5"/>
    <mergeCell ref="A4:A5"/>
    <mergeCell ref="B4:B5"/>
    <mergeCell ref="C4:C5"/>
    <mergeCell ref="D4:D5"/>
    <mergeCell ref="A2:CL2"/>
    <mergeCell ref="A3:CL3"/>
  </mergeCells>
  <pageMargins left="0.2" right="0.2" top="0.75" bottom="0.75" header="0.3" footer="0.3"/>
  <pageSetup paperSize="9" scale="65" orientation="landscape" r:id="rId1"/>
  <headerFooter>
    <oddHeader>Page &amp;P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U24"/>
  <sheetViews>
    <sheetView topLeftCell="A2" zoomScale="85" zoomScaleNormal="85" workbookViewId="0">
      <pane xSplit="3" ySplit="6" topLeftCell="F8" activePane="bottomRight" state="frozen"/>
      <selection activeCell="CG77" activeCellId="1" sqref="CC77:CE77 CG77"/>
      <selection pane="topRight" activeCell="CG77" activeCellId="1" sqref="CC77:CE77 CG77"/>
      <selection pane="bottomLeft" activeCell="CG77" activeCellId="1" sqref="CC77:CE77 CG77"/>
      <selection pane="bottomRight" activeCell="CG77" activeCellId="1" sqref="CC77:CE77 CG77"/>
    </sheetView>
  </sheetViews>
  <sheetFormatPr defaultRowHeight="15.75"/>
  <cols>
    <col min="1" max="1" width="5.42578125" style="2" customWidth="1"/>
    <col min="2" max="2" width="24.42578125" style="1" customWidth="1"/>
    <col min="3" max="3" width="6.7109375" style="2" customWidth="1"/>
    <col min="4" max="4" width="12.140625" style="2" customWidth="1"/>
    <col min="5" max="5" width="10.85546875" style="2" customWidth="1"/>
    <col min="6" max="6" width="9.7109375" style="2" customWidth="1"/>
    <col min="7" max="7" width="9.42578125" style="2" customWidth="1"/>
    <col min="8" max="8" width="9.5703125" style="2" customWidth="1"/>
    <col min="9" max="9" width="9.85546875" style="2" customWidth="1"/>
    <col min="10" max="10" width="11" style="2" customWidth="1"/>
    <col min="11" max="11" width="11.5703125" style="2" customWidth="1"/>
    <col min="12" max="12" width="9.7109375" customWidth="1"/>
    <col min="13" max="13" width="10.140625" customWidth="1"/>
    <col min="14" max="14" width="11.42578125" bestFit="1" customWidth="1"/>
    <col min="15" max="15" width="11.42578125" customWidth="1"/>
    <col min="16" max="17" width="10.85546875" customWidth="1"/>
    <col min="18" max="18" width="10.7109375" customWidth="1"/>
    <col min="21" max="21" width="7.28515625" customWidth="1"/>
  </cols>
  <sheetData>
    <row r="1" spans="1:21">
      <c r="A1" s="555" t="s">
        <v>148</v>
      </c>
      <c r="B1" s="555"/>
      <c r="C1" s="555"/>
      <c r="D1" s="555"/>
      <c r="E1" s="555"/>
      <c r="F1" s="555"/>
      <c r="G1" s="555"/>
      <c r="H1" s="555"/>
      <c r="I1" s="555"/>
      <c r="J1" s="555"/>
      <c r="K1" s="555"/>
    </row>
    <row r="2" spans="1:21" ht="23.25" customHeight="1">
      <c r="A2" s="538" t="s">
        <v>149</v>
      </c>
      <c r="B2" s="538"/>
      <c r="C2" s="538"/>
      <c r="D2" s="538"/>
      <c r="E2" s="538"/>
      <c r="F2" s="538"/>
      <c r="G2" s="538"/>
      <c r="H2" s="538"/>
      <c r="I2" s="538"/>
      <c r="J2" s="538"/>
      <c r="K2" s="538"/>
      <c r="L2" s="538"/>
      <c r="M2" s="538"/>
      <c r="N2" s="538"/>
      <c r="O2" s="538"/>
      <c r="P2" s="538"/>
      <c r="Q2" s="538"/>
      <c r="R2" s="538"/>
      <c r="S2" s="538"/>
      <c r="T2" s="538"/>
      <c r="U2" s="538"/>
    </row>
    <row r="3" spans="1:21" ht="27" customHeight="1">
      <c r="A3" s="557" t="str">
        <f>'B1 TH'!A3:J3</f>
        <v>(Kèm theo Báo cáo số 545-BC/HU, ngày 02/10/2024 của BTV Huyện ủy)</v>
      </c>
      <c r="B3" s="557"/>
      <c r="C3" s="557"/>
      <c r="D3" s="557"/>
      <c r="E3" s="557"/>
      <c r="F3" s="557"/>
      <c r="G3" s="557"/>
      <c r="H3" s="557"/>
      <c r="I3" s="557"/>
      <c r="J3" s="557"/>
      <c r="K3" s="557"/>
      <c r="L3" s="557"/>
      <c r="M3" s="557"/>
      <c r="N3" s="557"/>
      <c r="O3" s="557"/>
      <c r="P3" s="557"/>
      <c r="Q3" s="557"/>
      <c r="R3" s="557"/>
      <c r="S3" s="557"/>
      <c r="T3" s="557"/>
      <c r="U3" s="557"/>
    </row>
    <row r="5" spans="1:21" s="146" customFormat="1" ht="26.25" customHeight="1">
      <c r="A5" s="536" t="s">
        <v>1</v>
      </c>
      <c r="B5" s="556" t="s">
        <v>150</v>
      </c>
      <c r="C5" s="536" t="s">
        <v>3</v>
      </c>
      <c r="D5" s="536" t="s">
        <v>151</v>
      </c>
      <c r="E5" s="536" t="s">
        <v>666</v>
      </c>
      <c r="F5" s="536"/>
      <c r="G5" s="536"/>
      <c r="H5" s="536"/>
      <c r="I5" s="536"/>
      <c r="J5" s="536"/>
      <c r="K5" s="536" t="s">
        <v>152</v>
      </c>
      <c r="L5" s="549" t="s">
        <v>653</v>
      </c>
      <c r="M5" s="550"/>
      <c r="N5" s="550"/>
      <c r="O5" s="550"/>
      <c r="P5" s="550"/>
      <c r="Q5" s="550"/>
      <c r="R5" s="551"/>
      <c r="S5" s="552" t="s">
        <v>661</v>
      </c>
      <c r="T5" s="553"/>
      <c r="U5" s="543" t="s">
        <v>319</v>
      </c>
    </row>
    <row r="6" spans="1:21" s="146" customFormat="1" ht="84" customHeight="1">
      <c r="A6" s="536"/>
      <c r="B6" s="556"/>
      <c r="C6" s="536"/>
      <c r="D6" s="536"/>
      <c r="E6" s="237" t="s">
        <v>5</v>
      </c>
      <c r="F6" s="237" t="s">
        <v>7</v>
      </c>
      <c r="G6" s="237" t="s">
        <v>8</v>
      </c>
      <c r="H6" s="237" t="s">
        <v>9</v>
      </c>
      <c r="I6" s="237" t="s">
        <v>10</v>
      </c>
      <c r="J6" s="237" t="s">
        <v>153</v>
      </c>
      <c r="K6" s="536"/>
      <c r="L6" s="237" t="s">
        <v>654</v>
      </c>
      <c r="M6" s="237" t="s">
        <v>655</v>
      </c>
      <c r="N6" s="237" t="s">
        <v>656</v>
      </c>
      <c r="O6" s="237" t="s">
        <v>657</v>
      </c>
      <c r="P6" s="237" t="s">
        <v>658</v>
      </c>
      <c r="Q6" s="237" t="s">
        <v>659</v>
      </c>
      <c r="R6" s="201" t="s">
        <v>672</v>
      </c>
      <c r="S6" s="195" t="s">
        <v>662</v>
      </c>
      <c r="T6" s="195" t="s">
        <v>663</v>
      </c>
      <c r="U6" s="544"/>
    </row>
    <row r="7" spans="1:21" s="146" customFormat="1" ht="15" hidden="1">
      <c r="A7" s="296" t="s">
        <v>129</v>
      </c>
      <c r="B7" s="297" t="s">
        <v>131</v>
      </c>
      <c r="C7" s="298" t="s">
        <v>154</v>
      </c>
      <c r="D7" s="298" t="s">
        <v>155</v>
      </c>
      <c r="E7" s="298" t="s">
        <v>156</v>
      </c>
      <c r="F7" s="298" t="s">
        <v>157</v>
      </c>
      <c r="G7" s="298" t="s">
        <v>158</v>
      </c>
      <c r="H7" s="298" t="s">
        <v>159</v>
      </c>
      <c r="I7" s="298" t="s">
        <v>160</v>
      </c>
      <c r="J7" s="298" t="s">
        <v>161</v>
      </c>
      <c r="K7" s="299" t="s">
        <v>162</v>
      </c>
      <c r="L7" s="124"/>
      <c r="M7" s="124"/>
      <c r="N7" s="124"/>
      <c r="O7" s="124"/>
      <c r="P7" s="124"/>
      <c r="Q7" s="124"/>
      <c r="R7" s="124"/>
      <c r="S7" s="227"/>
      <c r="T7" s="227"/>
      <c r="U7" s="228"/>
    </row>
    <row r="8" spans="1:21" s="146" customFormat="1" ht="21" customHeight="1">
      <c r="A8" s="76">
        <v>1</v>
      </c>
      <c r="B8" s="100" t="s">
        <v>163</v>
      </c>
      <c r="C8" s="76" t="s">
        <v>164</v>
      </c>
      <c r="D8" s="300"/>
      <c r="E8" s="300"/>
      <c r="F8" s="300"/>
      <c r="G8" s="300"/>
      <c r="H8" s="300"/>
      <c r="I8" s="300"/>
      <c r="J8" s="300"/>
      <c r="K8" s="300"/>
      <c r="L8" s="126"/>
      <c r="M8" s="126"/>
      <c r="N8" s="126"/>
      <c r="O8" s="126"/>
      <c r="P8" s="126"/>
      <c r="Q8" s="126"/>
      <c r="R8" s="126"/>
      <c r="S8" s="229"/>
      <c r="T8" s="229"/>
      <c r="U8" s="230"/>
    </row>
    <row r="9" spans="1:21" s="146" customFormat="1" ht="30">
      <c r="A9" s="78"/>
      <c r="B9" s="83" t="s">
        <v>165</v>
      </c>
      <c r="C9" s="78" t="s">
        <v>643</v>
      </c>
      <c r="D9" s="186">
        <f>'B3'!D9</f>
        <v>105954.61</v>
      </c>
      <c r="E9" s="135">
        <v>228500</v>
      </c>
      <c r="F9" s="135">
        <v>368000</v>
      </c>
      <c r="G9" s="135">
        <v>438000</v>
      </c>
      <c r="H9" s="135">
        <v>520000</v>
      </c>
      <c r="I9" s="135">
        <v>768000</v>
      </c>
      <c r="J9" s="135">
        <f>SUM(E9:I9)</f>
        <v>2322500</v>
      </c>
      <c r="K9" s="110">
        <f>SUM(E9:I9)</f>
        <v>2322500</v>
      </c>
      <c r="L9" s="135">
        <f>'B3'!CC8</f>
        <v>228500</v>
      </c>
      <c r="M9" s="135">
        <f>'B3'!CD8</f>
        <v>690000</v>
      </c>
      <c r="N9" s="135">
        <f>'B3'!CE8</f>
        <v>941000</v>
      </c>
      <c r="O9" s="135">
        <f>'B3'!CF8</f>
        <v>1859500</v>
      </c>
      <c r="P9" s="135">
        <f>'B3'!CG8</f>
        <v>1678000</v>
      </c>
      <c r="Q9" s="135">
        <f>'B3'!CH8</f>
        <v>1500000</v>
      </c>
      <c r="R9" s="367">
        <f>+O9+P9+Q9</f>
        <v>5037500</v>
      </c>
      <c r="S9" s="366">
        <f>O9/K9%</f>
        <v>80.064585575888046</v>
      </c>
      <c r="T9" s="232">
        <f>R9/K9%</f>
        <v>216.89989235737352</v>
      </c>
      <c r="U9" s="230"/>
    </row>
    <row r="10" spans="1:21" s="146" customFormat="1" ht="15" hidden="1">
      <c r="A10" s="78"/>
      <c r="B10" s="83" t="s">
        <v>166</v>
      </c>
      <c r="C10" s="78" t="s">
        <v>164</v>
      </c>
      <c r="D10" s="103">
        <v>0.05</v>
      </c>
      <c r="E10" s="103">
        <v>5.0000000000000001E-3</v>
      </c>
      <c r="F10" s="103">
        <v>5.0000000000000001E-3</v>
      </c>
      <c r="G10" s="103">
        <v>5.0000000000000001E-3</v>
      </c>
      <c r="H10" s="103">
        <v>5.0000000000000001E-3</v>
      </c>
      <c r="I10" s="103">
        <v>5.0000000000000001E-3</v>
      </c>
      <c r="J10" s="103">
        <f t="shared" ref="J10" si="0">SUM(E10:I10)</f>
        <v>2.5000000000000001E-2</v>
      </c>
      <c r="K10" s="103">
        <f t="shared" ref="K10" si="1">SUM(E10:I10)</f>
        <v>2.5000000000000001E-2</v>
      </c>
      <c r="L10" s="125"/>
      <c r="M10" s="125"/>
      <c r="N10" s="125"/>
      <c r="O10" s="125"/>
      <c r="P10" s="125"/>
      <c r="Q10" s="125"/>
      <c r="R10" s="224"/>
      <c r="S10" s="224"/>
      <c r="T10" s="224"/>
      <c r="U10" s="224"/>
    </row>
    <row r="11" spans="1:21" s="146" customFormat="1" ht="23.25" customHeight="1">
      <c r="A11" s="78"/>
      <c r="B11" s="83" t="s">
        <v>167</v>
      </c>
      <c r="C11" s="78" t="s">
        <v>168</v>
      </c>
      <c r="D11" s="103"/>
      <c r="E11" s="103"/>
      <c r="F11" s="103"/>
      <c r="G11" s="103"/>
      <c r="H11" s="103"/>
      <c r="I11" s="103"/>
      <c r="J11" s="103"/>
      <c r="K11" s="103"/>
      <c r="L11" s="125"/>
      <c r="M11" s="125"/>
      <c r="N11" s="125"/>
      <c r="O11" s="125"/>
      <c r="P11" s="125"/>
      <c r="Q11" s="125"/>
      <c r="R11" s="224"/>
      <c r="S11" s="224"/>
      <c r="T11" s="224"/>
      <c r="U11" s="224"/>
    </row>
    <row r="12" spans="1:21" s="17" customFormat="1" ht="39.75" customHeight="1">
      <c r="A12" s="85"/>
      <c r="B12" s="86" t="s">
        <v>169</v>
      </c>
      <c r="C12" s="85" t="s">
        <v>170</v>
      </c>
      <c r="D12" s="301">
        <v>4</v>
      </c>
      <c r="E12" s="301">
        <v>1</v>
      </c>
      <c r="F12" s="301">
        <v>2</v>
      </c>
      <c r="G12" s="301">
        <v>1</v>
      </c>
      <c r="H12" s="301">
        <v>2</v>
      </c>
      <c r="I12" s="301">
        <v>2</v>
      </c>
      <c r="J12" s="301">
        <f>SUM(E12:I12)</f>
        <v>8</v>
      </c>
      <c r="K12" s="97">
        <f>D12+J12</f>
        <v>12</v>
      </c>
      <c r="L12" s="246">
        <v>0</v>
      </c>
      <c r="M12" s="246">
        <v>1</v>
      </c>
      <c r="N12" s="246">
        <v>1</v>
      </c>
      <c r="O12" s="246">
        <f>+L12+M12+N12</f>
        <v>2</v>
      </c>
      <c r="P12" s="246">
        <v>1</v>
      </c>
      <c r="Q12" s="246">
        <v>1</v>
      </c>
      <c r="R12" s="367">
        <f>+Q12+P12+O12+D12</f>
        <v>8</v>
      </c>
      <c r="S12" s="366">
        <f>O12/K12%</f>
        <v>16.666666666666668</v>
      </c>
      <c r="T12" s="232">
        <f>R12/K12%</f>
        <v>66.666666666666671</v>
      </c>
      <c r="U12" s="215"/>
    </row>
    <row r="13" spans="1:21" s="17" customFormat="1" ht="23.25" customHeight="1">
      <c r="A13" s="85"/>
      <c r="B13" s="86" t="s">
        <v>171</v>
      </c>
      <c r="C13" s="85" t="s">
        <v>168</v>
      </c>
      <c r="D13" s="302">
        <v>376.6</v>
      </c>
      <c r="E13" s="302">
        <v>4</v>
      </c>
      <c r="F13" s="302">
        <v>6</v>
      </c>
      <c r="G13" s="302">
        <v>3</v>
      </c>
      <c r="H13" s="302">
        <v>6</v>
      </c>
      <c r="I13" s="302">
        <v>6</v>
      </c>
      <c r="J13" s="302">
        <f>SUM(E13:I13)</f>
        <v>25</v>
      </c>
      <c r="K13" s="271">
        <f>D13+J13</f>
        <v>401.6</v>
      </c>
      <c r="L13" s="246">
        <v>0</v>
      </c>
      <c r="M13" s="368">
        <v>1.1599999999999999</v>
      </c>
      <c r="N13" s="368">
        <v>34.476999999999997</v>
      </c>
      <c r="O13" s="368">
        <f>+L13+M13+N13</f>
        <v>35.636999999999993</v>
      </c>
      <c r="P13" s="368">
        <v>2.17</v>
      </c>
      <c r="Q13" s="368">
        <v>1.1000000000000001</v>
      </c>
      <c r="R13" s="351">
        <f>+D13+O13+P13+Q13</f>
        <v>415.50700000000006</v>
      </c>
      <c r="S13" s="366">
        <f>O13/K13%</f>
        <v>8.8737549800796796</v>
      </c>
      <c r="T13" s="232">
        <f>R13/K13%</f>
        <v>103.46289840637452</v>
      </c>
      <c r="U13" s="215"/>
    </row>
    <row r="14" spans="1:21" s="146" customFormat="1" ht="23.25" customHeight="1">
      <c r="A14" s="78"/>
      <c r="B14" s="83" t="s">
        <v>172</v>
      </c>
      <c r="C14" s="78" t="s">
        <v>168</v>
      </c>
      <c r="D14" s="103"/>
      <c r="E14" s="103"/>
      <c r="F14" s="103"/>
      <c r="G14" s="103"/>
      <c r="H14" s="103"/>
      <c r="I14" s="103"/>
      <c r="J14" s="103"/>
      <c r="K14" s="103"/>
      <c r="L14" s="125"/>
      <c r="M14" s="125"/>
      <c r="N14" s="125"/>
      <c r="O14" s="125"/>
      <c r="P14" s="125"/>
      <c r="Q14" s="125"/>
      <c r="R14" s="224"/>
      <c r="S14" s="224"/>
      <c r="T14" s="224"/>
      <c r="U14" s="224"/>
    </row>
    <row r="15" spans="1:21" s="17" customFormat="1" ht="33.75" customHeight="1">
      <c r="A15" s="85"/>
      <c r="B15" s="86" t="s">
        <v>169</v>
      </c>
      <c r="C15" s="85" t="s">
        <v>170</v>
      </c>
      <c r="D15" s="301">
        <v>4</v>
      </c>
      <c r="E15" s="301">
        <v>1</v>
      </c>
      <c r="F15" s="301">
        <v>2</v>
      </c>
      <c r="G15" s="301">
        <v>1</v>
      </c>
      <c r="H15" s="301">
        <v>2</v>
      </c>
      <c r="I15" s="301">
        <v>2</v>
      </c>
      <c r="J15" s="301">
        <f>SUM(E15:I15)</f>
        <v>8</v>
      </c>
      <c r="K15" s="97">
        <f>D15+J15</f>
        <v>12</v>
      </c>
      <c r="L15" s="246">
        <v>0</v>
      </c>
      <c r="M15" s="246">
        <v>1</v>
      </c>
      <c r="N15" s="246">
        <v>1</v>
      </c>
      <c r="O15" s="246">
        <f>+L15+M15+N15</f>
        <v>2</v>
      </c>
      <c r="P15" s="246">
        <v>1</v>
      </c>
      <c r="Q15" s="246">
        <v>1</v>
      </c>
      <c r="R15" s="367">
        <f>+Q15+P15+O15+D15</f>
        <v>8</v>
      </c>
      <c r="S15" s="366">
        <f>O15/K15%</f>
        <v>16.666666666666668</v>
      </c>
      <c r="T15" s="232">
        <f>R15/K15%</f>
        <v>66.666666666666671</v>
      </c>
      <c r="U15" s="365"/>
    </row>
    <row r="16" spans="1:21" s="17" customFormat="1" ht="23.25" customHeight="1">
      <c r="A16" s="85"/>
      <c r="B16" s="86" t="s">
        <v>171</v>
      </c>
      <c r="C16" s="85" t="s">
        <v>168</v>
      </c>
      <c r="D16" s="302">
        <v>171.5</v>
      </c>
      <c r="E16" s="302">
        <v>1</v>
      </c>
      <c r="F16" s="302">
        <v>2</v>
      </c>
      <c r="G16" s="302">
        <v>1</v>
      </c>
      <c r="H16" s="302">
        <v>2</v>
      </c>
      <c r="I16" s="302">
        <v>2</v>
      </c>
      <c r="J16" s="302">
        <f>SUM(E16:I16)</f>
        <v>8</v>
      </c>
      <c r="K16" s="271">
        <f>D16+J16</f>
        <v>179.5</v>
      </c>
      <c r="L16" s="368">
        <v>0</v>
      </c>
      <c r="M16" s="368">
        <v>0.05</v>
      </c>
      <c r="N16" s="368">
        <v>13.084</v>
      </c>
      <c r="O16" s="368">
        <f>+L16+M16+N16</f>
        <v>13.134</v>
      </c>
      <c r="P16" s="368">
        <v>4.43</v>
      </c>
      <c r="Q16" s="368">
        <v>1.5</v>
      </c>
      <c r="R16" s="351">
        <f>+D16+O16+P16+Q16</f>
        <v>190.56400000000002</v>
      </c>
      <c r="S16" s="366">
        <f>O16/K16%</f>
        <v>7.3169916434540392</v>
      </c>
      <c r="T16" s="232">
        <f>R16/K16%</f>
        <v>106.16378830083568</v>
      </c>
      <c r="U16" s="215"/>
    </row>
    <row r="17" spans="1:21" s="146" customFormat="1" ht="39.75" customHeight="1">
      <c r="A17" s="78"/>
      <c r="B17" s="83" t="s">
        <v>173</v>
      </c>
      <c r="C17" s="78" t="s">
        <v>174</v>
      </c>
      <c r="D17" s="248">
        <v>500</v>
      </c>
      <c r="E17" s="248">
        <v>30</v>
      </c>
      <c r="F17" s="248">
        <v>70</v>
      </c>
      <c r="G17" s="248">
        <v>35</v>
      </c>
      <c r="H17" s="248">
        <v>65</v>
      </c>
      <c r="I17" s="248">
        <v>70</v>
      </c>
      <c r="J17" s="248">
        <f>SUM(E17:I17)</f>
        <v>270</v>
      </c>
      <c r="K17" s="103">
        <f>D17+J17</f>
        <v>770</v>
      </c>
      <c r="L17" s="103">
        <v>0</v>
      </c>
      <c r="M17" s="103">
        <v>0</v>
      </c>
      <c r="N17" s="103">
        <v>0</v>
      </c>
      <c r="O17" s="103">
        <v>0</v>
      </c>
      <c r="P17" s="103">
        <v>0</v>
      </c>
      <c r="Q17" s="103">
        <v>0</v>
      </c>
      <c r="R17" s="367">
        <f>+Q17+P17+O17+D17</f>
        <v>500</v>
      </c>
      <c r="S17" s="366">
        <f>O17/K17%</f>
        <v>0</v>
      </c>
      <c r="T17" s="232">
        <f>R17/K17%</f>
        <v>64.935064935064929</v>
      </c>
      <c r="U17" s="103"/>
    </row>
    <row r="18" spans="1:21" s="13" customFormat="1" ht="31.5" hidden="1">
      <c r="A18" s="4" t="s">
        <v>131</v>
      </c>
      <c r="B18" s="8" t="s">
        <v>175</v>
      </c>
      <c r="C18" s="4" t="s">
        <v>176</v>
      </c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</row>
    <row r="19" spans="1:21" s="13" customFormat="1" ht="31.5" hidden="1">
      <c r="A19" s="4" t="s">
        <v>154</v>
      </c>
      <c r="B19" s="8" t="s">
        <v>177</v>
      </c>
      <c r="C19" s="4" t="s">
        <v>176</v>
      </c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</row>
    <row r="20" spans="1:21" s="13" customFormat="1" ht="31.5" hidden="1">
      <c r="A20" s="4" t="s">
        <v>155</v>
      </c>
      <c r="B20" s="8" t="s">
        <v>178</v>
      </c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</row>
    <row r="21" spans="1:21" s="13" customFormat="1" hidden="1">
      <c r="A21" s="4"/>
      <c r="B21" s="8" t="s">
        <v>179</v>
      </c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</row>
    <row r="22" spans="1:21" s="13" customFormat="1" ht="47.25" hidden="1">
      <c r="A22" s="4"/>
      <c r="B22" s="8" t="s">
        <v>180</v>
      </c>
      <c r="C22" s="4" t="s">
        <v>181</v>
      </c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</row>
    <row r="23" spans="1:21" s="13" customFormat="1" ht="47.25" hidden="1">
      <c r="A23" s="4"/>
      <c r="B23" s="8" t="s">
        <v>182</v>
      </c>
      <c r="C23" s="4" t="s">
        <v>181</v>
      </c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</row>
    <row r="24" spans="1:21" ht="4.5" customHeight="1">
      <c r="A24" s="5"/>
      <c r="B24" s="18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</row>
  </sheetData>
  <mergeCells count="12">
    <mergeCell ref="L5:R5"/>
    <mergeCell ref="S5:T5"/>
    <mergeCell ref="U5:U6"/>
    <mergeCell ref="A1:K1"/>
    <mergeCell ref="A5:A6"/>
    <mergeCell ref="B5:B6"/>
    <mergeCell ref="C5:C6"/>
    <mergeCell ref="D5:D6"/>
    <mergeCell ref="E5:J5"/>
    <mergeCell ref="K5:K6"/>
    <mergeCell ref="A2:U2"/>
    <mergeCell ref="A3:U3"/>
  </mergeCells>
  <pageMargins left="0.2" right="0.2" top="0.74803149606299202" bottom="0.74803149606299202" header="0.31496062992126" footer="0.31496062992126"/>
  <pageSetup paperSize="9" scale="65" orientation="landscape" r:id="rId1"/>
  <headerFooter>
    <oddHeader>Page &amp;P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T27"/>
  <sheetViews>
    <sheetView zoomScale="85" zoomScaleNormal="85" workbookViewId="0">
      <pane xSplit="3" ySplit="5" topLeftCell="D6" activePane="bottomRight" state="frozen"/>
      <selection activeCell="CG77" activeCellId="1" sqref="CC77:CE77 CG77"/>
      <selection pane="topRight" activeCell="CG77" activeCellId="1" sqref="CC77:CE77 CG77"/>
      <selection pane="bottomLeft" activeCell="CG77" activeCellId="1" sqref="CC77:CE77 CG77"/>
      <selection pane="bottomRight" activeCell="CG77" activeCellId="1" sqref="CC77:CE77 CG77"/>
    </sheetView>
  </sheetViews>
  <sheetFormatPr defaultRowHeight="15.75"/>
  <cols>
    <col min="1" max="1" width="6.140625" style="2" customWidth="1"/>
    <col min="2" max="2" width="33.5703125" style="23" customWidth="1"/>
    <col min="3" max="3" width="6.28515625" style="2" customWidth="1"/>
    <col min="4" max="4" width="9.7109375" style="1" customWidth="1"/>
    <col min="5" max="6" width="8.5703125" style="1" customWidth="1"/>
    <col min="7" max="9" width="8.85546875" style="1" customWidth="1"/>
    <col min="10" max="10" width="10.28515625" style="1" customWidth="1"/>
    <col min="11" max="13" width="9.42578125" style="217" bestFit="1" customWidth="1"/>
    <col min="14" max="14" width="9.85546875" style="217" bestFit="1" customWidth="1"/>
    <col min="15" max="16" width="9.42578125" style="217" bestFit="1" customWidth="1"/>
    <col min="17" max="17" width="11" style="217" customWidth="1"/>
    <col min="18" max="19" width="9.140625" style="217"/>
    <col min="20" max="20" width="4.28515625" customWidth="1"/>
  </cols>
  <sheetData>
    <row r="1" spans="1:20" ht="15.75" customHeight="1">
      <c r="A1" s="554" t="s">
        <v>183</v>
      </c>
      <c r="B1" s="554"/>
      <c r="C1" s="554"/>
      <c r="D1" s="554"/>
      <c r="E1" s="554"/>
      <c r="F1" s="554"/>
      <c r="G1" s="554"/>
      <c r="H1" s="554"/>
      <c r="I1" s="554"/>
      <c r="J1" s="554"/>
    </row>
    <row r="2" spans="1:20" ht="15.75" customHeight="1">
      <c r="A2" s="538" t="s">
        <v>184</v>
      </c>
      <c r="B2" s="538"/>
      <c r="C2" s="538"/>
      <c r="D2" s="538"/>
      <c r="E2" s="538"/>
      <c r="F2" s="538"/>
      <c r="G2" s="538"/>
      <c r="H2" s="538"/>
      <c r="I2" s="538"/>
      <c r="J2" s="538"/>
      <c r="K2" s="538"/>
      <c r="L2" s="538"/>
      <c r="M2" s="538"/>
      <c r="N2" s="538"/>
      <c r="O2" s="538"/>
      <c r="P2" s="538"/>
      <c r="Q2" s="538"/>
      <c r="R2" s="538"/>
      <c r="S2" s="538"/>
      <c r="T2" s="538"/>
    </row>
    <row r="3" spans="1:20" ht="15.75" customHeight="1">
      <c r="A3" s="542" t="str">
        <f>'B1 TH'!A3:J3</f>
        <v>(Kèm theo Báo cáo số 545-BC/HU, ngày 02/10/2024 của BTV Huyện ủy)</v>
      </c>
      <c r="B3" s="542"/>
      <c r="C3" s="542"/>
      <c r="D3" s="542"/>
      <c r="E3" s="542"/>
      <c r="F3" s="542"/>
      <c r="G3" s="542"/>
      <c r="H3" s="542"/>
      <c r="I3" s="542"/>
      <c r="J3" s="542"/>
      <c r="K3" s="542"/>
      <c r="L3" s="542"/>
      <c r="M3" s="542"/>
      <c r="N3" s="542"/>
      <c r="O3" s="542"/>
      <c r="P3" s="542"/>
      <c r="Q3" s="542"/>
      <c r="R3" s="542"/>
      <c r="S3" s="542"/>
      <c r="T3" s="542"/>
    </row>
    <row r="4" spans="1:20" s="146" customFormat="1" ht="15">
      <c r="A4" s="539" t="s">
        <v>1</v>
      </c>
      <c r="B4" s="539" t="s">
        <v>2</v>
      </c>
      <c r="C4" s="539" t="s">
        <v>3</v>
      </c>
      <c r="D4" s="539" t="s">
        <v>4</v>
      </c>
      <c r="E4" s="546" t="s">
        <v>666</v>
      </c>
      <c r="F4" s="547"/>
      <c r="G4" s="547"/>
      <c r="H4" s="547"/>
      <c r="I4" s="548"/>
      <c r="J4" s="539" t="s">
        <v>185</v>
      </c>
      <c r="K4" s="549" t="s">
        <v>653</v>
      </c>
      <c r="L4" s="550"/>
      <c r="M4" s="550"/>
      <c r="N4" s="550"/>
      <c r="O4" s="550"/>
      <c r="P4" s="550"/>
      <c r="Q4" s="551"/>
      <c r="R4" s="552" t="s">
        <v>661</v>
      </c>
      <c r="S4" s="553"/>
      <c r="T4" s="543" t="s">
        <v>319</v>
      </c>
    </row>
    <row r="5" spans="1:20" s="146" customFormat="1" ht="74.25" customHeight="1">
      <c r="A5" s="540"/>
      <c r="B5" s="540"/>
      <c r="C5" s="540"/>
      <c r="D5" s="540"/>
      <c r="E5" s="237" t="s">
        <v>5</v>
      </c>
      <c r="F5" s="237" t="s">
        <v>7</v>
      </c>
      <c r="G5" s="237" t="s">
        <v>8</v>
      </c>
      <c r="H5" s="237" t="s">
        <v>9</v>
      </c>
      <c r="I5" s="237" t="s">
        <v>10</v>
      </c>
      <c r="J5" s="540"/>
      <c r="K5" s="241" t="s">
        <v>654</v>
      </c>
      <c r="L5" s="241" t="s">
        <v>655</v>
      </c>
      <c r="M5" s="241" t="s">
        <v>656</v>
      </c>
      <c r="N5" s="241" t="s">
        <v>657</v>
      </c>
      <c r="O5" s="241" t="s">
        <v>658</v>
      </c>
      <c r="P5" s="241" t="s">
        <v>659</v>
      </c>
      <c r="Q5" s="201" t="s">
        <v>660</v>
      </c>
      <c r="R5" s="195" t="s">
        <v>662</v>
      </c>
      <c r="S5" s="195" t="s">
        <v>663</v>
      </c>
      <c r="T5" s="544"/>
    </row>
    <row r="6" spans="1:20" s="11" customFormat="1" ht="15">
      <c r="A6" s="284" t="s">
        <v>186</v>
      </c>
      <c r="B6" s="285" t="s">
        <v>187</v>
      </c>
      <c r="C6" s="284"/>
      <c r="D6" s="286"/>
      <c r="E6" s="286"/>
      <c r="F6" s="286"/>
      <c r="G6" s="286"/>
      <c r="H6" s="286"/>
      <c r="I6" s="286"/>
      <c r="J6" s="286"/>
      <c r="K6" s="337"/>
      <c r="L6" s="337"/>
      <c r="M6" s="337"/>
      <c r="N6" s="337"/>
      <c r="O6" s="337"/>
      <c r="P6" s="337"/>
      <c r="Q6" s="337"/>
      <c r="R6" s="337"/>
      <c r="S6" s="337"/>
      <c r="T6" s="211"/>
    </row>
    <row r="7" spans="1:20" s="146" customFormat="1" ht="48" customHeight="1">
      <c r="A7" s="78"/>
      <c r="B7" s="287" t="s">
        <v>188</v>
      </c>
      <c r="C7" s="78" t="s">
        <v>31</v>
      </c>
      <c r="D7" s="35">
        <f>'[1]B4 TM-Dich vu'!$K$7</f>
        <v>240.81</v>
      </c>
      <c r="E7" s="35">
        <v>206.5</v>
      </c>
      <c r="F7" s="186">
        <v>233.1</v>
      </c>
      <c r="G7" s="186">
        <v>263.5</v>
      </c>
      <c r="H7" s="186">
        <v>298.10000000000002</v>
      </c>
      <c r="I7" s="186">
        <v>337.5</v>
      </c>
      <c r="J7" s="35">
        <f>SUM(E7:I7)</f>
        <v>1338.7</v>
      </c>
      <c r="K7" s="35">
        <v>206.5</v>
      </c>
      <c r="L7" s="35">
        <v>233.13000000000002</v>
      </c>
      <c r="M7" s="35">
        <v>262.07</v>
      </c>
      <c r="N7" s="35">
        <f>SUM(K7:M7)</f>
        <v>701.7</v>
      </c>
      <c r="O7" s="186">
        <v>283.3</v>
      </c>
      <c r="P7" s="186">
        <v>337.5</v>
      </c>
      <c r="Q7" s="141">
        <f>+N7+O7+P7</f>
        <v>1322.5</v>
      </c>
      <c r="R7" s="351">
        <f>N7/J7*100</f>
        <v>52.416523492940911</v>
      </c>
      <c r="S7" s="340">
        <f>Q7/J7*100</f>
        <v>98.789870770150145</v>
      </c>
      <c r="T7" s="289"/>
    </row>
    <row r="8" spans="1:20" s="146" customFormat="1" ht="48" customHeight="1">
      <c r="A8" s="78"/>
      <c r="B8" s="287" t="s">
        <v>189</v>
      </c>
      <c r="C8" s="78" t="s">
        <v>190</v>
      </c>
      <c r="D8" s="35">
        <f>'[1]B4 TM-Dich vu'!$K$8</f>
        <v>107.15666391776722</v>
      </c>
      <c r="E8" s="35">
        <f>(E7-183.12)/183.12*100</f>
        <v>12.767584097859325</v>
      </c>
      <c r="F8" s="186">
        <f>(F7-E7)/E7*100</f>
        <v>12.881355932203387</v>
      </c>
      <c r="G8" s="186">
        <f>(G7-F7)/F7*100</f>
        <v>13.041613041613045</v>
      </c>
      <c r="H8" s="186">
        <f>(H7-G7)/G7*100</f>
        <v>13.130929791271356</v>
      </c>
      <c r="I8" s="186">
        <f>(I7-H7)/H7*100</f>
        <v>13.217041261321697</v>
      </c>
      <c r="J8" s="35">
        <f>((100+E8)*(100+F8)*(100+G8)*(100+H8)*(100+I8))^0.2-100</f>
        <v>13.007586420314098</v>
      </c>
      <c r="K8" s="35">
        <f>(K7-183.12)/183.12*100</f>
        <v>12.767584097859325</v>
      </c>
      <c r="L8" s="35">
        <f>(L7-K7)/K7*100</f>
        <v>12.895883777239723</v>
      </c>
      <c r="M8" s="35">
        <f>(M7-L7)/L7*100</f>
        <v>12.41367477373138</v>
      </c>
      <c r="N8" s="35">
        <f>AVERAGE(K8:M8)</f>
        <v>12.692380882943477</v>
      </c>
      <c r="O8" s="35">
        <f>(O7-M7)/M7*100</f>
        <v>8.1008890754378662</v>
      </c>
      <c r="P8" s="35">
        <f>(P7-O7)/O7*100</f>
        <v>19.131662548535118</v>
      </c>
      <c r="Q8" s="35">
        <f>((100+K8)*(100+L8)*(100+M8)*(100+O8)*(100+P8))^0.2-100</f>
        <v>13.007586420314098</v>
      </c>
      <c r="R8" s="351">
        <f>N8/J8*100</f>
        <v>97.576756154559448</v>
      </c>
      <c r="S8" s="340">
        <f>Q8/J8*100</f>
        <v>100</v>
      </c>
      <c r="T8" s="289"/>
    </row>
    <row r="9" spans="1:20" s="11" customFormat="1" ht="15">
      <c r="A9" s="89" t="s">
        <v>191</v>
      </c>
      <c r="B9" s="275" t="s">
        <v>192</v>
      </c>
      <c r="C9" s="89"/>
      <c r="D9" s="95"/>
      <c r="E9" s="95"/>
      <c r="F9" s="95"/>
      <c r="G9" s="95"/>
      <c r="H9" s="95"/>
      <c r="I9" s="95"/>
      <c r="J9" s="95"/>
      <c r="K9" s="126"/>
      <c r="L9" s="126"/>
      <c r="M9" s="126"/>
      <c r="N9" s="126"/>
      <c r="O9" s="126"/>
      <c r="P9" s="126"/>
      <c r="Q9" s="126"/>
      <c r="R9" s="219"/>
      <c r="S9" s="219"/>
      <c r="T9" s="207"/>
    </row>
    <row r="10" spans="1:20" s="146" customFormat="1" ht="15.75" hidden="1" customHeight="1">
      <c r="A10" s="78"/>
      <c r="B10" s="287" t="s">
        <v>193</v>
      </c>
      <c r="C10" s="78" t="s">
        <v>31</v>
      </c>
      <c r="D10" s="77"/>
      <c r="E10" s="77"/>
      <c r="F10" s="77"/>
      <c r="G10" s="77"/>
      <c r="H10" s="77"/>
      <c r="I10" s="77"/>
      <c r="J10" s="77"/>
      <c r="K10" s="125"/>
      <c r="L10" s="125"/>
      <c r="M10" s="125"/>
      <c r="N10" s="125"/>
      <c r="O10" s="125"/>
      <c r="P10" s="125"/>
      <c r="Q10" s="125"/>
      <c r="R10" s="218"/>
      <c r="S10" s="218"/>
      <c r="T10" s="289"/>
    </row>
    <row r="11" spans="1:20" s="146" customFormat="1" ht="36.75" customHeight="1">
      <c r="A11" s="78"/>
      <c r="B11" s="287" t="s">
        <v>194</v>
      </c>
      <c r="C11" s="78" t="s">
        <v>190</v>
      </c>
      <c r="D11" s="35">
        <f>'[1]B4 TM-Dich vu'!$K$11</f>
        <v>2.7104725792933237</v>
      </c>
      <c r="E11" s="35">
        <v>3.41</v>
      </c>
      <c r="F11" s="35">
        <v>3.66</v>
      </c>
      <c r="G11" s="35">
        <v>3.89</v>
      </c>
      <c r="H11" s="35">
        <v>4.08</v>
      </c>
      <c r="I11" s="35">
        <v>4.41</v>
      </c>
      <c r="J11" s="35">
        <f>((100+E11)*(100+F11)*(100+G11)*(100+H11)*(100+I11))^0.2-100</f>
        <v>3.8894324325063394</v>
      </c>
      <c r="K11" s="384">
        <v>3.4090909090909087</v>
      </c>
      <c r="L11" s="384">
        <v>3.5335689045936398</v>
      </c>
      <c r="M11" s="384">
        <v>3.89</v>
      </c>
      <c r="N11" s="35">
        <f>AVERAGE(K11:M11)</f>
        <v>3.6108866045615162</v>
      </c>
      <c r="O11" s="35">
        <v>4.08</v>
      </c>
      <c r="P11" s="35">
        <v>4.41</v>
      </c>
      <c r="Q11" s="35">
        <f>((100+K11)*(100+L11)*(100+M11)*(100+O11)*(100+P11))^0.2-100</f>
        <v>3.8638952571058951</v>
      </c>
      <c r="R11" s="351">
        <f>N11/J11*100</f>
        <v>92.838393961626707</v>
      </c>
      <c r="S11" s="340">
        <f>Q11/J11*100</f>
        <v>99.343421544310303</v>
      </c>
      <c r="T11" s="289"/>
    </row>
    <row r="12" spans="1:20" s="146" customFormat="1" ht="36.75" customHeight="1">
      <c r="A12" s="78"/>
      <c r="B12" s="287" t="s">
        <v>195</v>
      </c>
      <c r="C12" s="78" t="s">
        <v>190</v>
      </c>
      <c r="D12" s="35">
        <f>'[1]B4 TM-Dich vu'!$K$12</f>
        <v>9.6591219506134678</v>
      </c>
      <c r="E12" s="35">
        <v>10.54</v>
      </c>
      <c r="F12" s="35">
        <v>10.83</v>
      </c>
      <c r="G12" s="35">
        <v>10.95</v>
      </c>
      <c r="H12" s="35">
        <v>11.01</v>
      </c>
      <c r="I12" s="35">
        <v>11.51</v>
      </c>
      <c r="J12" s="35">
        <f>((100+E12)*(100+F12)*(100+G12)*(100+H12)*(100+I12))^0.2-100</f>
        <v>10.967551570077944</v>
      </c>
      <c r="K12" s="384">
        <v>10.535714285714286</v>
      </c>
      <c r="L12" s="384">
        <v>9.591041869522881</v>
      </c>
      <c r="M12" s="384">
        <v>9.74</v>
      </c>
      <c r="N12" s="35">
        <f t="shared" ref="N12:N14" si="0">AVERAGE(K12:M12)</f>
        <v>9.9555853850790559</v>
      </c>
      <c r="O12" s="35">
        <v>11.01</v>
      </c>
      <c r="P12" s="35">
        <v>11.51</v>
      </c>
      <c r="Q12" s="35">
        <f t="shared" ref="Q12:Q14" si="1">((100+K12)*(100+L12)*(100+M12)*(100+O12)*(100+P12))^0.2-100</f>
        <v>10.474923732912998</v>
      </c>
      <c r="R12" s="351">
        <f t="shared" ref="R12:R14" si="2">N12/J12*100</f>
        <v>90.773089339650156</v>
      </c>
      <c r="S12" s="340">
        <f t="shared" ref="S12:S14" si="3">Q12/J12*100</f>
        <v>95.50831528789935</v>
      </c>
      <c r="T12" s="289"/>
    </row>
    <row r="13" spans="1:20" s="146" customFormat="1" ht="36.75" customHeight="1">
      <c r="A13" s="78"/>
      <c r="B13" s="287" t="s">
        <v>196</v>
      </c>
      <c r="C13" s="78" t="s">
        <v>190</v>
      </c>
      <c r="D13" s="35">
        <f>'[1]B4 TM-Dich vu'!$K$13</f>
        <v>4.3497737378500716</v>
      </c>
      <c r="E13" s="35">
        <v>4.55</v>
      </c>
      <c r="F13" s="35">
        <v>4.74</v>
      </c>
      <c r="G13" s="35">
        <v>4.91</v>
      </c>
      <c r="H13" s="35">
        <v>5.04</v>
      </c>
      <c r="I13" s="35">
        <v>5.0999999999999996</v>
      </c>
      <c r="J13" s="35">
        <f>((100+E13)*(100+F13)*(100+G13)*(100+H13)*(100+I13))^0.2-100</f>
        <v>4.8678066273571261</v>
      </c>
      <c r="K13" s="384">
        <v>4.5499999999999954</v>
      </c>
      <c r="L13" s="384">
        <v>4.593155893536129</v>
      </c>
      <c r="M13" s="384">
        <v>4.9400000000000004</v>
      </c>
      <c r="N13" s="35">
        <f t="shared" si="0"/>
        <v>4.6943852978453755</v>
      </c>
      <c r="O13" s="35">
        <v>5.04</v>
      </c>
      <c r="P13" s="35">
        <v>5.0999999999999996</v>
      </c>
      <c r="Q13" s="35">
        <f t="shared" si="1"/>
        <v>4.8443806840721635</v>
      </c>
      <c r="R13" s="351">
        <f t="shared" si="2"/>
        <v>96.437382525897377</v>
      </c>
      <c r="S13" s="340">
        <f t="shared" si="3"/>
        <v>99.518757726461274</v>
      </c>
      <c r="T13" s="289"/>
    </row>
    <row r="14" spans="1:20" s="146" customFormat="1" ht="36.75" customHeight="1">
      <c r="A14" s="78"/>
      <c r="B14" s="287" t="s">
        <v>197</v>
      </c>
      <c r="C14" s="78" t="s">
        <v>190</v>
      </c>
      <c r="D14" s="35">
        <f>'[1]B4 TM-Dich vu'!$K$14</f>
        <v>6.9863641863391024</v>
      </c>
      <c r="E14" s="35">
        <v>8.15</v>
      </c>
      <c r="F14" s="35">
        <v>8.56</v>
      </c>
      <c r="G14" s="35">
        <v>8.83</v>
      </c>
      <c r="H14" s="35">
        <v>9.1300000000000008</v>
      </c>
      <c r="I14" s="35">
        <v>9.56</v>
      </c>
      <c r="J14" s="35">
        <f>((100+E14)*(100+F14)*(100+G14)*(100+H14)*(100+I14))^0.2-100</f>
        <v>8.8449372375753654</v>
      </c>
      <c r="K14" s="384">
        <v>8.15</v>
      </c>
      <c r="L14" s="384">
        <v>8.0314960629921259</v>
      </c>
      <c r="M14" s="384">
        <v>8.19</v>
      </c>
      <c r="N14" s="35">
        <f t="shared" si="0"/>
        <v>8.1238320209973747</v>
      </c>
      <c r="O14" s="35">
        <v>9.1300000000000008</v>
      </c>
      <c r="P14" s="35">
        <v>9.56</v>
      </c>
      <c r="Q14" s="35">
        <f t="shared" si="1"/>
        <v>8.6105574526819311</v>
      </c>
      <c r="R14" s="351">
        <f t="shared" si="2"/>
        <v>91.847254568245361</v>
      </c>
      <c r="S14" s="340">
        <f t="shared" si="3"/>
        <v>97.350124951732454</v>
      </c>
      <c r="T14" s="289"/>
    </row>
    <row r="15" spans="1:20" s="11" customFormat="1" ht="15">
      <c r="A15" s="89" t="s">
        <v>198</v>
      </c>
      <c r="B15" s="275" t="s">
        <v>199</v>
      </c>
      <c r="C15" s="89"/>
      <c r="D15" s="95"/>
      <c r="E15" s="95"/>
      <c r="F15" s="95"/>
      <c r="G15" s="95"/>
      <c r="H15" s="95"/>
      <c r="I15" s="95"/>
      <c r="J15" s="95"/>
      <c r="K15" s="126"/>
      <c r="L15" s="126"/>
      <c r="M15" s="126"/>
      <c r="N15" s="126"/>
      <c r="O15" s="126"/>
      <c r="P15" s="126"/>
      <c r="Q15" s="126"/>
      <c r="R15" s="219"/>
      <c r="S15" s="219"/>
      <c r="T15" s="207"/>
    </row>
    <row r="16" spans="1:20" s="21" customFormat="1" ht="15">
      <c r="A16" s="139" t="s">
        <v>200</v>
      </c>
      <c r="B16" s="290" t="s">
        <v>201</v>
      </c>
      <c r="C16" s="139"/>
      <c r="D16" s="291"/>
      <c r="E16" s="291"/>
      <c r="F16" s="291"/>
      <c r="G16" s="291"/>
      <c r="H16" s="291"/>
      <c r="I16" s="291"/>
      <c r="J16" s="291"/>
      <c r="K16" s="140"/>
      <c r="L16" s="140"/>
      <c r="M16" s="140"/>
      <c r="N16" s="140"/>
      <c r="O16" s="140"/>
      <c r="P16" s="140"/>
      <c r="Q16" s="140"/>
      <c r="R16" s="338"/>
      <c r="S16" s="338"/>
      <c r="T16" s="212"/>
    </row>
    <row r="17" spans="1:20" s="146" customFormat="1" ht="30" hidden="1">
      <c r="A17" s="78"/>
      <c r="B17" s="287" t="s">
        <v>202</v>
      </c>
      <c r="C17" s="78" t="s">
        <v>203</v>
      </c>
      <c r="D17" s="158">
        <f>'[1]B4 TM-Dich vu'!$K$18</f>
        <v>132.81900249695883</v>
      </c>
      <c r="E17" s="158">
        <v>129.67245905738218</v>
      </c>
      <c r="F17" s="158">
        <f>62240/'B7'!T7*100</f>
        <v>127.73992283063788</v>
      </c>
      <c r="G17" s="158">
        <f>62250/'B7'!AI7*100</f>
        <v>125.93893358586821</v>
      </c>
      <c r="H17" s="158">
        <f>62260/'B7'!AX7*100</f>
        <v>124.21691073779976</v>
      </c>
      <c r="I17" s="158">
        <f>62270/'B7'!BM7*100</f>
        <v>122.57632723765279</v>
      </c>
      <c r="J17" s="158">
        <f>I17</f>
        <v>122.57632723765279</v>
      </c>
      <c r="K17" s="125"/>
      <c r="L17" s="125"/>
      <c r="M17" s="125"/>
      <c r="N17" s="125"/>
      <c r="O17" s="125"/>
      <c r="P17" s="125"/>
      <c r="Q17" s="125"/>
      <c r="R17" s="218"/>
      <c r="S17" s="218"/>
      <c r="T17" s="289"/>
    </row>
    <row r="18" spans="1:20" s="146" customFormat="1" ht="39.75" customHeight="1">
      <c r="A18" s="78"/>
      <c r="B18" s="287" t="s">
        <v>204</v>
      </c>
      <c r="C18" s="78" t="s">
        <v>205</v>
      </c>
      <c r="D18" s="292">
        <f>'[1]B4 TM-Dich vu'!$K$19</f>
        <v>14</v>
      </c>
      <c r="E18" s="103">
        <v>14</v>
      </c>
      <c r="F18" s="103">
        <v>14</v>
      </c>
      <c r="G18" s="103">
        <v>14</v>
      </c>
      <c r="H18" s="103">
        <v>14</v>
      </c>
      <c r="I18" s="103">
        <v>14</v>
      </c>
      <c r="J18" s="103">
        <f>I18</f>
        <v>14</v>
      </c>
      <c r="K18" s="125">
        <v>14</v>
      </c>
      <c r="L18" s="125">
        <v>14</v>
      </c>
      <c r="M18" s="125">
        <v>14</v>
      </c>
      <c r="N18" s="125">
        <v>14</v>
      </c>
      <c r="O18" s="125">
        <v>14</v>
      </c>
      <c r="P18" s="125">
        <v>14</v>
      </c>
      <c r="Q18" s="125">
        <v>14</v>
      </c>
      <c r="R18" s="351">
        <f t="shared" ref="R18:R19" si="4">N18/J18*100</f>
        <v>100</v>
      </c>
      <c r="S18" s="340">
        <f t="shared" ref="S18:S19" si="5">Q18/J18*100</f>
        <v>100</v>
      </c>
      <c r="T18" s="289"/>
    </row>
    <row r="19" spans="1:20" s="146" customFormat="1" ht="27" customHeight="1">
      <c r="A19" s="78"/>
      <c r="B19" s="287" t="s">
        <v>206</v>
      </c>
      <c r="C19" s="78" t="s">
        <v>28</v>
      </c>
      <c r="D19" s="35">
        <f>'[1]B4 TM-Dich vu'!$K$20</f>
        <v>100</v>
      </c>
      <c r="E19" s="35">
        <v>100</v>
      </c>
      <c r="F19" s="35">
        <v>100</v>
      </c>
      <c r="G19" s="35">
        <v>100</v>
      </c>
      <c r="H19" s="35">
        <v>100</v>
      </c>
      <c r="I19" s="35">
        <v>100</v>
      </c>
      <c r="J19" s="35">
        <f>I19</f>
        <v>100</v>
      </c>
      <c r="K19" s="35">
        <f t="shared" ref="K19:Q19" si="6">J19</f>
        <v>100</v>
      </c>
      <c r="L19" s="35">
        <f t="shared" si="6"/>
        <v>100</v>
      </c>
      <c r="M19" s="35">
        <f t="shared" si="6"/>
        <v>100</v>
      </c>
      <c r="N19" s="35">
        <f t="shared" si="6"/>
        <v>100</v>
      </c>
      <c r="O19" s="35">
        <f t="shared" si="6"/>
        <v>100</v>
      </c>
      <c r="P19" s="35">
        <f t="shared" si="6"/>
        <v>100</v>
      </c>
      <c r="Q19" s="35">
        <f t="shared" si="6"/>
        <v>100</v>
      </c>
      <c r="R19" s="351">
        <f t="shared" si="4"/>
        <v>100</v>
      </c>
      <c r="S19" s="340">
        <f t="shared" si="5"/>
        <v>100</v>
      </c>
      <c r="T19" s="289"/>
    </row>
    <row r="20" spans="1:20" s="21" customFormat="1" ht="24" customHeight="1">
      <c r="A20" s="139" t="s">
        <v>207</v>
      </c>
      <c r="B20" s="290" t="s">
        <v>208</v>
      </c>
      <c r="C20" s="139"/>
      <c r="D20" s="291"/>
      <c r="E20" s="291"/>
      <c r="F20" s="291"/>
      <c r="G20" s="291"/>
      <c r="H20" s="291"/>
      <c r="I20" s="291"/>
      <c r="J20" s="291"/>
      <c r="K20" s="140"/>
      <c r="L20" s="140"/>
      <c r="M20" s="140"/>
      <c r="N20" s="140"/>
      <c r="O20" s="140"/>
      <c r="P20" s="140"/>
      <c r="Q20" s="140"/>
      <c r="R20" s="338"/>
      <c r="S20" s="338"/>
      <c r="T20" s="212"/>
    </row>
    <row r="21" spans="1:20" s="146" customFormat="1" ht="24" customHeight="1">
      <c r="A21" s="78"/>
      <c r="B21" s="287" t="s">
        <v>209</v>
      </c>
      <c r="C21" s="78" t="s">
        <v>210</v>
      </c>
      <c r="D21" s="110">
        <f>'[1]B4 TM-Dich vu'!$K$22</f>
        <v>40177</v>
      </c>
      <c r="E21" s="110">
        <f t="shared" ref="E21:I21" si="7">E23</f>
        <v>6935</v>
      </c>
      <c r="F21" s="110">
        <f t="shared" si="7"/>
        <v>6935</v>
      </c>
      <c r="G21" s="110">
        <f t="shared" si="7"/>
        <v>6935</v>
      </c>
      <c r="H21" s="110">
        <f t="shared" si="7"/>
        <v>6935</v>
      </c>
      <c r="I21" s="110">
        <f t="shared" si="7"/>
        <v>6935</v>
      </c>
      <c r="J21" s="110">
        <f>SUM(E21:I21)</f>
        <v>34675</v>
      </c>
      <c r="K21" s="254">
        <v>3240</v>
      </c>
      <c r="L21" s="254">
        <v>6935</v>
      </c>
      <c r="M21" s="254">
        <v>6853</v>
      </c>
      <c r="N21" s="348">
        <f>SUM(K21:M21)</f>
        <v>17028</v>
      </c>
      <c r="O21" s="110">
        <f t="shared" ref="O21:P21" si="8">O23</f>
        <v>6935</v>
      </c>
      <c r="P21" s="110">
        <f t="shared" si="8"/>
        <v>6935</v>
      </c>
      <c r="Q21" s="110">
        <f>+N21+O21+P21</f>
        <v>30898</v>
      </c>
      <c r="R21" s="351">
        <f t="shared" ref="R21" si="9">N21/J21*100</f>
        <v>49.107426099495314</v>
      </c>
      <c r="S21" s="340">
        <f t="shared" ref="S21" si="10">Q21/J21*100</f>
        <v>89.107426099495314</v>
      </c>
      <c r="T21" s="289"/>
    </row>
    <row r="22" spans="1:20" s="146" customFormat="1" ht="24" customHeight="1">
      <c r="A22" s="78"/>
      <c r="B22" s="287" t="s">
        <v>211</v>
      </c>
      <c r="C22" s="78" t="s">
        <v>210</v>
      </c>
      <c r="D22" s="110"/>
      <c r="E22" s="110"/>
      <c r="F22" s="110"/>
      <c r="G22" s="110"/>
      <c r="H22" s="110"/>
      <c r="I22" s="110"/>
      <c r="J22" s="110"/>
      <c r="K22" s="254"/>
      <c r="L22" s="254"/>
      <c r="M22" s="254"/>
      <c r="N22" s="125"/>
      <c r="O22" s="110"/>
      <c r="P22" s="110"/>
      <c r="Q22" s="110"/>
      <c r="R22" s="218"/>
      <c r="S22" s="218"/>
      <c r="T22" s="289"/>
    </row>
    <row r="23" spans="1:20" s="146" customFormat="1" ht="24" customHeight="1">
      <c r="A23" s="80"/>
      <c r="B23" s="293" t="s">
        <v>212</v>
      </c>
      <c r="C23" s="80" t="s">
        <v>210</v>
      </c>
      <c r="D23" s="294">
        <f>'[1]B4 TM-Dich vu'!$K$24</f>
        <v>40177</v>
      </c>
      <c r="E23" s="294">
        <v>6935</v>
      </c>
      <c r="F23" s="294">
        <v>6935</v>
      </c>
      <c r="G23" s="294">
        <v>6935</v>
      </c>
      <c r="H23" s="294">
        <v>6935</v>
      </c>
      <c r="I23" s="294">
        <v>6935</v>
      </c>
      <c r="J23" s="294">
        <f>SUM(E23:I23)</f>
        <v>34675</v>
      </c>
      <c r="K23" s="347">
        <v>3240</v>
      </c>
      <c r="L23" s="347">
        <f>L21</f>
        <v>6935</v>
      </c>
      <c r="M23" s="347">
        <v>6853</v>
      </c>
      <c r="N23" s="347">
        <f>SUM(K23:M23)</f>
        <v>17028</v>
      </c>
      <c r="O23" s="294">
        <v>6935</v>
      </c>
      <c r="P23" s="294">
        <v>6935</v>
      </c>
      <c r="Q23" s="294">
        <f>+N23+O23+P23</f>
        <v>30898</v>
      </c>
      <c r="R23" s="352">
        <f t="shared" ref="R23" si="11">N23/J23*100</f>
        <v>49.107426099495314</v>
      </c>
      <c r="S23" s="352">
        <f t="shared" ref="S23" si="12">Q23/J23*100</f>
        <v>89.107426099495314</v>
      </c>
      <c r="T23" s="295"/>
    </row>
    <row r="24" spans="1:20" s="21" customFormat="1" ht="24" hidden="1" customHeight="1">
      <c r="A24" s="341" t="s">
        <v>213</v>
      </c>
      <c r="B24" s="342" t="s">
        <v>214</v>
      </c>
      <c r="C24" s="341"/>
      <c r="D24" s="343"/>
      <c r="E24" s="343"/>
      <c r="F24" s="343"/>
      <c r="G24" s="343"/>
      <c r="H24" s="343"/>
      <c r="I24" s="343"/>
      <c r="J24" s="343"/>
      <c r="K24" s="344"/>
      <c r="L24" s="344"/>
      <c r="M24" s="344"/>
      <c r="N24" s="344"/>
      <c r="O24" s="344"/>
      <c r="P24" s="344"/>
      <c r="Q24" s="344"/>
      <c r="R24" s="345"/>
      <c r="S24" s="345"/>
      <c r="T24" s="346"/>
    </row>
    <row r="25" spans="1:20" s="146" customFormat="1" ht="24" hidden="1" customHeight="1">
      <c r="A25" s="78"/>
      <c r="B25" s="287" t="s">
        <v>209</v>
      </c>
      <c r="C25" s="78" t="s">
        <v>210</v>
      </c>
      <c r="D25" s="110">
        <f>'[1]B4 TM-Dich vu'!$K$26</f>
        <v>178216</v>
      </c>
      <c r="E25" s="110">
        <f t="shared" ref="E25:I25" si="13">E27</f>
        <v>30660</v>
      </c>
      <c r="F25" s="110">
        <f t="shared" si="13"/>
        <v>30660</v>
      </c>
      <c r="G25" s="110">
        <f t="shared" si="13"/>
        <v>30660</v>
      </c>
      <c r="H25" s="110">
        <f t="shared" si="13"/>
        <v>30660</v>
      </c>
      <c r="I25" s="110">
        <f t="shared" si="13"/>
        <v>30660</v>
      </c>
      <c r="J25" s="110">
        <f>SUM(E25:I25)</f>
        <v>153300</v>
      </c>
      <c r="K25" s="125"/>
      <c r="L25" s="125"/>
      <c r="M25" s="125"/>
      <c r="N25" s="125"/>
      <c r="O25" s="125"/>
      <c r="P25" s="125"/>
      <c r="Q25" s="125"/>
      <c r="R25" s="218"/>
      <c r="S25" s="218"/>
      <c r="T25" s="289"/>
    </row>
    <row r="26" spans="1:20" s="146" customFormat="1" ht="24" hidden="1" customHeight="1">
      <c r="A26" s="78"/>
      <c r="B26" s="287" t="s">
        <v>215</v>
      </c>
      <c r="C26" s="78" t="s">
        <v>210</v>
      </c>
      <c r="D26" s="110"/>
      <c r="E26" s="110"/>
      <c r="F26" s="110"/>
      <c r="G26" s="110"/>
      <c r="H26" s="110"/>
      <c r="I26" s="110"/>
      <c r="J26" s="110"/>
      <c r="K26" s="125"/>
      <c r="L26" s="125"/>
      <c r="M26" s="125"/>
      <c r="N26" s="125"/>
      <c r="O26" s="125"/>
      <c r="P26" s="125"/>
      <c r="Q26" s="125"/>
      <c r="R26" s="218"/>
      <c r="S26" s="218"/>
      <c r="T26" s="289"/>
    </row>
    <row r="27" spans="1:20" s="146" customFormat="1" ht="24" hidden="1" customHeight="1">
      <c r="A27" s="80"/>
      <c r="B27" s="293" t="s">
        <v>216</v>
      </c>
      <c r="C27" s="80" t="s">
        <v>210</v>
      </c>
      <c r="D27" s="294">
        <f>'[1]B4 TM-Dich vu'!$K$28</f>
        <v>178216</v>
      </c>
      <c r="E27" s="294">
        <v>30660</v>
      </c>
      <c r="F27" s="294">
        <v>30660</v>
      </c>
      <c r="G27" s="294">
        <v>30660</v>
      </c>
      <c r="H27" s="294">
        <v>30660</v>
      </c>
      <c r="I27" s="294">
        <v>30660</v>
      </c>
      <c r="J27" s="294">
        <f>SUM(E27:I27)</f>
        <v>153300</v>
      </c>
      <c r="K27" s="127"/>
      <c r="L27" s="127"/>
      <c r="M27" s="127"/>
      <c r="N27" s="127"/>
      <c r="O27" s="127"/>
      <c r="P27" s="127"/>
      <c r="Q27" s="127"/>
      <c r="R27" s="339"/>
      <c r="S27" s="339"/>
      <c r="T27" s="295"/>
    </row>
  </sheetData>
  <mergeCells count="12">
    <mergeCell ref="A1:J1"/>
    <mergeCell ref="T4:T5"/>
    <mergeCell ref="A4:A5"/>
    <mergeCell ref="B4:B5"/>
    <mergeCell ref="C4:C5"/>
    <mergeCell ref="D4:D5"/>
    <mergeCell ref="E4:I4"/>
    <mergeCell ref="J4:J5"/>
    <mergeCell ref="K4:Q4"/>
    <mergeCell ref="R4:S4"/>
    <mergeCell ref="A2:T2"/>
    <mergeCell ref="A3:T3"/>
  </mergeCells>
  <pageMargins left="0.2" right="0.2" top="0.74803149606299202" bottom="0.74803149606299202" header="0.31496062992126" footer="0.31496062992126"/>
  <pageSetup paperSize="9" scale="70" orientation="landscape" r:id="rId1"/>
  <headerFooter>
    <oddHeader>Page &amp;P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50"/>
  </sheetPr>
  <dimension ref="A1:CU46"/>
  <sheetViews>
    <sheetView zoomScale="85" zoomScaleNormal="85" workbookViewId="0">
      <pane xSplit="3" ySplit="5" topLeftCell="D21" activePane="bottomRight" state="frozen"/>
      <selection activeCell="CG77" activeCellId="1" sqref="CC77:CE77 CG77"/>
      <selection pane="topRight" activeCell="CG77" activeCellId="1" sqref="CC77:CE77 CG77"/>
      <selection pane="bottomLeft" activeCell="CG77" activeCellId="1" sqref="CC77:CE77 CG77"/>
      <selection pane="bottomRight" activeCell="CG77" activeCellId="1" sqref="CC77:CE77 CG77"/>
    </sheetView>
  </sheetViews>
  <sheetFormatPr defaultRowHeight="15.75"/>
  <cols>
    <col min="1" max="1" width="5" style="2" customWidth="1"/>
    <col min="2" max="2" width="32.28515625" style="6" customWidth="1"/>
    <col min="3" max="3" width="6.5703125" style="2" customWidth="1"/>
    <col min="4" max="4" width="9.5703125" style="6" customWidth="1"/>
    <col min="5" max="5" width="9.42578125" style="6" hidden="1" customWidth="1"/>
    <col min="6" max="34" width="9.140625" style="6" hidden="1" customWidth="1"/>
    <col min="35" max="35" width="10.140625" style="6" hidden="1" customWidth="1"/>
    <col min="36" max="49" width="9.140625" style="6" hidden="1" customWidth="1"/>
    <col min="50" max="50" width="9.42578125" style="6" hidden="1" customWidth="1"/>
    <col min="51" max="51" width="9.5703125" style="6" hidden="1" customWidth="1"/>
    <col min="52" max="64" width="9.140625" style="6" hidden="1" customWidth="1"/>
    <col min="65" max="65" width="9.28515625" style="6" hidden="1" customWidth="1"/>
    <col min="66" max="79" width="9.140625" style="6" hidden="1" customWidth="1"/>
    <col min="80" max="80" width="10.42578125" style="6" customWidth="1"/>
    <col min="81" max="81" width="0" hidden="1" customWidth="1"/>
    <col min="82" max="84" width="9.7109375" hidden="1" customWidth="1"/>
    <col min="85" max="85" width="0" hidden="1" customWidth="1"/>
    <col min="93" max="93" width="10.28515625" bestFit="1" customWidth="1"/>
  </cols>
  <sheetData>
    <row r="1" spans="1:99">
      <c r="A1" s="538" t="s">
        <v>217</v>
      </c>
      <c r="B1" s="538"/>
      <c r="C1" s="538"/>
      <c r="D1" s="538"/>
      <c r="E1" s="538"/>
      <c r="F1" s="538"/>
      <c r="G1" s="538"/>
      <c r="H1" s="538"/>
      <c r="I1" s="538"/>
      <c r="J1" s="538"/>
      <c r="K1" s="538"/>
      <c r="L1" s="538"/>
      <c r="M1" s="538"/>
      <c r="N1" s="538"/>
      <c r="O1" s="538"/>
      <c r="P1" s="538"/>
      <c r="Q1" s="538"/>
      <c r="R1" s="538"/>
      <c r="S1" s="538"/>
      <c r="T1" s="538"/>
      <c r="U1" s="538"/>
      <c r="V1" s="538"/>
      <c r="W1" s="538"/>
      <c r="X1" s="538"/>
      <c r="Y1" s="538"/>
      <c r="Z1" s="538"/>
      <c r="AA1" s="538"/>
      <c r="AB1" s="538"/>
      <c r="AC1" s="538"/>
      <c r="AD1" s="538"/>
      <c r="AE1" s="538"/>
      <c r="AF1" s="538"/>
      <c r="AG1" s="538"/>
      <c r="AH1" s="538"/>
      <c r="AI1" s="538"/>
      <c r="AJ1" s="538"/>
      <c r="AK1" s="538"/>
      <c r="AL1" s="538"/>
      <c r="AM1" s="538"/>
      <c r="AN1" s="538"/>
      <c r="AO1" s="538"/>
      <c r="AP1" s="538"/>
      <c r="AQ1" s="538"/>
      <c r="AR1" s="538"/>
      <c r="AS1" s="538"/>
      <c r="AT1" s="538"/>
      <c r="AU1" s="538"/>
      <c r="AV1" s="538"/>
      <c r="AW1" s="538"/>
      <c r="AX1" s="538"/>
      <c r="AY1" s="538"/>
      <c r="AZ1" s="538"/>
      <c r="BA1" s="538"/>
      <c r="BB1" s="538"/>
      <c r="BC1" s="538"/>
      <c r="BD1" s="538"/>
      <c r="BE1" s="538"/>
      <c r="BF1" s="538"/>
      <c r="BG1" s="538"/>
      <c r="BH1" s="538"/>
      <c r="BI1" s="538"/>
      <c r="BJ1" s="538"/>
      <c r="BK1" s="538"/>
      <c r="BL1" s="538"/>
      <c r="BM1" s="538"/>
      <c r="BN1" s="538"/>
      <c r="BO1" s="538"/>
      <c r="BP1" s="538"/>
      <c r="BQ1" s="538"/>
      <c r="BR1" s="538"/>
      <c r="BS1" s="538"/>
      <c r="BT1" s="538"/>
      <c r="BU1" s="538"/>
      <c r="BV1" s="538"/>
      <c r="BW1" s="538"/>
      <c r="BX1" s="538"/>
      <c r="BY1" s="538"/>
      <c r="BZ1" s="538"/>
      <c r="CA1" s="538"/>
      <c r="CB1" s="538"/>
    </row>
    <row r="2" spans="1:99" ht="24" customHeight="1">
      <c r="A2" s="558" t="s">
        <v>218</v>
      </c>
      <c r="B2" s="558"/>
      <c r="C2" s="558"/>
      <c r="D2" s="558"/>
      <c r="E2" s="558"/>
      <c r="F2" s="558"/>
      <c r="G2" s="558"/>
      <c r="H2" s="558"/>
      <c r="I2" s="558"/>
      <c r="J2" s="558"/>
      <c r="K2" s="558"/>
      <c r="L2" s="558"/>
      <c r="M2" s="558"/>
      <c r="N2" s="558"/>
      <c r="O2" s="558"/>
      <c r="P2" s="558"/>
      <c r="Q2" s="558"/>
      <c r="R2" s="558"/>
      <c r="S2" s="558"/>
      <c r="T2" s="558"/>
      <c r="U2" s="558"/>
      <c r="V2" s="558"/>
      <c r="W2" s="558"/>
      <c r="X2" s="558"/>
      <c r="Y2" s="558"/>
      <c r="Z2" s="558"/>
      <c r="AA2" s="558"/>
      <c r="AB2" s="558"/>
      <c r="AC2" s="558"/>
      <c r="AD2" s="558"/>
      <c r="AE2" s="558"/>
      <c r="AF2" s="558"/>
      <c r="AG2" s="558"/>
      <c r="AH2" s="558"/>
      <c r="AI2" s="558"/>
      <c r="AJ2" s="558"/>
      <c r="AK2" s="558"/>
      <c r="AL2" s="558"/>
      <c r="AM2" s="558"/>
      <c r="AN2" s="558"/>
      <c r="AO2" s="558"/>
      <c r="AP2" s="558"/>
      <c r="AQ2" s="558"/>
      <c r="AR2" s="558"/>
      <c r="AS2" s="558"/>
      <c r="AT2" s="558"/>
      <c r="AU2" s="558"/>
      <c r="AV2" s="558"/>
      <c r="AW2" s="558"/>
      <c r="AX2" s="558"/>
      <c r="AY2" s="558"/>
      <c r="AZ2" s="558"/>
      <c r="BA2" s="558"/>
      <c r="BB2" s="558"/>
      <c r="BC2" s="558"/>
      <c r="BD2" s="558"/>
      <c r="BE2" s="558"/>
      <c r="BF2" s="558"/>
      <c r="BG2" s="558"/>
      <c r="BH2" s="558"/>
      <c r="BI2" s="558"/>
      <c r="BJ2" s="558"/>
      <c r="BK2" s="558"/>
      <c r="BL2" s="558"/>
      <c r="BM2" s="558"/>
      <c r="BN2" s="558"/>
      <c r="BO2" s="558"/>
      <c r="BP2" s="558"/>
      <c r="BQ2" s="558"/>
      <c r="BR2" s="558"/>
      <c r="BS2" s="558"/>
      <c r="BT2" s="558"/>
      <c r="BU2" s="558"/>
      <c r="BV2" s="558"/>
      <c r="BW2" s="558"/>
      <c r="BX2" s="558"/>
      <c r="BY2" s="558"/>
      <c r="BZ2" s="558"/>
      <c r="CA2" s="558"/>
      <c r="CB2" s="558"/>
      <c r="CC2" s="558"/>
      <c r="CD2" s="558"/>
      <c r="CE2" s="558"/>
      <c r="CF2" s="558"/>
      <c r="CG2" s="558"/>
      <c r="CH2" s="558"/>
      <c r="CI2" s="558"/>
      <c r="CJ2" s="558"/>
      <c r="CK2" s="558"/>
      <c r="CL2" s="558"/>
      <c r="CM2" s="558"/>
      <c r="CN2" s="558"/>
      <c r="CO2" s="558"/>
      <c r="CP2" s="558"/>
      <c r="CQ2" s="558"/>
    </row>
    <row r="3" spans="1:99" ht="31.5" customHeight="1">
      <c r="A3" s="559" t="str">
        <f>'B1 TH'!A3:J3</f>
        <v>(Kèm theo Báo cáo số 545-BC/HU, ngày 02/10/2024 của BTV Huyện ủy)</v>
      </c>
      <c r="B3" s="559"/>
      <c r="C3" s="559"/>
      <c r="D3" s="559"/>
      <c r="E3" s="559"/>
      <c r="F3" s="559"/>
      <c r="G3" s="559"/>
      <c r="H3" s="559"/>
      <c r="I3" s="559"/>
      <c r="J3" s="559"/>
      <c r="K3" s="559"/>
      <c r="L3" s="559"/>
      <c r="M3" s="559"/>
      <c r="N3" s="559"/>
      <c r="O3" s="559"/>
      <c r="P3" s="559"/>
      <c r="Q3" s="559"/>
      <c r="R3" s="559"/>
      <c r="S3" s="559"/>
      <c r="T3" s="559"/>
      <c r="U3" s="559"/>
      <c r="V3" s="559"/>
      <c r="W3" s="559"/>
      <c r="X3" s="559"/>
      <c r="Y3" s="559"/>
      <c r="Z3" s="559"/>
      <c r="AA3" s="559"/>
      <c r="AB3" s="559"/>
      <c r="AC3" s="559"/>
      <c r="AD3" s="559"/>
      <c r="AE3" s="559"/>
      <c r="AF3" s="559"/>
      <c r="AG3" s="559"/>
      <c r="AH3" s="559"/>
      <c r="AI3" s="559"/>
      <c r="AJ3" s="559"/>
      <c r="AK3" s="559"/>
      <c r="AL3" s="559"/>
      <c r="AM3" s="559"/>
      <c r="AN3" s="559"/>
      <c r="AO3" s="559"/>
      <c r="AP3" s="559"/>
      <c r="AQ3" s="559"/>
      <c r="AR3" s="559"/>
      <c r="AS3" s="559"/>
      <c r="AT3" s="559"/>
      <c r="AU3" s="559"/>
      <c r="AV3" s="559"/>
      <c r="AW3" s="559"/>
      <c r="AX3" s="559"/>
      <c r="AY3" s="559"/>
      <c r="AZ3" s="559"/>
      <c r="BA3" s="559"/>
      <c r="BB3" s="559"/>
      <c r="BC3" s="559"/>
      <c r="BD3" s="559"/>
      <c r="BE3" s="559"/>
      <c r="BF3" s="559"/>
      <c r="BG3" s="559"/>
      <c r="BH3" s="559"/>
      <c r="BI3" s="559"/>
      <c r="BJ3" s="559"/>
      <c r="BK3" s="559"/>
      <c r="BL3" s="559"/>
      <c r="BM3" s="559"/>
      <c r="BN3" s="559"/>
      <c r="BO3" s="559"/>
      <c r="BP3" s="559"/>
      <c r="BQ3" s="559"/>
      <c r="BR3" s="559"/>
      <c r="BS3" s="559"/>
      <c r="BT3" s="559"/>
      <c r="BU3" s="559"/>
      <c r="BV3" s="559"/>
      <c r="BW3" s="559"/>
      <c r="BX3" s="559"/>
      <c r="BY3" s="559"/>
      <c r="BZ3" s="559"/>
      <c r="CA3" s="559"/>
      <c r="CB3" s="559"/>
      <c r="CC3" s="559"/>
      <c r="CD3" s="559"/>
      <c r="CE3" s="559"/>
      <c r="CF3" s="559"/>
      <c r="CG3" s="559"/>
      <c r="CH3" s="559"/>
      <c r="CI3" s="559"/>
      <c r="CJ3" s="559"/>
      <c r="CK3" s="559"/>
      <c r="CL3" s="559"/>
      <c r="CM3" s="559"/>
      <c r="CN3" s="559"/>
      <c r="CO3" s="559"/>
      <c r="CP3" s="559"/>
      <c r="CQ3" s="559"/>
    </row>
    <row r="4" spans="1:99" s="146" customFormat="1" ht="15.75" customHeight="1">
      <c r="A4" s="536" t="s">
        <v>1</v>
      </c>
      <c r="B4" s="536" t="s">
        <v>2</v>
      </c>
      <c r="C4" s="536" t="s">
        <v>3</v>
      </c>
      <c r="D4" s="536" t="s">
        <v>4</v>
      </c>
      <c r="E4" s="536" t="s">
        <v>666</v>
      </c>
      <c r="F4" s="536"/>
      <c r="G4" s="536"/>
      <c r="H4" s="536"/>
      <c r="I4" s="536"/>
      <c r="J4" s="536"/>
      <c r="K4" s="536"/>
      <c r="L4" s="536"/>
      <c r="M4" s="536"/>
      <c r="N4" s="536"/>
      <c r="O4" s="536"/>
      <c r="P4" s="536"/>
      <c r="Q4" s="536"/>
      <c r="R4" s="536"/>
      <c r="S4" s="536"/>
      <c r="T4" s="536"/>
      <c r="U4" s="536"/>
      <c r="V4" s="536"/>
      <c r="W4" s="536"/>
      <c r="X4" s="536"/>
      <c r="Y4" s="536"/>
      <c r="Z4" s="536"/>
      <c r="AA4" s="536"/>
      <c r="AB4" s="536"/>
      <c r="AC4" s="536"/>
      <c r="AD4" s="536"/>
      <c r="AE4" s="536"/>
      <c r="AF4" s="536"/>
      <c r="AG4" s="536"/>
      <c r="AH4" s="536"/>
      <c r="AI4" s="536"/>
      <c r="AJ4" s="536"/>
      <c r="AK4" s="536"/>
      <c r="AL4" s="536"/>
      <c r="AM4" s="536"/>
      <c r="AN4" s="536"/>
      <c r="AO4" s="536"/>
      <c r="AP4" s="536"/>
      <c r="AQ4" s="536"/>
      <c r="AR4" s="536"/>
      <c r="AS4" s="536"/>
      <c r="AT4" s="536"/>
      <c r="AU4" s="536"/>
      <c r="AV4" s="536"/>
      <c r="AW4" s="536"/>
      <c r="AX4" s="536"/>
      <c r="AY4" s="536"/>
      <c r="AZ4" s="536"/>
      <c r="BA4" s="536"/>
      <c r="BB4" s="536"/>
      <c r="BC4" s="536"/>
      <c r="BD4" s="536"/>
      <c r="BE4" s="536"/>
      <c r="BF4" s="536"/>
      <c r="BG4" s="536"/>
      <c r="BH4" s="536"/>
      <c r="BI4" s="536"/>
      <c r="BJ4" s="536"/>
      <c r="BK4" s="536"/>
      <c r="BL4" s="536"/>
      <c r="BM4" s="536"/>
      <c r="BN4" s="536" t="s">
        <v>6</v>
      </c>
      <c r="BO4" s="536"/>
      <c r="BP4" s="536"/>
      <c r="BQ4" s="536"/>
      <c r="BR4" s="536"/>
      <c r="BS4" s="536"/>
      <c r="BT4" s="536"/>
      <c r="BU4" s="536"/>
      <c r="BV4" s="536"/>
      <c r="BW4" s="536"/>
      <c r="BX4" s="536"/>
      <c r="BY4" s="536"/>
      <c r="BZ4" s="536"/>
      <c r="CA4" s="536"/>
      <c r="CB4" s="536" t="s">
        <v>185</v>
      </c>
      <c r="CH4" s="549" t="s">
        <v>653</v>
      </c>
      <c r="CI4" s="550"/>
      <c r="CJ4" s="550"/>
      <c r="CK4" s="550"/>
      <c r="CL4" s="550"/>
      <c r="CM4" s="550"/>
      <c r="CN4" s="551"/>
      <c r="CO4" s="552" t="s">
        <v>661</v>
      </c>
      <c r="CP4" s="553"/>
      <c r="CQ4" s="543" t="s">
        <v>319</v>
      </c>
    </row>
    <row r="5" spans="1:99" s="146" customFormat="1" ht="87.75" customHeight="1">
      <c r="A5" s="536"/>
      <c r="B5" s="536"/>
      <c r="C5" s="536"/>
      <c r="D5" s="536"/>
      <c r="E5" s="303" t="s">
        <v>5</v>
      </c>
      <c r="F5" s="304" t="s">
        <v>6</v>
      </c>
      <c r="G5" s="305"/>
      <c r="H5" s="305"/>
      <c r="I5" s="305"/>
      <c r="J5" s="305"/>
      <c r="K5" s="305"/>
      <c r="L5" s="305"/>
      <c r="M5" s="305"/>
      <c r="N5" s="305"/>
      <c r="O5" s="305"/>
      <c r="P5" s="305"/>
      <c r="Q5" s="305"/>
      <c r="R5" s="305"/>
      <c r="S5" s="306"/>
      <c r="T5" s="303" t="s">
        <v>7</v>
      </c>
      <c r="U5" s="304" t="s">
        <v>6</v>
      </c>
      <c r="V5" s="305"/>
      <c r="W5" s="305"/>
      <c r="X5" s="305"/>
      <c r="Y5" s="305"/>
      <c r="Z5" s="305"/>
      <c r="AA5" s="305"/>
      <c r="AB5" s="305"/>
      <c r="AC5" s="305"/>
      <c r="AD5" s="305"/>
      <c r="AE5" s="305"/>
      <c r="AF5" s="305"/>
      <c r="AG5" s="305"/>
      <c r="AH5" s="306"/>
      <c r="AI5" s="303" t="s">
        <v>8</v>
      </c>
      <c r="AJ5" s="304" t="s">
        <v>6</v>
      </c>
      <c r="AK5" s="305"/>
      <c r="AL5" s="305"/>
      <c r="AM5" s="305"/>
      <c r="AN5" s="305"/>
      <c r="AO5" s="305"/>
      <c r="AP5" s="305"/>
      <c r="AQ5" s="305"/>
      <c r="AR5" s="305"/>
      <c r="AS5" s="305"/>
      <c r="AT5" s="305"/>
      <c r="AU5" s="305"/>
      <c r="AV5" s="305"/>
      <c r="AW5" s="306"/>
      <c r="AX5" s="303" t="s">
        <v>9</v>
      </c>
      <c r="AY5" s="304" t="s">
        <v>6</v>
      </c>
      <c r="AZ5" s="305"/>
      <c r="BA5" s="305"/>
      <c r="BB5" s="305"/>
      <c r="BC5" s="305"/>
      <c r="BD5" s="305"/>
      <c r="BE5" s="305"/>
      <c r="BF5" s="305"/>
      <c r="BG5" s="305"/>
      <c r="BH5" s="305"/>
      <c r="BI5" s="305"/>
      <c r="BJ5" s="305"/>
      <c r="BK5" s="305"/>
      <c r="BL5" s="306"/>
      <c r="BM5" s="303" t="s">
        <v>10</v>
      </c>
      <c r="BN5" s="237" t="s">
        <v>12</v>
      </c>
      <c r="BO5" s="237" t="s">
        <v>13</v>
      </c>
      <c r="BP5" s="237" t="s">
        <v>14</v>
      </c>
      <c r="BQ5" s="237" t="s">
        <v>15</v>
      </c>
      <c r="BR5" s="237" t="s">
        <v>16</v>
      </c>
      <c r="BS5" s="237" t="s">
        <v>17</v>
      </c>
      <c r="BT5" s="237" t="s">
        <v>18</v>
      </c>
      <c r="BU5" s="237" t="s">
        <v>19</v>
      </c>
      <c r="BV5" s="237" t="s">
        <v>20</v>
      </c>
      <c r="BW5" s="237" t="s">
        <v>21</v>
      </c>
      <c r="BX5" s="237" t="s">
        <v>22</v>
      </c>
      <c r="BY5" s="237" t="s">
        <v>23</v>
      </c>
      <c r="BZ5" s="237" t="s">
        <v>24</v>
      </c>
      <c r="CA5" s="237" t="s">
        <v>25</v>
      </c>
      <c r="CB5" s="536"/>
      <c r="CD5" s="146">
        <v>2021</v>
      </c>
      <c r="CE5" s="146">
        <v>2022</v>
      </c>
      <c r="CF5" s="146">
        <v>2023</v>
      </c>
      <c r="CG5" s="146">
        <v>2024</v>
      </c>
      <c r="CH5" s="237" t="s">
        <v>654</v>
      </c>
      <c r="CI5" s="237" t="s">
        <v>655</v>
      </c>
      <c r="CJ5" s="237" t="s">
        <v>656</v>
      </c>
      <c r="CK5" s="237" t="s">
        <v>657</v>
      </c>
      <c r="CL5" s="237" t="s">
        <v>658</v>
      </c>
      <c r="CM5" s="237" t="s">
        <v>659</v>
      </c>
      <c r="CN5" s="201" t="s">
        <v>660</v>
      </c>
      <c r="CO5" s="195" t="s">
        <v>662</v>
      </c>
      <c r="CP5" s="195" t="s">
        <v>663</v>
      </c>
      <c r="CQ5" s="544"/>
    </row>
    <row r="6" spans="1:99" s="11" customFormat="1" ht="15">
      <c r="A6" s="91" t="s">
        <v>219</v>
      </c>
      <c r="B6" s="106" t="s">
        <v>220</v>
      </c>
      <c r="C6" s="91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H6" s="211"/>
      <c r="CI6" s="211"/>
      <c r="CJ6" s="211"/>
      <c r="CK6" s="211"/>
      <c r="CL6" s="211"/>
      <c r="CM6" s="211"/>
      <c r="CN6" s="211"/>
      <c r="CO6" s="211"/>
      <c r="CP6" s="211"/>
      <c r="CQ6" s="211"/>
    </row>
    <row r="7" spans="1:99" s="11" customFormat="1" ht="25.5" customHeight="1">
      <c r="A7" s="89" t="s">
        <v>26</v>
      </c>
      <c r="B7" s="90" t="s">
        <v>221</v>
      </c>
      <c r="C7" s="89"/>
      <c r="D7" s="243">
        <f>'[1]B5 GD&amp;DT va KHCN'!$K$7</f>
        <v>14573</v>
      </c>
      <c r="E7" s="243">
        <f>E9+E11+E13+E15</f>
        <v>14383</v>
      </c>
      <c r="F7" s="173">
        <f>SUM(F9:F15)</f>
        <v>2253</v>
      </c>
      <c r="G7" s="173">
        <f t="shared" ref="G7:S7" si="0">SUM(G9:G15)</f>
        <v>787</v>
      </c>
      <c r="H7" s="173">
        <f t="shared" si="0"/>
        <v>798</v>
      </c>
      <c r="I7" s="173">
        <f t="shared" si="0"/>
        <v>501</v>
      </c>
      <c r="J7" s="173">
        <f t="shared" si="0"/>
        <v>1041</v>
      </c>
      <c r="K7" s="173">
        <f t="shared" si="0"/>
        <v>572</v>
      </c>
      <c r="L7" s="173">
        <f t="shared" si="0"/>
        <v>902</v>
      </c>
      <c r="M7" s="173">
        <f t="shared" si="0"/>
        <v>1195</v>
      </c>
      <c r="N7" s="173">
        <f t="shared" si="0"/>
        <v>924</v>
      </c>
      <c r="O7" s="173">
        <f t="shared" si="0"/>
        <v>527</v>
      </c>
      <c r="P7" s="173">
        <f t="shared" si="0"/>
        <v>1110</v>
      </c>
      <c r="Q7" s="173">
        <f t="shared" si="0"/>
        <v>642</v>
      </c>
      <c r="R7" s="173">
        <f t="shared" si="0"/>
        <v>701</v>
      </c>
      <c r="S7" s="173">
        <f t="shared" si="0"/>
        <v>2430</v>
      </c>
      <c r="T7" s="243">
        <f>T9+T11+T13+T15</f>
        <v>14015</v>
      </c>
      <c r="U7" s="243">
        <f>SUM(U9:U15)</f>
        <v>2199</v>
      </c>
      <c r="V7" s="243">
        <f t="shared" ref="V7:AH7" si="1">SUM(V9:V15)</f>
        <v>784</v>
      </c>
      <c r="W7" s="243">
        <f t="shared" si="1"/>
        <v>807</v>
      </c>
      <c r="X7" s="243">
        <f t="shared" si="1"/>
        <v>480</v>
      </c>
      <c r="Y7" s="243">
        <f t="shared" si="1"/>
        <v>1021</v>
      </c>
      <c r="Z7" s="243">
        <f t="shared" si="1"/>
        <v>585</v>
      </c>
      <c r="AA7" s="243">
        <f t="shared" si="1"/>
        <v>887</v>
      </c>
      <c r="AB7" s="243">
        <f t="shared" si="1"/>
        <v>1324</v>
      </c>
      <c r="AC7" s="243">
        <f t="shared" si="1"/>
        <v>1039</v>
      </c>
      <c r="AD7" s="243">
        <f t="shared" si="1"/>
        <v>606</v>
      </c>
      <c r="AE7" s="243">
        <f t="shared" si="1"/>
        <v>1051</v>
      </c>
      <c r="AF7" s="243">
        <f t="shared" si="1"/>
        <v>663</v>
      </c>
      <c r="AG7" s="243">
        <f t="shared" si="1"/>
        <v>691</v>
      </c>
      <c r="AH7" s="243">
        <f t="shared" si="1"/>
        <v>1878</v>
      </c>
      <c r="AI7" s="243">
        <f>AI9+AI11+AI13+AI15</f>
        <v>14708</v>
      </c>
      <c r="AJ7" s="243">
        <f>SUM(AJ9:AJ15)</f>
        <v>2240</v>
      </c>
      <c r="AK7" s="243">
        <f t="shared" ref="AK7:AW7" si="2">SUM(AK9:AK15)</f>
        <v>781</v>
      </c>
      <c r="AL7" s="243">
        <f t="shared" si="2"/>
        <v>827</v>
      </c>
      <c r="AM7" s="243">
        <f t="shared" si="2"/>
        <v>473</v>
      </c>
      <c r="AN7" s="243">
        <f t="shared" si="2"/>
        <v>994</v>
      </c>
      <c r="AO7" s="243">
        <f t="shared" si="2"/>
        <v>581</v>
      </c>
      <c r="AP7" s="243">
        <f t="shared" si="2"/>
        <v>873</v>
      </c>
      <c r="AQ7" s="243">
        <f t="shared" si="2"/>
        <v>1324</v>
      </c>
      <c r="AR7" s="243">
        <f t="shared" si="2"/>
        <v>1059</v>
      </c>
      <c r="AS7" s="243">
        <f t="shared" si="2"/>
        <v>596</v>
      </c>
      <c r="AT7" s="243">
        <f t="shared" si="2"/>
        <v>1056</v>
      </c>
      <c r="AU7" s="243">
        <f t="shared" si="2"/>
        <v>672</v>
      </c>
      <c r="AV7" s="243">
        <f t="shared" si="2"/>
        <v>685</v>
      </c>
      <c r="AW7" s="243">
        <f t="shared" si="2"/>
        <v>2547</v>
      </c>
      <c r="AX7" s="243">
        <f>AX9+AX11+AX13+AX15</f>
        <v>14844</v>
      </c>
      <c r="AY7" s="243">
        <f>SUM(AY9:AY15)</f>
        <v>2286</v>
      </c>
      <c r="AZ7" s="243">
        <f t="shared" ref="AZ7:BL7" si="3">SUM(AZ9:AZ15)</f>
        <v>796</v>
      </c>
      <c r="BA7" s="243">
        <f t="shared" si="3"/>
        <v>789</v>
      </c>
      <c r="BB7" s="243">
        <f t="shared" si="3"/>
        <v>475</v>
      </c>
      <c r="BC7" s="243">
        <f t="shared" si="3"/>
        <v>1076</v>
      </c>
      <c r="BD7" s="243">
        <f t="shared" si="3"/>
        <v>575</v>
      </c>
      <c r="BE7" s="243">
        <f t="shared" si="3"/>
        <v>874</v>
      </c>
      <c r="BF7" s="243">
        <f t="shared" si="3"/>
        <v>1368</v>
      </c>
      <c r="BG7" s="243">
        <f t="shared" si="3"/>
        <v>991</v>
      </c>
      <c r="BH7" s="243">
        <f t="shared" si="3"/>
        <v>562</v>
      </c>
      <c r="BI7" s="243">
        <f t="shared" si="3"/>
        <v>1056</v>
      </c>
      <c r="BJ7" s="243">
        <f t="shared" si="3"/>
        <v>672</v>
      </c>
      <c r="BK7" s="243">
        <f t="shared" si="3"/>
        <v>687</v>
      </c>
      <c r="BL7" s="243">
        <f t="shared" si="3"/>
        <v>2637</v>
      </c>
      <c r="BM7" s="243">
        <f>BM9+BM11+BM13+BM15</f>
        <v>14793</v>
      </c>
      <c r="BN7" s="243">
        <f>BN9+BN11+BN13+BN15</f>
        <v>2312</v>
      </c>
      <c r="BO7" s="243">
        <f t="shared" ref="BO7:CA7" si="4">BO9+BO11+BO13+BO15</f>
        <v>770</v>
      </c>
      <c r="BP7" s="243">
        <f t="shared" si="4"/>
        <v>802</v>
      </c>
      <c r="BQ7" s="243">
        <f t="shared" si="4"/>
        <v>470</v>
      </c>
      <c r="BR7" s="243">
        <f t="shared" si="4"/>
        <v>1081</v>
      </c>
      <c r="BS7" s="243">
        <f t="shared" si="4"/>
        <v>568</v>
      </c>
      <c r="BT7" s="243">
        <f t="shared" si="4"/>
        <v>870</v>
      </c>
      <c r="BU7" s="243">
        <f t="shared" si="4"/>
        <v>1355</v>
      </c>
      <c r="BV7" s="243">
        <f t="shared" si="4"/>
        <v>990</v>
      </c>
      <c r="BW7" s="243">
        <f t="shared" si="4"/>
        <v>545</v>
      </c>
      <c r="BX7" s="243">
        <f t="shared" si="4"/>
        <v>1050</v>
      </c>
      <c r="BY7" s="243">
        <f t="shared" si="4"/>
        <v>678</v>
      </c>
      <c r="BZ7" s="243">
        <f t="shared" si="4"/>
        <v>705</v>
      </c>
      <c r="CA7" s="243">
        <f t="shared" si="4"/>
        <v>2597</v>
      </c>
      <c r="CB7" s="243">
        <f>BM7</f>
        <v>14793</v>
      </c>
      <c r="CH7" s="243">
        <f>CH9+CH11+CH13+CH15</f>
        <v>14675</v>
      </c>
      <c r="CI7" s="243">
        <f t="shared" ref="CI7:CN7" si="5">CI9+CI11+CI13+CI15</f>
        <v>14623</v>
      </c>
      <c r="CJ7" s="243">
        <f t="shared" si="5"/>
        <v>14549</v>
      </c>
      <c r="CK7" s="243">
        <f t="shared" si="5"/>
        <v>14549</v>
      </c>
      <c r="CL7" s="243">
        <f t="shared" si="5"/>
        <v>15312</v>
      </c>
      <c r="CM7" s="243">
        <f t="shared" si="5"/>
        <v>15006</v>
      </c>
      <c r="CN7" s="243">
        <f t="shared" si="5"/>
        <v>15006</v>
      </c>
      <c r="CO7" s="351">
        <f>CK7/CB7%</f>
        <v>98.350571216115725</v>
      </c>
      <c r="CP7" s="351">
        <f>CN7/CK7%</f>
        <v>103.14110935459482</v>
      </c>
      <c r="CQ7" s="289"/>
    </row>
    <row r="8" spans="1:99" s="146" customFormat="1" ht="25.5" customHeight="1">
      <c r="A8" s="78">
        <v>1</v>
      </c>
      <c r="B8" s="83" t="s">
        <v>222</v>
      </c>
      <c r="C8" s="78"/>
      <c r="D8" s="110"/>
      <c r="E8" s="110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10"/>
      <c r="U8" s="110"/>
      <c r="V8" s="110"/>
      <c r="W8" s="110"/>
      <c r="X8" s="110"/>
      <c r="Y8" s="110"/>
      <c r="Z8" s="110"/>
      <c r="AA8" s="110"/>
      <c r="AB8" s="110"/>
      <c r="AC8" s="110"/>
      <c r="AD8" s="110"/>
      <c r="AE8" s="110"/>
      <c r="AF8" s="110"/>
      <c r="AG8" s="110"/>
      <c r="AH8" s="110"/>
      <c r="AI8" s="110"/>
      <c r="AJ8" s="110"/>
      <c r="AK8" s="110"/>
      <c r="AL8" s="110"/>
      <c r="AM8" s="110"/>
      <c r="AN8" s="110"/>
      <c r="AO8" s="110"/>
      <c r="AP8" s="110"/>
      <c r="AQ8" s="110"/>
      <c r="AR8" s="110"/>
      <c r="AS8" s="110"/>
      <c r="AT8" s="110"/>
      <c r="AU8" s="110"/>
      <c r="AV8" s="110"/>
      <c r="AW8" s="110"/>
      <c r="AX8" s="110"/>
      <c r="AY8" s="110"/>
      <c r="AZ8" s="110"/>
      <c r="BA8" s="110"/>
      <c r="BB8" s="110"/>
      <c r="BC8" s="110"/>
      <c r="BD8" s="110"/>
      <c r="BE8" s="110"/>
      <c r="BF8" s="110"/>
      <c r="BG8" s="110"/>
      <c r="BH8" s="110"/>
      <c r="BI8" s="110"/>
      <c r="BJ8" s="110"/>
      <c r="BK8" s="110"/>
      <c r="BL8" s="110"/>
      <c r="BM8" s="110"/>
      <c r="BN8" s="110"/>
      <c r="BO8" s="110"/>
      <c r="BP8" s="110"/>
      <c r="BQ8" s="110"/>
      <c r="BR8" s="110"/>
      <c r="BS8" s="110"/>
      <c r="BT8" s="110"/>
      <c r="BU8" s="110"/>
      <c r="BV8" s="110"/>
      <c r="BW8" s="110"/>
      <c r="BX8" s="110"/>
      <c r="BY8" s="110"/>
      <c r="BZ8" s="110"/>
      <c r="CA8" s="110"/>
      <c r="CB8" s="110"/>
      <c r="CH8" s="349"/>
      <c r="CI8" s="349"/>
      <c r="CJ8" s="349"/>
      <c r="CK8" s="349"/>
      <c r="CL8" s="349"/>
      <c r="CM8" s="349"/>
      <c r="CN8" s="349"/>
      <c r="CO8" s="289"/>
      <c r="CP8" s="289"/>
      <c r="CQ8" s="289"/>
    </row>
    <row r="9" spans="1:99" s="146" customFormat="1" ht="25.5" customHeight="1">
      <c r="A9" s="78"/>
      <c r="B9" s="83" t="s">
        <v>223</v>
      </c>
      <c r="C9" s="78" t="s">
        <v>224</v>
      </c>
      <c r="D9" s="110">
        <f>'[1]B5 GD&amp;DT va KHCN'!$K$9</f>
        <v>3668</v>
      </c>
      <c r="E9" s="110">
        <f>SUM(F9:S9)</f>
        <v>3318</v>
      </c>
      <c r="F9" s="135">
        <v>366</v>
      </c>
      <c r="G9" s="135">
        <v>191</v>
      </c>
      <c r="H9" s="135">
        <v>195</v>
      </c>
      <c r="I9" s="135">
        <v>150</v>
      </c>
      <c r="J9" s="135">
        <v>315</v>
      </c>
      <c r="K9" s="135">
        <v>118</v>
      </c>
      <c r="L9" s="135">
        <v>208</v>
      </c>
      <c r="M9" s="135">
        <v>289</v>
      </c>
      <c r="N9" s="135">
        <v>239</v>
      </c>
      <c r="O9" s="135">
        <v>111</v>
      </c>
      <c r="P9" s="135">
        <v>159</v>
      </c>
      <c r="Q9" s="135">
        <v>142</v>
      </c>
      <c r="R9" s="135">
        <v>188</v>
      </c>
      <c r="S9" s="135">
        <v>647</v>
      </c>
      <c r="T9" s="110">
        <f>SUM(U9:AH9)</f>
        <v>3424</v>
      </c>
      <c r="U9" s="110">
        <v>320</v>
      </c>
      <c r="V9" s="110">
        <v>170</v>
      </c>
      <c r="W9" s="110">
        <v>221</v>
      </c>
      <c r="X9" s="110">
        <v>132</v>
      </c>
      <c r="Y9" s="110">
        <v>274</v>
      </c>
      <c r="Z9" s="110">
        <v>165</v>
      </c>
      <c r="AA9" s="110">
        <v>204</v>
      </c>
      <c r="AB9" s="110">
        <v>354</v>
      </c>
      <c r="AC9" s="110">
        <v>240</v>
      </c>
      <c r="AD9" s="110">
        <v>150</v>
      </c>
      <c r="AE9" s="110">
        <v>166</v>
      </c>
      <c r="AF9" s="110">
        <v>162</v>
      </c>
      <c r="AG9" s="110">
        <v>196</v>
      </c>
      <c r="AH9" s="110">
        <v>670</v>
      </c>
      <c r="AI9" s="110">
        <f>SUM(AJ9:AW9)</f>
        <v>3363</v>
      </c>
      <c r="AJ9" s="110">
        <v>330</v>
      </c>
      <c r="AK9" s="110">
        <v>162</v>
      </c>
      <c r="AL9" s="110">
        <v>225</v>
      </c>
      <c r="AM9" s="110">
        <v>135</v>
      </c>
      <c r="AN9" s="110">
        <v>212</v>
      </c>
      <c r="AO9" s="110">
        <v>163</v>
      </c>
      <c r="AP9" s="110">
        <v>200</v>
      </c>
      <c r="AQ9" s="110">
        <v>362</v>
      </c>
      <c r="AR9" s="110">
        <v>255</v>
      </c>
      <c r="AS9" s="110">
        <v>154</v>
      </c>
      <c r="AT9" s="110">
        <v>167</v>
      </c>
      <c r="AU9" s="110">
        <v>164</v>
      </c>
      <c r="AV9" s="110">
        <v>171</v>
      </c>
      <c r="AW9" s="110">
        <v>663</v>
      </c>
      <c r="AX9" s="110">
        <f>SUM(AY9:BL9)</f>
        <v>3372</v>
      </c>
      <c r="AY9" s="110">
        <v>340</v>
      </c>
      <c r="AZ9" s="110">
        <v>160</v>
      </c>
      <c r="BA9" s="110">
        <v>227</v>
      </c>
      <c r="BB9" s="110">
        <v>140</v>
      </c>
      <c r="BC9" s="110">
        <v>250</v>
      </c>
      <c r="BD9" s="110">
        <v>160</v>
      </c>
      <c r="BE9" s="110">
        <v>195</v>
      </c>
      <c r="BF9" s="110">
        <v>370</v>
      </c>
      <c r="BG9" s="110">
        <v>240</v>
      </c>
      <c r="BH9" s="110">
        <v>155</v>
      </c>
      <c r="BI9" s="110">
        <v>168</v>
      </c>
      <c r="BJ9" s="110">
        <v>164</v>
      </c>
      <c r="BK9" s="110">
        <v>155</v>
      </c>
      <c r="BL9" s="110">
        <v>648</v>
      </c>
      <c r="BM9" s="110">
        <f>SUM(BN9:CA9)</f>
        <v>3432</v>
      </c>
      <c r="BN9" s="110">
        <v>353</v>
      </c>
      <c r="BO9" s="110">
        <v>160</v>
      </c>
      <c r="BP9" s="110">
        <v>229</v>
      </c>
      <c r="BQ9" s="110">
        <v>140</v>
      </c>
      <c r="BR9" s="110">
        <v>250</v>
      </c>
      <c r="BS9" s="110">
        <v>162</v>
      </c>
      <c r="BT9" s="110">
        <v>195</v>
      </c>
      <c r="BU9" s="110">
        <v>376</v>
      </c>
      <c r="BV9" s="110">
        <v>247</v>
      </c>
      <c r="BW9" s="110">
        <v>169</v>
      </c>
      <c r="BX9" s="110">
        <v>170</v>
      </c>
      <c r="BY9" s="110">
        <v>165</v>
      </c>
      <c r="BZ9" s="110">
        <v>160</v>
      </c>
      <c r="CA9" s="110">
        <v>656</v>
      </c>
      <c r="CB9" s="110">
        <f>BM9</f>
        <v>3432</v>
      </c>
      <c r="CH9" s="349">
        <v>3568</v>
      </c>
      <c r="CI9" s="349">
        <v>3484</v>
      </c>
      <c r="CJ9" s="349">
        <v>3206</v>
      </c>
      <c r="CK9" s="349">
        <f>CJ9</f>
        <v>3206</v>
      </c>
      <c r="CL9" s="349">
        <v>3772</v>
      </c>
      <c r="CM9" s="349">
        <v>3432</v>
      </c>
      <c r="CN9" s="349">
        <v>3432</v>
      </c>
      <c r="CO9" s="351">
        <f>CK9/CB9%</f>
        <v>93.414918414918418</v>
      </c>
      <c r="CP9" s="351">
        <f>CN9/CK9%</f>
        <v>107.04928259513412</v>
      </c>
      <c r="CQ9" s="207"/>
      <c r="CS9" s="146">
        <f>97.5-3.1</f>
        <v>94.4</v>
      </c>
      <c r="CT9" s="146">
        <v>98.8</v>
      </c>
      <c r="CU9" s="146">
        <f>CT9-CS9</f>
        <v>4.3999999999999915</v>
      </c>
    </row>
    <row r="10" spans="1:99" s="146" customFormat="1" ht="25.5" customHeight="1">
      <c r="A10" s="78">
        <v>2</v>
      </c>
      <c r="B10" s="83" t="s">
        <v>225</v>
      </c>
      <c r="C10" s="78"/>
      <c r="D10" s="110"/>
      <c r="E10" s="110"/>
      <c r="F10" s="135"/>
      <c r="G10" s="135"/>
      <c r="H10" s="135"/>
      <c r="I10" s="135"/>
      <c r="J10" s="135"/>
      <c r="K10" s="135"/>
      <c r="L10" s="135"/>
      <c r="M10" s="135"/>
      <c r="N10" s="135"/>
      <c r="O10" s="135"/>
      <c r="P10" s="135"/>
      <c r="Q10" s="135"/>
      <c r="R10" s="135"/>
      <c r="S10" s="135"/>
      <c r="T10" s="110"/>
      <c r="U10" s="110"/>
      <c r="V10" s="110"/>
      <c r="W10" s="110"/>
      <c r="X10" s="110"/>
      <c r="Y10" s="110"/>
      <c r="Z10" s="110"/>
      <c r="AA10" s="110"/>
      <c r="AB10" s="110"/>
      <c r="AC10" s="110"/>
      <c r="AD10" s="110"/>
      <c r="AE10" s="110"/>
      <c r="AF10" s="110"/>
      <c r="AG10" s="110"/>
      <c r="AH10" s="110"/>
      <c r="AI10" s="110"/>
      <c r="AJ10" s="110"/>
      <c r="AK10" s="110"/>
      <c r="AL10" s="110"/>
      <c r="AM10" s="110"/>
      <c r="AN10" s="110"/>
      <c r="AO10" s="110"/>
      <c r="AP10" s="110"/>
      <c r="AQ10" s="110"/>
      <c r="AR10" s="110"/>
      <c r="AS10" s="110"/>
      <c r="AT10" s="110"/>
      <c r="AU10" s="110"/>
      <c r="AV10" s="110"/>
      <c r="AW10" s="110"/>
      <c r="AX10" s="110"/>
      <c r="AY10" s="110"/>
      <c r="AZ10" s="110"/>
      <c r="BA10" s="110"/>
      <c r="BB10" s="110"/>
      <c r="BC10" s="110"/>
      <c r="BD10" s="110"/>
      <c r="BE10" s="110"/>
      <c r="BF10" s="110"/>
      <c r="BG10" s="110"/>
      <c r="BH10" s="110"/>
      <c r="BI10" s="110"/>
      <c r="BJ10" s="110"/>
      <c r="BK10" s="110"/>
      <c r="BL10" s="110"/>
      <c r="BM10" s="110"/>
      <c r="BN10" s="110"/>
      <c r="BO10" s="110"/>
      <c r="BP10" s="110"/>
      <c r="BQ10" s="110"/>
      <c r="BR10" s="110"/>
      <c r="BS10" s="110"/>
      <c r="BT10" s="110"/>
      <c r="BU10" s="110"/>
      <c r="BV10" s="110"/>
      <c r="BW10" s="110"/>
      <c r="BX10" s="110"/>
      <c r="BY10" s="110"/>
      <c r="BZ10" s="110"/>
      <c r="CA10" s="110"/>
      <c r="CB10" s="110"/>
      <c r="CH10" s="349"/>
      <c r="CI10" s="349"/>
      <c r="CJ10" s="349"/>
      <c r="CK10" s="349"/>
      <c r="CL10" s="349"/>
      <c r="CM10" s="349"/>
      <c r="CN10" s="349"/>
      <c r="CO10" s="289"/>
      <c r="CP10" s="289"/>
      <c r="CQ10" s="289"/>
    </row>
    <row r="11" spans="1:99" s="146" customFormat="1" ht="25.5" customHeight="1">
      <c r="A11" s="78"/>
      <c r="B11" s="83" t="s">
        <v>226</v>
      </c>
      <c r="C11" s="78" t="s">
        <v>224</v>
      </c>
      <c r="D11" s="110">
        <f>'[1]B5 GD&amp;DT va KHCN'!$J$11</f>
        <v>5853</v>
      </c>
      <c r="E11" s="110">
        <f>SUM(F11:S11)</f>
        <v>5893</v>
      </c>
      <c r="F11" s="135">
        <v>717</v>
      </c>
      <c r="G11" s="135">
        <v>334</v>
      </c>
      <c r="H11" s="135">
        <v>338</v>
      </c>
      <c r="I11" s="135">
        <v>227</v>
      </c>
      <c r="J11" s="135">
        <v>463</v>
      </c>
      <c r="K11" s="135">
        <v>240</v>
      </c>
      <c r="L11" s="135">
        <v>374</v>
      </c>
      <c r="M11" s="135">
        <v>558</v>
      </c>
      <c r="N11" s="135">
        <v>329</v>
      </c>
      <c r="O11" s="135">
        <v>226</v>
      </c>
      <c r="P11" s="135">
        <v>307</v>
      </c>
      <c r="Q11" s="135">
        <v>276</v>
      </c>
      <c r="R11" s="135">
        <v>317</v>
      </c>
      <c r="S11" s="135">
        <v>1187</v>
      </c>
      <c r="T11" s="110">
        <f>SUM(U11:AH11)</f>
        <v>5941</v>
      </c>
      <c r="U11" s="110">
        <v>712</v>
      </c>
      <c r="V11" s="110">
        <v>348</v>
      </c>
      <c r="W11" s="110">
        <v>330</v>
      </c>
      <c r="X11" s="110">
        <v>225</v>
      </c>
      <c r="Y11" s="110">
        <v>461</v>
      </c>
      <c r="Z11" s="110">
        <v>225</v>
      </c>
      <c r="AA11" s="110">
        <v>372</v>
      </c>
      <c r="AB11" s="110">
        <v>565</v>
      </c>
      <c r="AC11" s="110">
        <v>425</v>
      </c>
      <c r="AD11" s="110">
        <v>231</v>
      </c>
      <c r="AE11" s="110">
        <v>262</v>
      </c>
      <c r="AF11" s="110">
        <v>276</v>
      </c>
      <c r="AG11" s="110">
        <v>301</v>
      </c>
      <c r="AH11" s="110">
        <v>1208</v>
      </c>
      <c r="AI11" s="110">
        <f>SUM(AJ11:AW11)</f>
        <v>5855</v>
      </c>
      <c r="AJ11" s="110">
        <v>683</v>
      </c>
      <c r="AK11" s="110">
        <v>338</v>
      </c>
      <c r="AL11" s="110">
        <v>324</v>
      </c>
      <c r="AM11" s="110">
        <v>218</v>
      </c>
      <c r="AN11" s="110">
        <v>485</v>
      </c>
      <c r="AO11" s="110">
        <v>230</v>
      </c>
      <c r="AP11" s="110">
        <v>360</v>
      </c>
      <c r="AQ11" s="110">
        <v>535</v>
      </c>
      <c r="AR11" s="110">
        <v>423</v>
      </c>
      <c r="AS11" s="110">
        <v>234</v>
      </c>
      <c r="AT11" s="110">
        <v>252</v>
      </c>
      <c r="AU11" s="110">
        <v>279</v>
      </c>
      <c r="AV11" s="110">
        <v>330</v>
      </c>
      <c r="AW11" s="110">
        <v>1164</v>
      </c>
      <c r="AX11" s="110">
        <f>SUM(AY11:BL11)</f>
        <v>5787</v>
      </c>
      <c r="AY11" s="110">
        <v>669</v>
      </c>
      <c r="AZ11" s="110">
        <v>354</v>
      </c>
      <c r="BA11" s="110">
        <v>280</v>
      </c>
      <c r="BB11" s="110">
        <v>205</v>
      </c>
      <c r="BC11" s="110">
        <v>487</v>
      </c>
      <c r="BD11" s="110">
        <v>225</v>
      </c>
      <c r="BE11" s="110">
        <v>369</v>
      </c>
      <c r="BF11" s="110">
        <v>539</v>
      </c>
      <c r="BG11" s="110">
        <v>390</v>
      </c>
      <c r="BH11" s="110">
        <v>227</v>
      </c>
      <c r="BI11" s="110">
        <v>244</v>
      </c>
      <c r="BJ11" s="110">
        <v>278</v>
      </c>
      <c r="BK11" s="110">
        <v>351</v>
      </c>
      <c r="BL11" s="110">
        <v>1169</v>
      </c>
      <c r="BM11" s="110">
        <f>SUM(BN11:CA11)</f>
        <v>5743</v>
      </c>
      <c r="BN11" s="110">
        <v>671</v>
      </c>
      <c r="BO11" s="110">
        <v>346</v>
      </c>
      <c r="BP11" s="110">
        <v>300</v>
      </c>
      <c r="BQ11" s="110">
        <v>180</v>
      </c>
      <c r="BR11" s="110">
        <v>477</v>
      </c>
      <c r="BS11" s="110">
        <v>220</v>
      </c>
      <c r="BT11" s="110">
        <v>374</v>
      </c>
      <c r="BU11" s="110">
        <v>540</v>
      </c>
      <c r="BV11" s="110">
        <v>415</v>
      </c>
      <c r="BW11" s="110">
        <v>237</v>
      </c>
      <c r="BX11" s="110">
        <v>234</v>
      </c>
      <c r="BY11" s="110">
        <v>278</v>
      </c>
      <c r="BZ11" s="110">
        <v>327</v>
      </c>
      <c r="CA11" s="110">
        <v>1144</v>
      </c>
      <c r="CB11" s="110">
        <f>BM11</f>
        <v>5743</v>
      </c>
      <c r="CH11" s="349">
        <v>5929</v>
      </c>
      <c r="CI11" s="349">
        <v>5923</v>
      </c>
      <c r="CJ11" s="349">
        <v>5920</v>
      </c>
      <c r="CK11" s="349">
        <f>CJ11</f>
        <v>5920</v>
      </c>
      <c r="CL11" s="349">
        <v>5787</v>
      </c>
      <c r="CM11" s="349">
        <v>5743</v>
      </c>
      <c r="CN11" s="349">
        <v>5743</v>
      </c>
      <c r="CO11" s="351">
        <f>CK11/CB11%</f>
        <v>103.08201288525161</v>
      </c>
      <c r="CP11" s="351">
        <f>CN11/CK11%</f>
        <v>97.01013513513513</v>
      </c>
      <c r="CQ11" s="289"/>
    </row>
    <row r="12" spans="1:99" s="146" customFormat="1" ht="25.5" customHeight="1">
      <c r="A12" s="78">
        <v>3</v>
      </c>
      <c r="B12" s="83" t="s">
        <v>227</v>
      </c>
      <c r="C12" s="78"/>
      <c r="D12" s="110"/>
      <c r="E12" s="110"/>
      <c r="F12" s="135"/>
      <c r="G12" s="135"/>
      <c r="H12" s="135"/>
      <c r="I12" s="135"/>
      <c r="J12" s="135"/>
      <c r="K12" s="135"/>
      <c r="L12" s="135"/>
      <c r="M12" s="135"/>
      <c r="N12" s="135"/>
      <c r="O12" s="135"/>
      <c r="P12" s="135"/>
      <c r="Q12" s="135"/>
      <c r="R12" s="135"/>
      <c r="S12" s="135"/>
      <c r="T12" s="110"/>
      <c r="U12" s="110"/>
      <c r="V12" s="110"/>
      <c r="W12" s="110"/>
      <c r="X12" s="110"/>
      <c r="Y12" s="110"/>
      <c r="Z12" s="110"/>
      <c r="AA12" s="110"/>
      <c r="AB12" s="110"/>
      <c r="AC12" s="110"/>
      <c r="AD12" s="110"/>
      <c r="AE12" s="110"/>
      <c r="AF12" s="110"/>
      <c r="AG12" s="110"/>
      <c r="AH12" s="110"/>
      <c r="AI12" s="110"/>
      <c r="AJ12" s="110"/>
      <c r="AK12" s="110"/>
      <c r="AL12" s="110"/>
      <c r="AM12" s="110"/>
      <c r="AN12" s="110"/>
      <c r="AO12" s="110"/>
      <c r="AP12" s="110"/>
      <c r="AQ12" s="110"/>
      <c r="AR12" s="110"/>
      <c r="AS12" s="110"/>
      <c r="AT12" s="110"/>
      <c r="AU12" s="110"/>
      <c r="AV12" s="110"/>
      <c r="AW12" s="110"/>
      <c r="AX12" s="110"/>
      <c r="AY12" s="110"/>
      <c r="AZ12" s="110"/>
      <c r="BA12" s="110"/>
      <c r="BB12" s="110"/>
      <c r="BC12" s="110"/>
      <c r="BD12" s="110"/>
      <c r="BE12" s="110"/>
      <c r="BF12" s="110"/>
      <c r="BG12" s="110"/>
      <c r="BH12" s="110"/>
      <c r="BI12" s="110"/>
      <c r="BJ12" s="110"/>
      <c r="BK12" s="110"/>
      <c r="BL12" s="110"/>
      <c r="BM12" s="110"/>
      <c r="BN12" s="110"/>
      <c r="BO12" s="110"/>
      <c r="BP12" s="110"/>
      <c r="BQ12" s="110"/>
      <c r="BR12" s="110"/>
      <c r="BS12" s="110"/>
      <c r="BT12" s="110"/>
      <c r="BU12" s="110"/>
      <c r="BV12" s="110"/>
      <c r="BW12" s="110"/>
      <c r="BX12" s="110"/>
      <c r="BY12" s="110"/>
      <c r="BZ12" s="110"/>
      <c r="CA12" s="110"/>
      <c r="CB12" s="110"/>
      <c r="CH12" s="349"/>
      <c r="CI12" s="349"/>
      <c r="CJ12" s="349"/>
      <c r="CK12" s="349"/>
      <c r="CL12" s="349"/>
      <c r="CM12" s="349"/>
      <c r="CN12" s="349"/>
      <c r="CO12" s="289"/>
      <c r="CP12" s="289"/>
      <c r="CQ12" s="289"/>
    </row>
    <row r="13" spans="1:99" s="146" customFormat="1" ht="25.5" customHeight="1">
      <c r="A13" s="78"/>
      <c r="B13" s="83" t="s">
        <v>228</v>
      </c>
      <c r="C13" s="78" t="s">
        <v>224</v>
      </c>
      <c r="D13" s="110">
        <f>'[1]B5 GD&amp;DT va KHCN'!$J$13</f>
        <v>3872</v>
      </c>
      <c r="E13" s="110">
        <f>SUM(F13:S13)</f>
        <v>4052</v>
      </c>
      <c r="F13" s="135">
        <v>450</v>
      </c>
      <c r="G13" s="135">
        <v>262</v>
      </c>
      <c r="H13" s="135">
        <v>265</v>
      </c>
      <c r="I13" s="135">
        <v>124</v>
      </c>
      <c r="J13" s="135">
        <v>263</v>
      </c>
      <c r="K13" s="135">
        <v>214</v>
      </c>
      <c r="L13" s="135">
        <v>320</v>
      </c>
      <c r="M13" s="135">
        <v>348</v>
      </c>
      <c r="N13" s="135">
        <v>356</v>
      </c>
      <c r="O13" s="135">
        <v>190</v>
      </c>
      <c r="P13" s="135">
        <v>244</v>
      </c>
      <c r="Q13" s="135">
        <v>224</v>
      </c>
      <c r="R13" s="135">
        <v>196</v>
      </c>
      <c r="S13" s="135">
        <v>596</v>
      </c>
      <c r="T13" s="110">
        <f>SUM(U13:AH13)</f>
        <v>3530</v>
      </c>
      <c r="U13" s="110">
        <v>447</v>
      </c>
      <c r="V13" s="110">
        <v>266</v>
      </c>
      <c r="W13" s="110">
        <v>256</v>
      </c>
      <c r="X13" s="110">
        <v>123</v>
      </c>
      <c r="Y13" s="110">
        <v>286</v>
      </c>
      <c r="Z13" s="110">
        <v>195</v>
      </c>
      <c r="AA13" s="110">
        <v>311</v>
      </c>
      <c r="AB13" s="110">
        <v>405</v>
      </c>
      <c r="AC13" s="110">
        <v>374</v>
      </c>
      <c r="AD13" s="110">
        <v>225</v>
      </c>
      <c r="AE13" s="110">
        <v>223</v>
      </c>
      <c r="AF13" s="110">
        <v>225</v>
      </c>
      <c r="AG13" s="110">
        <v>194</v>
      </c>
      <c r="AH13" s="110"/>
      <c r="AI13" s="110">
        <f>SUM(AJ13:AW13)</f>
        <v>4370</v>
      </c>
      <c r="AJ13" s="110">
        <v>507</v>
      </c>
      <c r="AK13" s="110">
        <v>281</v>
      </c>
      <c r="AL13" s="110">
        <v>278</v>
      </c>
      <c r="AM13" s="110">
        <v>120</v>
      </c>
      <c r="AN13" s="110">
        <v>297</v>
      </c>
      <c r="AO13" s="110">
        <v>188</v>
      </c>
      <c r="AP13" s="110">
        <v>313</v>
      </c>
      <c r="AQ13" s="110">
        <v>427</v>
      </c>
      <c r="AR13" s="110">
        <v>381</v>
      </c>
      <c r="AS13" s="110">
        <v>208</v>
      </c>
      <c r="AT13" s="110">
        <v>237</v>
      </c>
      <c r="AU13" s="110">
        <v>229</v>
      </c>
      <c r="AV13" s="110">
        <v>184</v>
      </c>
      <c r="AW13" s="110">
        <v>720</v>
      </c>
      <c r="AX13" s="110">
        <f>SUM(AY13:BL13)</f>
        <v>4565</v>
      </c>
      <c r="AY13" s="110">
        <v>557</v>
      </c>
      <c r="AZ13" s="110">
        <v>282</v>
      </c>
      <c r="BA13" s="110">
        <v>282</v>
      </c>
      <c r="BB13" s="110">
        <v>130</v>
      </c>
      <c r="BC13" s="110">
        <v>339</v>
      </c>
      <c r="BD13" s="110">
        <v>190</v>
      </c>
      <c r="BE13" s="110">
        <v>310</v>
      </c>
      <c r="BF13" s="110">
        <v>459</v>
      </c>
      <c r="BG13" s="110">
        <v>361</v>
      </c>
      <c r="BH13" s="110">
        <v>180</v>
      </c>
      <c r="BI13" s="110">
        <v>244</v>
      </c>
      <c r="BJ13" s="110">
        <v>230</v>
      </c>
      <c r="BK13" s="110">
        <v>181</v>
      </c>
      <c r="BL13" s="110">
        <v>820</v>
      </c>
      <c r="BM13" s="110">
        <f>SUM(BN13:CA13)</f>
        <v>4498</v>
      </c>
      <c r="BN13" s="110">
        <v>568</v>
      </c>
      <c r="BO13" s="110">
        <v>264</v>
      </c>
      <c r="BP13" s="110">
        <v>273</v>
      </c>
      <c r="BQ13" s="110">
        <v>150</v>
      </c>
      <c r="BR13" s="110">
        <v>354</v>
      </c>
      <c r="BS13" s="110">
        <v>186</v>
      </c>
      <c r="BT13" s="110">
        <v>301</v>
      </c>
      <c r="BU13" s="110">
        <v>439</v>
      </c>
      <c r="BV13" s="110">
        <v>328</v>
      </c>
      <c r="BW13" s="110">
        <v>139</v>
      </c>
      <c r="BX13" s="110">
        <v>246</v>
      </c>
      <c r="BY13" s="110">
        <v>235</v>
      </c>
      <c r="BZ13" s="110">
        <v>218</v>
      </c>
      <c r="CA13" s="110">
        <v>797</v>
      </c>
      <c r="CB13" s="110">
        <f>BM13</f>
        <v>4498</v>
      </c>
      <c r="CH13" s="349">
        <v>3974</v>
      </c>
      <c r="CI13" s="349">
        <v>3995</v>
      </c>
      <c r="CJ13" s="349">
        <v>4163</v>
      </c>
      <c r="CK13" s="349">
        <f>CJ13</f>
        <v>4163</v>
      </c>
      <c r="CL13" s="349">
        <v>4553</v>
      </c>
      <c r="CM13" s="349">
        <v>4631</v>
      </c>
      <c r="CN13" s="349">
        <v>4631</v>
      </c>
      <c r="CO13" s="351">
        <f>CK13/CB13%</f>
        <v>92.552245442418865</v>
      </c>
      <c r="CP13" s="351">
        <f>CN13/CK13%</f>
        <v>111.24189286572182</v>
      </c>
      <c r="CQ13" s="289"/>
    </row>
    <row r="14" spans="1:99" s="146" customFormat="1" ht="42.75" customHeight="1">
      <c r="A14" s="78">
        <v>4</v>
      </c>
      <c r="B14" s="83" t="s">
        <v>229</v>
      </c>
      <c r="C14" s="78"/>
      <c r="D14" s="110"/>
      <c r="E14" s="110"/>
      <c r="F14" s="135"/>
      <c r="G14" s="135"/>
      <c r="H14" s="135"/>
      <c r="I14" s="135"/>
      <c r="J14" s="135"/>
      <c r="K14" s="135"/>
      <c r="L14" s="135"/>
      <c r="M14" s="135"/>
      <c r="N14" s="135"/>
      <c r="O14" s="135"/>
      <c r="P14" s="135"/>
      <c r="Q14" s="135"/>
      <c r="R14" s="135"/>
      <c r="S14" s="135"/>
      <c r="T14" s="110"/>
      <c r="U14" s="110"/>
      <c r="V14" s="110"/>
      <c r="W14" s="110"/>
      <c r="X14" s="110"/>
      <c r="Y14" s="110"/>
      <c r="Z14" s="110"/>
      <c r="AA14" s="110"/>
      <c r="AB14" s="110"/>
      <c r="AC14" s="110"/>
      <c r="AD14" s="110"/>
      <c r="AE14" s="110"/>
      <c r="AF14" s="110"/>
      <c r="AG14" s="110"/>
      <c r="AH14" s="110"/>
      <c r="AI14" s="110"/>
      <c r="AJ14" s="110"/>
      <c r="AK14" s="110"/>
      <c r="AL14" s="110"/>
      <c r="AM14" s="110"/>
      <c r="AN14" s="110"/>
      <c r="AO14" s="110"/>
      <c r="AP14" s="110"/>
      <c r="AQ14" s="110"/>
      <c r="AR14" s="110"/>
      <c r="AS14" s="110"/>
      <c r="AT14" s="110"/>
      <c r="AU14" s="110"/>
      <c r="AV14" s="110"/>
      <c r="AW14" s="110"/>
      <c r="AX14" s="110"/>
      <c r="AY14" s="110"/>
      <c r="AZ14" s="110"/>
      <c r="BA14" s="110"/>
      <c r="BB14" s="110"/>
      <c r="BC14" s="110"/>
      <c r="BD14" s="110"/>
      <c r="BE14" s="110"/>
      <c r="BF14" s="110"/>
      <c r="BG14" s="110"/>
      <c r="BH14" s="110"/>
      <c r="BI14" s="110"/>
      <c r="BJ14" s="110"/>
      <c r="BK14" s="110"/>
      <c r="BL14" s="110"/>
      <c r="BM14" s="110"/>
      <c r="BN14" s="110"/>
      <c r="BO14" s="110"/>
      <c r="BP14" s="110"/>
      <c r="BQ14" s="110"/>
      <c r="BR14" s="110"/>
      <c r="BS14" s="110"/>
      <c r="BT14" s="110"/>
      <c r="BU14" s="110"/>
      <c r="BV14" s="110"/>
      <c r="BW14" s="110"/>
      <c r="BX14" s="110"/>
      <c r="BY14" s="110"/>
      <c r="BZ14" s="110"/>
      <c r="CA14" s="110"/>
      <c r="CB14" s="110"/>
      <c r="CH14" s="349"/>
      <c r="CI14" s="349"/>
      <c r="CJ14" s="349"/>
      <c r="CK14" s="349"/>
      <c r="CL14" s="349"/>
      <c r="CM14" s="349"/>
      <c r="CN14" s="349"/>
      <c r="CO14" s="289"/>
      <c r="CP14" s="289"/>
      <c r="CQ14" s="289"/>
    </row>
    <row r="15" spans="1:99" s="146" customFormat="1" ht="35.25" customHeight="1">
      <c r="A15" s="78"/>
      <c r="B15" s="83" t="s">
        <v>230</v>
      </c>
      <c r="C15" s="78" t="s">
        <v>224</v>
      </c>
      <c r="D15" s="110">
        <f>'[1]B5 GD&amp;DT va KHCN'!$K$15</f>
        <v>1180</v>
      </c>
      <c r="E15" s="110">
        <f>SUM(F15:S15)</f>
        <v>1120</v>
      </c>
      <c r="F15" s="135">
        <v>720</v>
      </c>
      <c r="G15" s="135"/>
      <c r="H15" s="135"/>
      <c r="I15" s="135"/>
      <c r="J15" s="135"/>
      <c r="K15" s="135"/>
      <c r="L15" s="135"/>
      <c r="M15" s="135"/>
      <c r="N15" s="135"/>
      <c r="O15" s="135"/>
      <c r="P15" s="135">
        <v>400</v>
      </c>
      <c r="Q15" s="135"/>
      <c r="R15" s="135"/>
      <c r="S15" s="135"/>
      <c r="T15" s="110">
        <f>SUM(U15:AH15)</f>
        <v>1120</v>
      </c>
      <c r="U15" s="110">
        <v>720</v>
      </c>
      <c r="V15" s="110"/>
      <c r="W15" s="110"/>
      <c r="X15" s="110"/>
      <c r="Y15" s="110"/>
      <c r="Z15" s="110"/>
      <c r="AA15" s="110"/>
      <c r="AB15" s="110"/>
      <c r="AC15" s="110"/>
      <c r="AD15" s="110"/>
      <c r="AE15" s="110">
        <v>400</v>
      </c>
      <c r="AF15" s="110"/>
      <c r="AG15" s="110"/>
      <c r="AH15" s="110"/>
      <c r="AI15" s="110">
        <f>SUM(AJ15:AW15)</f>
        <v>1120</v>
      </c>
      <c r="AJ15" s="110">
        <v>720</v>
      </c>
      <c r="AK15" s="110"/>
      <c r="AL15" s="110"/>
      <c r="AM15" s="110"/>
      <c r="AN15" s="110"/>
      <c r="AO15" s="110"/>
      <c r="AP15" s="110"/>
      <c r="AQ15" s="110"/>
      <c r="AR15" s="110"/>
      <c r="AS15" s="110"/>
      <c r="AT15" s="110">
        <v>400</v>
      </c>
      <c r="AU15" s="110"/>
      <c r="AV15" s="110"/>
      <c r="AW15" s="110"/>
      <c r="AX15" s="110">
        <f>SUM(AY15:BL15)</f>
        <v>1120</v>
      </c>
      <c r="AY15" s="110">
        <v>720</v>
      </c>
      <c r="AZ15" s="110"/>
      <c r="BA15" s="110"/>
      <c r="BB15" s="110"/>
      <c r="BC15" s="110"/>
      <c r="BD15" s="110"/>
      <c r="BE15" s="110"/>
      <c r="BF15" s="110"/>
      <c r="BG15" s="110"/>
      <c r="BH15" s="110"/>
      <c r="BI15" s="110">
        <v>400</v>
      </c>
      <c r="BJ15" s="110"/>
      <c r="BK15" s="110"/>
      <c r="BL15" s="110"/>
      <c r="BM15" s="110">
        <f>SUM(BN15:CA15)</f>
        <v>1120</v>
      </c>
      <c r="BN15" s="110">
        <f>420+300</f>
        <v>720</v>
      </c>
      <c r="BO15" s="110"/>
      <c r="BP15" s="110"/>
      <c r="BQ15" s="110"/>
      <c r="BR15" s="110"/>
      <c r="BS15" s="110"/>
      <c r="BT15" s="110"/>
      <c r="BU15" s="110"/>
      <c r="BV15" s="110"/>
      <c r="BW15" s="110"/>
      <c r="BX15" s="110">
        <v>400</v>
      </c>
      <c r="BY15" s="110"/>
      <c r="BZ15" s="110"/>
      <c r="CA15" s="110"/>
      <c r="CB15" s="110">
        <f>BM15</f>
        <v>1120</v>
      </c>
      <c r="CH15" s="349">
        <v>1204</v>
      </c>
      <c r="CI15" s="349">
        <v>1221</v>
      </c>
      <c r="CJ15" s="349">
        <v>1260</v>
      </c>
      <c r="CK15" s="349">
        <f>CJ15</f>
        <v>1260</v>
      </c>
      <c r="CL15" s="349">
        <v>1200</v>
      </c>
      <c r="CM15" s="349">
        <v>1200</v>
      </c>
      <c r="CN15" s="349">
        <v>1200</v>
      </c>
      <c r="CO15" s="351">
        <f>CK15/CB15%</f>
        <v>112.50000000000001</v>
      </c>
      <c r="CP15" s="351">
        <f>CN15/CK15%</f>
        <v>95.238095238095241</v>
      </c>
      <c r="CQ15" s="289"/>
    </row>
    <row r="16" spans="1:99" s="161" customFormat="1" ht="45">
      <c r="A16" s="168">
        <v>5</v>
      </c>
      <c r="B16" s="189" t="s">
        <v>625</v>
      </c>
      <c r="C16" s="168" t="s">
        <v>626</v>
      </c>
      <c r="D16" s="135">
        <f>SUM(D18:D23)</f>
        <v>41</v>
      </c>
      <c r="E16" s="165">
        <f t="shared" ref="E16" si="6">E18+E19+E20+E21+E22+E23</f>
        <v>40</v>
      </c>
      <c r="F16" s="165">
        <f t="shared" ref="F16:AH16" si="7">F18+F19+F20+F21+F22+F23</f>
        <v>6</v>
      </c>
      <c r="G16" s="165">
        <f t="shared" si="7"/>
        <v>2</v>
      </c>
      <c r="H16" s="165">
        <f t="shared" si="7"/>
        <v>2</v>
      </c>
      <c r="I16" s="165">
        <f t="shared" si="7"/>
        <v>2</v>
      </c>
      <c r="J16" s="165">
        <f t="shared" si="7"/>
        <v>3</v>
      </c>
      <c r="K16" s="165">
        <f t="shared" si="7"/>
        <v>2</v>
      </c>
      <c r="L16" s="165">
        <f t="shared" si="7"/>
        <v>3</v>
      </c>
      <c r="M16" s="165">
        <f t="shared" si="7"/>
        <v>3</v>
      </c>
      <c r="N16" s="165">
        <f t="shared" si="7"/>
        <v>2</v>
      </c>
      <c r="O16" s="165">
        <f t="shared" si="7"/>
        <v>2</v>
      </c>
      <c r="P16" s="165">
        <f t="shared" si="7"/>
        <v>4</v>
      </c>
      <c r="Q16" s="165">
        <f t="shared" si="7"/>
        <v>3</v>
      </c>
      <c r="R16" s="165">
        <f t="shared" si="7"/>
        <v>3</v>
      </c>
      <c r="S16" s="165">
        <f t="shared" si="7"/>
        <v>3</v>
      </c>
      <c r="T16" s="165">
        <f t="shared" si="7"/>
        <v>40</v>
      </c>
      <c r="U16" s="165">
        <f t="shared" si="7"/>
        <v>6</v>
      </c>
      <c r="V16" s="165">
        <f t="shared" si="7"/>
        <v>2</v>
      </c>
      <c r="W16" s="165">
        <f t="shared" si="7"/>
        <v>2</v>
      </c>
      <c r="X16" s="165">
        <f t="shared" si="7"/>
        <v>2</v>
      </c>
      <c r="Y16" s="165">
        <f t="shared" si="7"/>
        <v>3</v>
      </c>
      <c r="Z16" s="165">
        <f t="shared" si="7"/>
        <v>2</v>
      </c>
      <c r="AA16" s="165">
        <f t="shared" si="7"/>
        <v>3</v>
      </c>
      <c r="AB16" s="165">
        <f t="shared" si="7"/>
        <v>3</v>
      </c>
      <c r="AC16" s="165">
        <f t="shared" si="7"/>
        <v>2</v>
      </c>
      <c r="AD16" s="165">
        <f t="shared" si="7"/>
        <v>2</v>
      </c>
      <c r="AE16" s="165">
        <f t="shared" si="7"/>
        <v>4</v>
      </c>
      <c r="AF16" s="165">
        <f t="shared" si="7"/>
        <v>3</v>
      </c>
      <c r="AG16" s="165">
        <f t="shared" si="7"/>
        <v>3</v>
      </c>
      <c r="AH16" s="165">
        <f t="shared" si="7"/>
        <v>3</v>
      </c>
      <c r="AI16" s="165">
        <f t="shared" ref="AI16:AW16" si="8">AI18+AI19+AI20+AI21+AI22+AI23</f>
        <v>39</v>
      </c>
      <c r="AJ16" s="165">
        <f t="shared" si="8"/>
        <v>6</v>
      </c>
      <c r="AK16" s="165">
        <f t="shared" si="8"/>
        <v>2</v>
      </c>
      <c r="AL16" s="165">
        <f t="shared" si="8"/>
        <v>2</v>
      </c>
      <c r="AM16" s="165">
        <f t="shared" si="8"/>
        <v>2</v>
      </c>
      <c r="AN16" s="165">
        <f t="shared" si="8"/>
        <v>3</v>
      </c>
      <c r="AO16" s="165">
        <f t="shared" si="8"/>
        <v>2</v>
      </c>
      <c r="AP16" s="165">
        <f t="shared" si="8"/>
        <v>3</v>
      </c>
      <c r="AQ16" s="165">
        <f t="shared" si="8"/>
        <v>3</v>
      </c>
      <c r="AR16" s="165">
        <f t="shared" si="8"/>
        <v>2</v>
      </c>
      <c r="AS16" s="165">
        <f t="shared" si="8"/>
        <v>2</v>
      </c>
      <c r="AT16" s="165">
        <f t="shared" si="8"/>
        <v>3</v>
      </c>
      <c r="AU16" s="165">
        <f t="shared" si="8"/>
        <v>3</v>
      </c>
      <c r="AV16" s="165">
        <f t="shared" si="8"/>
        <v>3</v>
      </c>
      <c r="AW16" s="165">
        <f t="shared" si="8"/>
        <v>3</v>
      </c>
      <c r="AX16" s="165">
        <f t="shared" ref="AX16:BL16" si="9">AX18+AX19+AX20+AX21+AX22+AX23</f>
        <v>38</v>
      </c>
      <c r="AY16" s="165">
        <f t="shared" si="9"/>
        <v>6</v>
      </c>
      <c r="AZ16" s="165">
        <f t="shared" si="9"/>
        <v>2</v>
      </c>
      <c r="BA16" s="165">
        <f t="shared" si="9"/>
        <v>2</v>
      </c>
      <c r="BB16" s="165">
        <f t="shared" si="9"/>
        <v>2</v>
      </c>
      <c r="BC16" s="165">
        <f t="shared" si="9"/>
        <v>3</v>
      </c>
      <c r="BD16" s="165">
        <f t="shared" si="9"/>
        <v>2</v>
      </c>
      <c r="BE16" s="165">
        <f t="shared" si="9"/>
        <v>3</v>
      </c>
      <c r="BF16" s="165">
        <f t="shared" si="9"/>
        <v>3</v>
      </c>
      <c r="BG16" s="165">
        <f t="shared" si="9"/>
        <v>2</v>
      </c>
      <c r="BH16" s="165">
        <f t="shared" si="9"/>
        <v>2</v>
      </c>
      <c r="BI16" s="165">
        <f t="shared" si="9"/>
        <v>3</v>
      </c>
      <c r="BJ16" s="165">
        <f t="shared" si="9"/>
        <v>3</v>
      </c>
      <c r="BK16" s="165">
        <f t="shared" si="9"/>
        <v>2</v>
      </c>
      <c r="BL16" s="165">
        <f t="shared" si="9"/>
        <v>3</v>
      </c>
      <c r="BM16" s="165">
        <f t="shared" ref="BM16:CA16" si="10">BM18+BM19+BM20+BM21+BM22+BM23</f>
        <v>36</v>
      </c>
      <c r="BN16" s="165">
        <f t="shared" si="10"/>
        <v>6</v>
      </c>
      <c r="BO16" s="165">
        <f t="shared" si="10"/>
        <v>2</v>
      </c>
      <c r="BP16" s="165">
        <f t="shared" si="10"/>
        <v>2</v>
      </c>
      <c r="BQ16" s="165">
        <f t="shared" si="10"/>
        <v>2</v>
      </c>
      <c r="BR16" s="165">
        <f t="shared" si="10"/>
        <v>3</v>
      </c>
      <c r="BS16" s="165">
        <f t="shared" si="10"/>
        <v>2</v>
      </c>
      <c r="BT16" s="165">
        <f t="shared" si="10"/>
        <v>2</v>
      </c>
      <c r="BU16" s="165">
        <f t="shared" si="10"/>
        <v>2</v>
      </c>
      <c r="BV16" s="165">
        <f t="shared" si="10"/>
        <v>2</v>
      </c>
      <c r="BW16" s="165">
        <f t="shared" si="10"/>
        <v>2</v>
      </c>
      <c r="BX16" s="165">
        <f t="shared" si="10"/>
        <v>3</v>
      </c>
      <c r="BY16" s="165">
        <f t="shared" si="10"/>
        <v>3</v>
      </c>
      <c r="BZ16" s="165">
        <f t="shared" si="10"/>
        <v>2</v>
      </c>
      <c r="CA16" s="165">
        <f t="shared" si="10"/>
        <v>3</v>
      </c>
      <c r="CB16" s="135">
        <f>BM16</f>
        <v>36</v>
      </c>
      <c r="CH16" s="353">
        <v>40</v>
      </c>
      <c r="CI16" s="353">
        <v>40</v>
      </c>
      <c r="CJ16" s="353">
        <f>SUM(CJ18:CJ23)</f>
        <v>39</v>
      </c>
      <c r="CK16" s="353">
        <f t="shared" ref="CK16:CN16" si="11">SUM(CK18:CK23)</f>
        <v>39</v>
      </c>
      <c r="CL16" s="353">
        <f t="shared" si="11"/>
        <v>38</v>
      </c>
      <c r="CM16" s="353">
        <f t="shared" si="11"/>
        <v>38</v>
      </c>
      <c r="CN16" s="353">
        <f t="shared" si="11"/>
        <v>38</v>
      </c>
      <c r="CO16" s="351">
        <f>CK16/CB16%</f>
        <v>108.33333333333334</v>
      </c>
      <c r="CP16" s="351">
        <f>CN16/CK16%</f>
        <v>97.435897435897431</v>
      </c>
      <c r="CQ16" s="214"/>
    </row>
    <row r="17" spans="1:95" s="161" customFormat="1" ht="54.75" customHeight="1">
      <c r="A17" s="168"/>
      <c r="B17" s="189" t="s">
        <v>627</v>
      </c>
      <c r="C17" s="168" t="s">
        <v>626</v>
      </c>
      <c r="D17" s="135">
        <v>2</v>
      </c>
      <c r="E17" s="166">
        <f>SUM(F17:S17)</f>
        <v>2</v>
      </c>
      <c r="F17" s="162">
        <v>1</v>
      </c>
      <c r="G17" s="162"/>
      <c r="H17" s="162"/>
      <c r="I17" s="162"/>
      <c r="J17" s="162"/>
      <c r="K17" s="162"/>
      <c r="L17" s="162"/>
      <c r="M17" s="162"/>
      <c r="N17" s="162"/>
      <c r="O17" s="162"/>
      <c r="P17" s="162">
        <v>1</v>
      </c>
      <c r="Q17" s="162"/>
      <c r="R17" s="162"/>
      <c r="S17" s="162"/>
      <c r="T17" s="166">
        <f>SUM(U17:AH17)</f>
        <v>2</v>
      </c>
      <c r="U17" s="307">
        <v>1</v>
      </c>
      <c r="V17" s="307"/>
      <c r="W17" s="307"/>
      <c r="X17" s="307"/>
      <c r="Y17" s="307"/>
      <c r="Z17" s="307"/>
      <c r="AA17" s="307"/>
      <c r="AB17" s="307"/>
      <c r="AC17" s="307"/>
      <c r="AD17" s="307"/>
      <c r="AE17" s="307">
        <v>1</v>
      </c>
      <c r="AF17" s="307"/>
      <c r="AG17" s="307"/>
      <c r="AH17" s="307"/>
      <c r="AI17" s="166">
        <f>SUM(AJ17:AW17)</f>
        <v>2</v>
      </c>
      <c r="AJ17" s="307">
        <v>1</v>
      </c>
      <c r="AK17" s="307"/>
      <c r="AL17" s="307"/>
      <c r="AM17" s="307"/>
      <c r="AN17" s="307"/>
      <c r="AO17" s="307"/>
      <c r="AP17" s="307"/>
      <c r="AQ17" s="307"/>
      <c r="AR17" s="307"/>
      <c r="AS17" s="307"/>
      <c r="AT17" s="307">
        <v>1</v>
      </c>
      <c r="AU17" s="307"/>
      <c r="AV17" s="307"/>
      <c r="AW17" s="307"/>
      <c r="AX17" s="166">
        <f>SUM(AY17:BL17)</f>
        <v>2</v>
      </c>
      <c r="AY17" s="307">
        <v>1</v>
      </c>
      <c r="AZ17" s="307"/>
      <c r="BA17" s="307"/>
      <c r="BB17" s="307"/>
      <c r="BC17" s="307"/>
      <c r="BD17" s="307"/>
      <c r="BE17" s="307"/>
      <c r="BF17" s="307"/>
      <c r="BG17" s="307"/>
      <c r="BH17" s="307"/>
      <c r="BI17" s="307">
        <v>1</v>
      </c>
      <c r="BJ17" s="307"/>
      <c r="BK17" s="307"/>
      <c r="BL17" s="307"/>
      <c r="BM17" s="166">
        <f>SUM(BN17:CA17)</f>
        <v>2</v>
      </c>
      <c r="BN17" s="307">
        <v>1</v>
      </c>
      <c r="BO17" s="307"/>
      <c r="BP17" s="307"/>
      <c r="BQ17" s="307"/>
      <c r="BR17" s="307"/>
      <c r="BS17" s="307"/>
      <c r="BT17" s="307"/>
      <c r="BU17" s="307"/>
      <c r="BV17" s="307"/>
      <c r="BW17" s="307"/>
      <c r="BX17" s="307">
        <v>1</v>
      </c>
      <c r="BY17" s="307"/>
      <c r="BZ17" s="307"/>
      <c r="CA17" s="307"/>
      <c r="CB17" s="135">
        <f t="shared" ref="CB17:CB22" si="12">BM17</f>
        <v>2</v>
      </c>
      <c r="CC17" s="135">
        <f t="shared" ref="CC17" si="13">BN17</f>
        <v>1</v>
      </c>
      <c r="CD17" s="135">
        <f t="shared" ref="CD17" si="14">BO17</f>
        <v>0</v>
      </c>
      <c r="CE17" s="135">
        <f t="shared" ref="CE17" si="15">BP17</f>
        <v>0</v>
      </c>
      <c r="CF17" s="135">
        <f t="shared" ref="CF17" si="16">BQ17</f>
        <v>0</v>
      </c>
      <c r="CG17" s="135">
        <f t="shared" ref="CG17" si="17">BR17</f>
        <v>0</v>
      </c>
      <c r="CH17" s="135">
        <v>2</v>
      </c>
      <c r="CI17" s="135">
        <v>2</v>
      </c>
      <c r="CJ17" s="135">
        <v>2</v>
      </c>
      <c r="CK17" s="135">
        <v>2</v>
      </c>
      <c r="CL17" s="135">
        <v>2</v>
      </c>
      <c r="CM17" s="135">
        <v>2</v>
      </c>
      <c r="CN17" s="353">
        <v>2</v>
      </c>
      <c r="CO17" s="351">
        <f>CK17/CB17%</f>
        <v>100</v>
      </c>
      <c r="CP17" s="351">
        <f>CN17/CK17%</f>
        <v>100</v>
      </c>
      <c r="CQ17" s="214"/>
    </row>
    <row r="18" spans="1:95" s="161" customFormat="1" ht="35.25" customHeight="1">
      <c r="A18" s="168"/>
      <c r="B18" s="189" t="s">
        <v>628</v>
      </c>
      <c r="C18" s="168" t="s">
        <v>626</v>
      </c>
      <c r="D18" s="135">
        <v>14</v>
      </c>
      <c r="E18" s="167">
        <f t="shared" ref="E18:E23" si="18">SUM(F18:S18)</f>
        <v>14</v>
      </c>
      <c r="F18" s="163">
        <v>1</v>
      </c>
      <c r="G18" s="163">
        <v>1</v>
      </c>
      <c r="H18" s="163">
        <v>1</v>
      </c>
      <c r="I18" s="163">
        <v>1</v>
      </c>
      <c r="J18" s="163">
        <v>1</v>
      </c>
      <c r="K18" s="163">
        <v>1</v>
      </c>
      <c r="L18" s="163">
        <v>1</v>
      </c>
      <c r="M18" s="163">
        <v>1</v>
      </c>
      <c r="N18" s="163">
        <v>1</v>
      </c>
      <c r="O18" s="163">
        <v>1</v>
      </c>
      <c r="P18" s="163">
        <v>1</v>
      </c>
      <c r="Q18" s="163">
        <v>1</v>
      </c>
      <c r="R18" s="163">
        <v>1</v>
      </c>
      <c r="S18" s="163">
        <v>1</v>
      </c>
      <c r="T18" s="167">
        <f t="shared" ref="T18:T23" si="19">SUM(U18:AH18)</f>
        <v>14</v>
      </c>
      <c r="U18" s="307">
        <v>1</v>
      </c>
      <c r="V18" s="307">
        <v>1</v>
      </c>
      <c r="W18" s="307">
        <v>1</v>
      </c>
      <c r="X18" s="307">
        <v>1</v>
      </c>
      <c r="Y18" s="307">
        <v>1</v>
      </c>
      <c r="Z18" s="307">
        <v>1</v>
      </c>
      <c r="AA18" s="307">
        <v>1</v>
      </c>
      <c r="AB18" s="307">
        <v>1</v>
      </c>
      <c r="AC18" s="307">
        <v>1</v>
      </c>
      <c r="AD18" s="307">
        <v>1</v>
      </c>
      <c r="AE18" s="307">
        <v>1</v>
      </c>
      <c r="AF18" s="307">
        <v>1</v>
      </c>
      <c r="AG18" s="307">
        <v>1</v>
      </c>
      <c r="AH18" s="307">
        <v>1</v>
      </c>
      <c r="AI18" s="167">
        <f t="shared" ref="AI18:AI23" si="20">SUM(AJ18:AW18)</f>
        <v>14</v>
      </c>
      <c r="AJ18" s="307">
        <v>1</v>
      </c>
      <c r="AK18" s="307">
        <v>1</v>
      </c>
      <c r="AL18" s="307">
        <v>1</v>
      </c>
      <c r="AM18" s="307">
        <v>1</v>
      </c>
      <c r="AN18" s="307">
        <v>1</v>
      </c>
      <c r="AO18" s="307">
        <v>1</v>
      </c>
      <c r="AP18" s="307">
        <v>1</v>
      </c>
      <c r="AQ18" s="307">
        <v>1</v>
      </c>
      <c r="AR18" s="307">
        <v>1</v>
      </c>
      <c r="AS18" s="307">
        <v>1</v>
      </c>
      <c r="AT18" s="307">
        <v>1</v>
      </c>
      <c r="AU18" s="307">
        <v>1</v>
      </c>
      <c r="AV18" s="307">
        <v>1</v>
      </c>
      <c r="AW18" s="307">
        <v>1</v>
      </c>
      <c r="AX18" s="167">
        <f t="shared" ref="AX18:AX23" si="21">SUM(AY18:BL18)</f>
        <v>14</v>
      </c>
      <c r="AY18" s="307">
        <v>1</v>
      </c>
      <c r="AZ18" s="307">
        <v>1</v>
      </c>
      <c r="BA18" s="307">
        <v>1</v>
      </c>
      <c r="BB18" s="307">
        <v>1</v>
      </c>
      <c r="BC18" s="307">
        <v>1</v>
      </c>
      <c r="BD18" s="307">
        <v>1</v>
      </c>
      <c r="BE18" s="307">
        <v>1</v>
      </c>
      <c r="BF18" s="307">
        <v>1</v>
      </c>
      <c r="BG18" s="307">
        <v>1</v>
      </c>
      <c r="BH18" s="307">
        <v>1</v>
      </c>
      <c r="BI18" s="307">
        <v>1</v>
      </c>
      <c r="BJ18" s="307">
        <v>1</v>
      </c>
      <c r="BK18" s="307">
        <v>1</v>
      </c>
      <c r="BL18" s="307">
        <v>1</v>
      </c>
      <c r="BM18" s="167">
        <f t="shared" ref="BM18:BM23" si="22">SUM(BN18:CA18)</f>
        <v>14</v>
      </c>
      <c r="BN18" s="307">
        <v>1</v>
      </c>
      <c r="BO18" s="307">
        <v>1</v>
      </c>
      <c r="BP18" s="307">
        <v>1</v>
      </c>
      <c r="BQ18" s="307">
        <v>1</v>
      </c>
      <c r="BR18" s="307">
        <v>1</v>
      </c>
      <c r="BS18" s="307">
        <v>1</v>
      </c>
      <c r="BT18" s="307">
        <v>1</v>
      </c>
      <c r="BU18" s="307">
        <v>1</v>
      </c>
      <c r="BV18" s="307">
        <v>1</v>
      </c>
      <c r="BW18" s="307">
        <v>1</v>
      </c>
      <c r="BX18" s="307">
        <v>1</v>
      </c>
      <c r="BY18" s="307">
        <v>1</v>
      </c>
      <c r="BZ18" s="307">
        <v>1</v>
      </c>
      <c r="CA18" s="307">
        <v>1</v>
      </c>
      <c r="CB18" s="135">
        <f t="shared" si="12"/>
        <v>14</v>
      </c>
      <c r="CH18" s="353">
        <v>14</v>
      </c>
      <c r="CI18" s="353">
        <v>14</v>
      </c>
      <c r="CJ18" s="353">
        <v>14</v>
      </c>
      <c r="CK18" s="353">
        <v>14</v>
      </c>
      <c r="CL18" s="353">
        <v>14</v>
      </c>
      <c r="CM18" s="353">
        <v>14</v>
      </c>
      <c r="CN18" s="353">
        <v>14</v>
      </c>
      <c r="CO18" s="351">
        <f t="shared" ref="CO18:CO46" si="23">CK18/CB18%</f>
        <v>99.999999999999986</v>
      </c>
      <c r="CP18" s="351">
        <f t="shared" ref="CP18:CP46" si="24">CN18/CK18%</f>
        <v>99.999999999999986</v>
      </c>
      <c r="CQ18" s="214"/>
    </row>
    <row r="19" spans="1:95" s="161" customFormat="1" ht="35.25" customHeight="1">
      <c r="A19" s="168"/>
      <c r="B19" s="189" t="s">
        <v>629</v>
      </c>
      <c r="C19" s="168" t="s">
        <v>626</v>
      </c>
      <c r="D19" s="135">
        <v>8</v>
      </c>
      <c r="E19" s="167">
        <f t="shared" si="18"/>
        <v>7</v>
      </c>
      <c r="F19" s="163">
        <v>1</v>
      </c>
      <c r="G19" s="163"/>
      <c r="H19" s="163"/>
      <c r="I19" s="163"/>
      <c r="J19" s="163">
        <v>1</v>
      </c>
      <c r="K19" s="163"/>
      <c r="L19" s="163">
        <v>1</v>
      </c>
      <c r="M19" s="163">
        <v>1</v>
      </c>
      <c r="N19" s="163"/>
      <c r="O19" s="163"/>
      <c r="P19" s="163">
        <v>1</v>
      </c>
      <c r="Q19" s="163">
        <v>1</v>
      </c>
      <c r="R19" s="163">
        <v>1</v>
      </c>
      <c r="S19" s="163"/>
      <c r="T19" s="167">
        <f t="shared" si="19"/>
        <v>7</v>
      </c>
      <c r="U19" s="307">
        <v>1</v>
      </c>
      <c r="V19" s="307"/>
      <c r="W19" s="307"/>
      <c r="X19" s="307"/>
      <c r="Y19" s="307">
        <v>1</v>
      </c>
      <c r="Z19" s="307"/>
      <c r="AA19" s="307">
        <v>1</v>
      </c>
      <c r="AB19" s="307">
        <v>1</v>
      </c>
      <c r="AC19" s="307"/>
      <c r="AD19" s="307"/>
      <c r="AE19" s="307">
        <v>1</v>
      </c>
      <c r="AF19" s="307">
        <v>1</v>
      </c>
      <c r="AG19" s="307">
        <v>1</v>
      </c>
      <c r="AH19" s="307"/>
      <c r="AI19" s="167">
        <f t="shared" si="20"/>
        <v>6</v>
      </c>
      <c r="AJ19" s="307">
        <v>1</v>
      </c>
      <c r="AK19" s="307"/>
      <c r="AL19" s="307"/>
      <c r="AM19" s="307"/>
      <c r="AN19" s="307">
        <v>1</v>
      </c>
      <c r="AO19" s="307"/>
      <c r="AP19" s="307">
        <v>1</v>
      </c>
      <c r="AQ19" s="307">
        <v>1</v>
      </c>
      <c r="AR19" s="307"/>
      <c r="AS19" s="307"/>
      <c r="AT19" s="307"/>
      <c r="AU19" s="307">
        <v>1</v>
      </c>
      <c r="AV19" s="307">
        <v>1</v>
      </c>
      <c r="AW19" s="307"/>
      <c r="AX19" s="167">
        <f t="shared" si="21"/>
        <v>5</v>
      </c>
      <c r="AY19" s="307">
        <v>1</v>
      </c>
      <c r="AZ19" s="307"/>
      <c r="BA19" s="307"/>
      <c r="BB19" s="307"/>
      <c r="BC19" s="307">
        <v>1</v>
      </c>
      <c r="BD19" s="307"/>
      <c r="BE19" s="307">
        <v>1</v>
      </c>
      <c r="BF19" s="307">
        <v>1</v>
      </c>
      <c r="BG19" s="307"/>
      <c r="BH19" s="307"/>
      <c r="BI19" s="307"/>
      <c r="BJ19" s="307">
        <v>1</v>
      </c>
      <c r="BK19" s="307"/>
      <c r="BL19" s="307"/>
      <c r="BM19" s="167">
        <f t="shared" si="22"/>
        <v>3</v>
      </c>
      <c r="BN19" s="307">
        <v>1</v>
      </c>
      <c r="BO19" s="307"/>
      <c r="BP19" s="307"/>
      <c r="BQ19" s="307"/>
      <c r="BR19" s="307">
        <v>1</v>
      </c>
      <c r="BS19" s="307"/>
      <c r="BT19" s="307"/>
      <c r="BU19" s="307"/>
      <c r="BV19" s="307"/>
      <c r="BW19" s="307"/>
      <c r="BX19" s="307"/>
      <c r="BY19" s="307">
        <v>1</v>
      </c>
      <c r="BZ19" s="307"/>
      <c r="CA19" s="307"/>
      <c r="CB19" s="135">
        <f t="shared" si="12"/>
        <v>3</v>
      </c>
      <c r="CH19" s="353">
        <v>7</v>
      </c>
      <c r="CI19" s="353">
        <v>7</v>
      </c>
      <c r="CJ19" s="353">
        <v>6</v>
      </c>
      <c r="CK19" s="353">
        <v>6</v>
      </c>
      <c r="CL19" s="353">
        <v>5</v>
      </c>
      <c r="CM19" s="353">
        <v>5</v>
      </c>
      <c r="CN19" s="353">
        <v>5</v>
      </c>
      <c r="CO19" s="351">
        <f t="shared" si="23"/>
        <v>200</v>
      </c>
      <c r="CP19" s="351">
        <f t="shared" si="24"/>
        <v>83.333333333333343</v>
      </c>
      <c r="CQ19" s="214"/>
    </row>
    <row r="20" spans="1:95" s="161" customFormat="1" ht="35.25" customHeight="1">
      <c r="A20" s="168"/>
      <c r="B20" s="189" t="s">
        <v>633</v>
      </c>
      <c r="C20" s="168" t="s">
        <v>626</v>
      </c>
      <c r="D20" s="135">
        <v>7</v>
      </c>
      <c r="E20" s="167">
        <f t="shared" si="18"/>
        <v>8</v>
      </c>
      <c r="F20" s="163"/>
      <c r="G20" s="164">
        <v>1</v>
      </c>
      <c r="H20" s="163">
        <v>1</v>
      </c>
      <c r="I20" s="163">
        <v>1</v>
      </c>
      <c r="J20" s="163"/>
      <c r="K20" s="164">
        <v>1</v>
      </c>
      <c r="L20" s="163"/>
      <c r="M20" s="163"/>
      <c r="N20" s="163">
        <v>1</v>
      </c>
      <c r="O20" s="163">
        <v>1</v>
      </c>
      <c r="P20" s="163"/>
      <c r="Q20" s="163"/>
      <c r="R20" s="163"/>
      <c r="S20" s="164">
        <v>2</v>
      </c>
      <c r="T20" s="167">
        <f t="shared" si="19"/>
        <v>8</v>
      </c>
      <c r="U20" s="307"/>
      <c r="V20" s="308">
        <v>1</v>
      </c>
      <c r="W20" s="307">
        <v>1</v>
      </c>
      <c r="X20" s="307">
        <v>1</v>
      </c>
      <c r="Y20" s="307"/>
      <c r="Z20" s="308">
        <v>1</v>
      </c>
      <c r="AA20" s="307"/>
      <c r="AB20" s="307"/>
      <c r="AC20" s="307">
        <v>1</v>
      </c>
      <c r="AD20" s="307">
        <v>1</v>
      </c>
      <c r="AE20" s="307"/>
      <c r="AF20" s="307"/>
      <c r="AG20" s="307"/>
      <c r="AH20" s="308">
        <v>2</v>
      </c>
      <c r="AI20" s="167">
        <f t="shared" si="20"/>
        <v>9</v>
      </c>
      <c r="AJ20" s="307"/>
      <c r="AK20" s="308">
        <v>1</v>
      </c>
      <c r="AL20" s="307">
        <v>1</v>
      </c>
      <c r="AM20" s="307">
        <v>1</v>
      </c>
      <c r="AN20" s="307"/>
      <c r="AO20" s="308">
        <v>1</v>
      </c>
      <c r="AP20" s="307"/>
      <c r="AQ20" s="307"/>
      <c r="AR20" s="307">
        <v>1</v>
      </c>
      <c r="AS20" s="307">
        <v>1</v>
      </c>
      <c r="AT20" s="307">
        <v>1</v>
      </c>
      <c r="AU20" s="307"/>
      <c r="AV20" s="307"/>
      <c r="AW20" s="308">
        <v>2</v>
      </c>
      <c r="AX20" s="167">
        <f t="shared" si="21"/>
        <v>10</v>
      </c>
      <c r="AY20" s="307"/>
      <c r="AZ20" s="308">
        <v>1</v>
      </c>
      <c r="BA20" s="307">
        <v>1</v>
      </c>
      <c r="BB20" s="307">
        <v>1</v>
      </c>
      <c r="BC20" s="307"/>
      <c r="BD20" s="308">
        <v>1</v>
      </c>
      <c r="BE20" s="307"/>
      <c r="BF20" s="307"/>
      <c r="BG20" s="307">
        <v>1</v>
      </c>
      <c r="BH20" s="307">
        <v>1</v>
      </c>
      <c r="BI20" s="307">
        <v>1</v>
      </c>
      <c r="BJ20" s="307"/>
      <c r="BK20" s="307">
        <v>1</v>
      </c>
      <c r="BL20" s="308">
        <v>2</v>
      </c>
      <c r="BM20" s="167">
        <f t="shared" si="22"/>
        <v>12</v>
      </c>
      <c r="BN20" s="307"/>
      <c r="BO20" s="308">
        <v>1</v>
      </c>
      <c r="BP20" s="307">
        <v>1</v>
      </c>
      <c r="BQ20" s="307">
        <v>1</v>
      </c>
      <c r="BR20" s="307"/>
      <c r="BS20" s="308">
        <v>1</v>
      </c>
      <c r="BT20" s="307">
        <v>1</v>
      </c>
      <c r="BU20" s="307">
        <v>1</v>
      </c>
      <c r="BV20" s="307">
        <v>1</v>
      </c>
      <c r="BW20" s="307">
        <v>1</v>
      </c>
      <c r="BX20" s="307">
        <v>1</v>
      </c>
      <c r="BY20" s="307"/>
      <c r="BZ20" s="307">
        <v>1</v>
      </c>
      <c r="CA20" s="308">
        <v>2</v>
      </c>
      <c r="CB20" s="135">
        <f t="shared" si="12"/>
        <v>12</v>
      </c>
      <c r="CH20" s="353">
        <v>8</v>
      </c>
      <c r="CI20" s="353">
        <v>8</v>
      </c>
      <c r="CJ20" s="353">
        <v>9</v>
      </c>
      <c r="CK20" s="353">
        <v>9</v>
      </c>
      <c r="CL20" s="353">
        <v>10</v>
      </c>
      <c r="CM20" s="353">
        <v>10</v>
      </c>
      <c r="CN20" s="353">
        <v>10</v>
      </c>
      <c r="CO20" s="351">
        <f t="shared" si="23"/>
        <v>75</v>
      </c>
      <c r="CP20" s="351">
        <f t="shared" si="24"/>
        <v>111.11111111111111</v>
      </c>
      <c r="CQ20" s="214"/>
    </row>
    <row r="21" spans="1:95" s="161" customFormat="1" ht="35.25" customHeight="1">
      <c r="A21" s="168"/>
      <c r="B21" s="189" t="s">
        <v>630</v>
      </c>
      <c r="C21" s="168" t="s">
        <v>626</v>
      </c>
      <c r="D21" s="135">
        <v>8</v>
      </c>
      <c r="E21" s="167">
        <f t="shared" si="18"/>
        <v>7</v>
      </c>
      <c r="F21" s="163">
        <v>1</v>
      </c>
      <c r="G21" s="163"/>
      <c r="H21" s="163"/>
      <c r="I21" s="163"/>
      <c r="J21" s="163">
        <v>1</v>
      </c>
      <c r="K21" s="163"/>
      <c r="L21" s="163">
        <v>1</v>
      </c>
      <c r="M21" s="163">
        <v>1</v>
      </c>
      <c r="N21" s="163"/>
      <c r="O21" s="163"/>
      <c r="P21" s="163">
        <v>1</v>
      </c>
      <c r="Q21" s="163">
        <v>1</v>
      </c>
      <c r="R21" s="163">
        <v>1</v>
      </c>
      <c r="S21" s="163"/>
      <c r="T21" s="167">
        <f t="shared" si="19"/>
        <v>7</v>
      </c>
      <c r="U21" s="307">
        <v>1</v>
      </c>
      <c r="V21" s="307"/>
      <c r="W21" s="307"/>
      <c r="X21" s="307"/>
      <c r="Y21" s="307">
        <v>1</v>
      </c>
      <c r="Z21" s="307"/>
      <c r="AA21" s="307">
        <v>1</v>
      </c>
      <c r="AB21" s="307">
        <v>1</v>
      </c>
      <c r="AC21" s="307"/>
      <c r="AD21" s="307"/>
      <c r="AE21" s="307">
        <v>1</v>
      </c>
      <c r="AF21" s="307">
        <v>1</v>
      </c>
      <c r="AG21" s="307">
        <v>1</v>
      </c>
      <c r="AH21" s="307"/>
      <c r="AI21" s="167">
        <f t="shared" si="20"/>
        <v>6</v>
      </c>
      <c r="AJ21" s="307">
        <v>1</v>
      </c>
      <c r="AK21" s="307"/>
      <c r="AL21" s="307"/>
      <c r="AM21" s="307"/>
      <c r="AN21" s="307">
        <v>1</v>
      </c>
      <c r="AO21" s="307"/>
      <c r="AP21" s="307">
        <v>1</v>
      </c>
      <c r="AQ21" s="307">
        <v>1</v>
      </c>
      <c r="AR21" s="307"/>
      <c r="AS21" s="307"/>
      <c r="AT21" s="307"/>
      <c r="AU21" s="307">
        <v>1</v>
      </c>
      <c r="AV21" s="307">
        <v>1</v>
      </c>
      <c r="AW21" s="307"/>
      <c r="AX21" s="167">
        <f t="shared" si="21"/>
        <v>5</v>
      </c>
      <c r="AY21" s="307">
        <v>1</v>
      </c>
      <c r="AZ21" s="307"/>
      <c r="BA21" s="307"/>
      <c r="BB21" s="307"/>
      <c r="BC21" s="307">
        <v>1</v>
      </c>
      <c r="BD21" s="307"/>
      <c r="BE21" s="307">
        <v>1</v>
      </c>
      <c r="BF21" s="307">
        <v>1</v>
      </c>
      <c r="BG21" s="307"/>
      <c r="BH21" s="307"/>
      <c r="BI21" s="307"/>
      <c r="BJ21" s="307">
        <v>1</v>
      </c>
      <c r="BK21" s="307"/>
      <c r="BL21" s="307"/>
      <c r="BM21" s="167">
        <f t="shared" si="22"/>
        <v>3</v>
      </c>
      <c r="BN21" s="307">
        <v>1</v>
      </c>
      <c r="BO21" s="307"/>
      <c r="BP21" s="307"/>
      <c r="BQ21" s="307"/>
      <c r="BR21" s="307">
        <v>1</v>
      </c>
      <c r="BS21" s="307"/>
      <c r="BT21" s="307"/>
      <c r="BU21" s="307"/>
      <c r="BV21" s="307"/>
      <c r="BW21" s="307"/>
      <c r="BX21" s="307"/>
      <c r="BY21" s="307">
        <v>1</v>
      </c>
      <c r="BZ21" s="307"/>
      <c r="CA21" s="307"/>
      <c r="CB21" s="135">
        <f t="shared" si="12"/>
        <v>3</v>
      </c>
      <c r="CH21" s="353">
        <v>7</v>
      </c>
      <c r="CI21" s="353">
        <v>7</v>
      </c>
      <c r="CJ21" s="353">
        <v>6</v>
      </c>
      <c r="CK21" s="353">
        <v>6</v>
      </c>
      <c r="CL21" s="353">
        <v>5</v>
      </c>
      <c r="CM21" s="353">
        <v>5</v>
      </c>
      <c r="CN21" s="353">
        <v>5</v>
      </c>
      <c r="CO21" s="351">
        <f t="shared" si="23"/>
        <v>200</v>
      </c>
      <c r="CP21" s="351">
        <f t="shared" si="24"/>
        <v>83.333333333333343</v>
      </c>
      <c r="CQ21" s="214"/>
    </row>
    <row r="22" spans="1:95" s="161" customFormat="1" ht="48" customHeight="1">
      <c r="A22" s="168"/>
      <c r="B22" s="189" t="s">
        <v>631</v>
      </c>
      <c r="C22" s="168" t="s">
        <v>626</v>
      </c>
      <c r="D22" s="135">
        <v>3</v>
      </c>
      <c r="E22" s="167">
        <f t="shared" si="18"/>
        <v>3</v>
      </c>
      <c r="F22" s="163">
        <v>2</v>
      </c>
      <c r="G22" s="163"/>
      <c r="H22" s="163"/>
      <c r="I22" s="163"/>
      <c r="J22" s="163"/>
      <c r="K22" s="163"/>
      <c r="L22" s="163"/>
      <c r="M22" s="163"/>
      <c r="N22" s="163"/>
      <c r="O22" s="163"/>
      <c r="P22" s="163">
        <v>1</v>
      </c>
      <c r="Q22" s="163"/>
      <c r="R22" s="163"/>
      <c r="S22" s="163"/>
      <c r="T22" s="167">
        <f t="shared" si="19"/>
        <v>3</v>
      </c>
      <c r="U22" s="307">
        <v>2</v>
      </c>
      <c r="V22" s="307"/>
      <c r="W22" s="307"/>
      <c r="X22" s="307"/>
      <c r="Y22" s="307"/>
      <c r="Z22" s="307"/>
      <c r="AA22" s="307"/>
      <c r="AB22" s="307"/>
      <c r="AC22" s="307"/>
      <c r="AD22" s="307"/>
      <c r="AE22" s="307">
        <v>1</v>
      </c>
      <c r="AF22" s="307"/>
      <c r="AG22" s="307"/>
      <c r="AH22" s="307"/>
      <c r="AI22" s="167">
        <f t="shared" si="20"/>
        <v>3</v>
      </c>
      <c r="AJ22" s="307">
        <v>2</v>
      </c>
      <c r="AK22" s="307"/>
      <c r="AL22" s="307"/>
      <c r="AM22" s="307"/>
      <c r="AN22" s="307"/>
      <c r="AO22" s="307"/>
      <c r="AP22" s="307"/>
      <c r="AQ22" s="307"/>
      <c r="AR22" s="307"/>
      <c r="AS22" s="307"/>
      <c r="AT22" s="307">
        <v>1</v>
      </c>
      <c r="AU22" s="307"/>
      <c r="AV22" s="307"/>
      <c r="AW22" s="307"/>
      <c r="AX22" s="167">
        <f t="shared" si="21"/>
        <v>3</v>
      </c>
      <c r="AY22" s="307">
        <v>2</v>
      </c>
      <c r="AZ22" s="307"/>
      <c r="BA22" s="307"/>
      <c r="BB22" s="307"/>
      <c r="BC22" s="307"/>
      <c r="BD22" s="307"/>
      <c r="BE22" s="307"/>
      <c r="BF22" s="307"/>
      <c r="BG22" s="307"/>
      <c r="BH22" s="307"/>
      <c r="BI22" s="307">
        <v>1</v>
      </c>
      <c r="BJ22" s="307"/>
      <c r="BK22" s="307"/>
      <c r="BL22" s="307"/>
      <c r="BM22" s="167">
        <f t="shared" si="22"/>
        <v>3</v>
      </c>
      <c r="BN22" s="307">
        <v>2</v>
      </c>
      <c r="BO22" s="307"/>
      <c r="BP22" s="307"/>
      <c r="BQ22" s="307"/>
      <c r="BR22" s="307"/>
      <c r="BS22" s="307"/>
      <c r="BT22" s="307"/>
      <c r="BU22" s="307"/>
      <c r="BV22" s="307"/>
      <c r="BW22" s="307"/>
      <c r="BX22" s="307">
        <v>1</v>
      </c>
      <c r="BY22" s="307"/>
      <c r="BZ22" s="307"/>
      <c r="CA22" s="307"/>
      <c r="CB22" s="135">
        <f t="shared" si="12"/>
        <v>3</v>
      </c>
      <c r="CH22" s="353">
        <v>3</v>
      </c>
      <c r="CI22" s="353">
        <v>3</v>
      </c>
      <c r="CJ22" s="353">
        <v>3</v>
      </c>
      <c r="CK22" s="353">
        <v>3</v>
      </c>
      <c r="CL22" s="353">
        <v>3</v>
      </c>
      <c r="CM22" s="353">
        <v>3</v>
      </c>
      <c r="CN22" s="353">
        <v>3</v>
      </c>
      <c r="CO22" s="351">
        <f t="shared" si="23"/>
        <v>100</v>
      </c>
      <c r="CP22" s="351">
        <f t="shared" si="24"/>
        <v>100</v>
      </c>
      <c r="CQ22" s="214"/>
    </row>
    <row r="23" spans="1:95" s="161" customFormat="1" ht="35.25" customHeight="1">
      <c r="A23" s="168"/>
      <c r="B23" s="189" t="s">
        <v>632</v>
      </c>
      <c r="C23" s="168" t="s">
        <v>626</v>
      </c>
      <c r="D23" s="135">
        <v>1</v>
      </c>
      <c r="E23" s="167">
        <f t="shared" si="18"/>
        <v>1</v>
      </c>
      <c r="F23" s="163">
        <v>1</v>
      </c>
      <c r="G23" s="163"/>
      <c r="H23" s="163"/>
      <c r="I23" s="163"/>
      <c r="J23" s="163"/>
      <c r="K23" s="163"/>
      <c r="L23" s="163"/>
      <c r="M23" s="163"/>
      <c r="N23" s="163"/>
      <c r="O23" s="163"/>
      <c r="P23" s="163"/>
      <c r="Q23" s="163"/>
      <c r="R23" s="163"/>
      <c r="S23" s="163"/>
      <c r="T23" s="167">
        <f t="shared" si="19"/>
        <v>1</v>
      </c>
      <c r="U23" s="307">
        <v>1</v>
      </c>
      <c r="V23" s="307"/>
      <c r="W23" s="307"/>
      <c r="X23" s="307"/>
      <c r="Y23" s="307"/>
      <c r="Z23" s="307"/>
      <c r="AA23" s="307"/>
      <c r="AB23" s="307"/>
      <c r="AC23" s="307"/>
      <c r="AD23" s="307"/>
      <c r="AE23" s="307"/>
      <c r="AF23" s="307"/>
      <c r="AG23" s="307"/>
      <c r="AH23" s="307"/>
      <c r="AI23" s="167">
        <f t="shared" si="20"/>
        <v>1</v>
      </c>
      <c r="AJ23" s="307">
        <v>1</v>
      </c>
      <c r="AK23" s="307"/>
      <c r="AL23" s="307"/>
      <c r="AM23" s="307"/>
      <c r="AN23" s="307"/>
      <c r="AO23" s="307"/>
      <c r="AP23" s="307"/>
      <c r="AQ23" s="307"/>
      <c r="AR23" s="307"/>
      <c r="AS23" s="307"/>
      <c r="AT23" s="307"/>
      <c r="AU23" s="307"/>
      <c r="AV23" s="307"/>
      <c r="AW23" s="307"/>
      <c r="AX23" s="167">
        <f t="shared" si="21"/>
        <v>1</v>
      </c>
      <c r="AY23" s="307">
        <v>1</v>
      </c>
      <c r="AZ23" s="307"/>
      <c r="BA23" s="307"/>
      <c r="BB23" s="307"/>
      <c r="BC23" s="307"/>
      <c r="BD23" s="307"/>
      <c r="BE23" s="307"/>
      <c r="BF23" s="307"/>
      <c r="BG23" s="307"/>
      <c r="BH23" s="307"/>
      <c r="BI23" s="307"/>
      <c r="BJ23" s="307"/>
      <c r="BK23" s="307"/>
      <c r="BL23" s="307"/>
      <c r="BM23" s="167">
        <f t="shared" si="22"/>
        <v>1</v>
      </c>
      <c r="BN23" s="307">
        <v>1</v>
      </c>
      <c r="BO23" s="307"/>
      <c r="BP23" s="307"/>
      <c r="BQ23" s="307"/>
      <c r="BR23" s="307"/>
      <c r="BS23" s="307"/>
      <c r="BT23" s="307"/>
      <c r="BU23" s="307"/>
      <c r="BV23" s="307"/>
      <c r="BW23" s="307"/>
      <c r="BX23" s="307"/>
      <c r="BY23" s="307"/>
      <c r="BZ23" s="307"/>
      <c r="CA23" s="307"/>
      <c r="CB23" s="135">
        <v>1</v>
      </c>
      <c r="CH23" s="353">
        <v>1</v>
      </c>
      <c r="CI23" s="353">
        <v>1</v>
      </c>
      <c r="CJ23" s="353">
        <v>1</v>
      </c>
      <c r="CK23" s="353">
        <v>1</v>
      </c>
      <c r="CL23" s="353">
        <v>1</v>
      </c>
      <c r="CM23" s="353">
        <v>1</v>
      </c>
      <c r="CN23" s="353">
        <v>1</v>
      </c>
      <c r="CO23" s="351">
        <f t="shared" si="23"/>
        <v>100</v>
      </c>
      <c r="CP23" s="351">
        <f t="shared" si="24"/>
        <v>100</v>
      </c>
      <c r="CQ23" s="214"/>
    </row>
    <row r="24" spans="1:95" s="161" customFormat="1" ht="25.5" customHeight="1">
      <c r="A24" s="168">
        <v>6</v>
      </c>
      <c r="B24" s="189" t="s">
        <v>231</v>
      </c>
      <c r="C24" s="168" t="s">
        <v>232</v>
      </c>
      <c r="D24" s="135">
        <v>18</v>
      </c>
      <c r="E24" s="135">
        <f>SUM(F24:S24)</f>
        <v>20</v>
      </c>
      <c r="F24" s="135">
        <v>3</v>
      </c>
      <c r="G24" s="135">
        <v>2</v>
      </c>
      <c r="H24" s="135">
        <v>2</v>
      </c>
      <c r="I24" s="135">
        <v>1</v>
      </c>
      <c r="J24" s="135">
        <v>3</v>
      </c>
      <c r="K24" s="135">
        <v>2</v>
      </c>
      <c r="L24" s="135"/>
      <c r="M24" s="135"/>
      <c r="N24" s="135"/>
      <c r="O24" s="135"/>
      <c r="P24" s="135">
        <v>2</v>
      </c>
      <c r="Q24" s="135">
        <v>2</v>
      </c>
      <c r="R24" s="135">
        <v>3</v>
      </c>
      <c r="S24" s="135"/>
      <c r="T24" s="135">
        <f>SUM(U24:AH24)</f>
        <v>22</v>
      </c>
      <c r="U24" s="135">
        <v>3</v>
      </c>
      <c r="V24" s="135">
        <v>2</v>
      </c>
      <c r="W24" s="135">
        <v>2</v>
      </c>
      <c r="X24" s="135">
        <v>1</v>
      </c>
      <c r="Y24" s="135">
        <v>3</v>
      </c>
      <c r="Z24" s="135">
        <v>2</v>
      </c>
      <c r="AA24" s="135"/>
      <c r="AB24" s="135"/>
      <c r="AC24" s="135"/>
      <c r="AD24" s="135"/>
      <c r="AE24" s="135">
        <v>4</v>
      </c>
      <c r="AF24" s="135">
        <v>2</v>
      </c>
      <c r="AG24" s="135">
        <v>3</v>
      </c>
      <c r="AH24" s="135"/>
      <c r="AI24" s="135">
        <f>SUM(AJ24:AW24)</f>
        <v>21</v>
      </c>
      <c r="AJ24" s="135">
        <v>3</v>
      </c>
      <c r="AK24" s="135">
        <v>2</v>
      </c>
      <c r="AL24" s="135">
        <v>2</v>
      </c>
      <c r="AM24" s="135">
        <v>1</v>
      </c>
      <c r="AN24" s="135">
        <v>3</v>
      </c>
      <c r="AO24" s="135">
        <v>2</v>
      </c>
      <c r="AP24" s="135"/>
      <c r="AQ24" s="135"/>
      <c r="AR24" s="135"/>
      <c r="AS24" s="135"/>
      <c r="AT24" s="135">
        <v>3</v>
      </c>
      <c r="AU24" s="135">
        <v>2</v>
      </c>
      <c r="AV24" s="135">
        <v>3</v>
      </c>
      <c r="AW24" s="135"/>
      <c r="AX24" s="135">
        <f>SUM(AY24:BL24)</f>
        <v>20</v>
      </c>
      <c r="AY24" s="135">
        <v>3</v>
      </c>
      <c r="AZ24" s="135">
        <v>2</v>
      </c>
      <c r="BA24" s="135">
        <v>2</v>
      </c>
      <c r="BB24" s="135">
        <v>1</v>
      </c>
      <c r="BC24" s="135">
        <v>3</v>
      </c>
      <c r="BD24" s="135">
        <v>2</v>
      </c>
      <c r="BE24" s="135"/>
      <c r="BF24" s="135"/>
      <c r="BG24" s="135"/>
      <c r="BH24" s="135"/>
      <c r="BI24" s="135">
        <v>3</v>
      </c>
      <c r="BJ24" s="135">
        <v>2</v>
      </c>
      <c r="BK24" s="135">
        <v>2</v>
      </c>
      <c r="BL24" s="135"/>
      <c r="BM24" s="135">
        <f>SUM(BN24:CA24)</f>
        <v>20</v>
      </c>
      <c r="BN24" s="135">
        <v>3</v>
      </c>
      <c r="BO24" s="135">
        <v>2</v>
      </c>
      <c r="BP24" s="135">
        <v>2</v>
      </c>
      <c r="BQ24" s="135">
        <v>1</v>
      </c>
      <c r="BR24" s="135">
        <v>3</v>
      </c>
      <c r="BS24" s="135">
        <v>2</v>
      </c>
      <c r="BT24" s="135"/>
      <c r="BU24" s="135"/>
      <c r="BV24" s="135"/>
      <c r="BW24" s="135"/>
      <c r="BX24" s="135">
        <v>3</v>
      </c>
      <c r="BY24" s="135">
        <v>2</v>
      </c>
      <c r="BZ24" s="135">
        <v>2</v>
      </c>
      <c r="CA24" s="135"/>
      <c r="CB24" s="135">
        <f>BM24</f>
        <v>20</v>
      </c>
      <c r="CH24" s="353">
        <v>18</v>
      </c>
      <c r="CI24" s="353">
        <v>22</v>
      </c>
      <c r="CJ24" s="353">
        <v>22</v>
      </c>
      <c r="CK24" s="353">
        <v>22</v>
      </c>
      <c r="CL24" s="353">
        <v>21</v>
      </c>
      <c r="CM24" s="353">
        <v>22</v>
      </c>
      <c r="CN24" s="353">
        <v>22</v>
      </c>
      <c r="CO24" s="351">
        <f t="shared" si="23"/>
        <v>110</v>
      </c>
      <c r="CP24" s="351">
        <f t="shared" si="24"/>
        <v>100</v>
      </c>
      <c r="CQ24" s="214"/>
    </row>
    <row r="25" spans="1:95" s="161" customFormat="1" ht="30">
      <c r="A25" s="168"/>
      <c r="B25" s="189" t="s">
        <v>233</v>
      </c>
      <c r="C25" s="168" t="s">
        <v>232</v>
      </c>
      <c r="D25" s="248"/>
      <c r="E25" s="135">
        <f t="shared" ref="E25:E28" si="25">SUM(F25:S25)</f>
        <v>2</v>
      </c>
      <c r="F25" s="135">
        <f>SUM(F26:F28)</f>
        <v>0</v>
      </c>
      <c r="G25" s="135">
        <f t="shared" ref="G25:S25" si="26">SUM(G26:G28)</f>
        <v>0</v>
      </c>
      <c r="H25" s="135">
        <f t="shared" si="26"/>
        <v>0</v>
      </c>
      <c r="I25" s="135">
        <f t="shared" si="26"/>
        <v>0</v>
      </c>
      <c r="J25" s="135">
        <f t="shared" si="26"/>
        <v>0</v>
      </c>
      <c r="K25" s="135">
        <f t="shared" si="26"/>
        <v>0</v>
      </c>
      <c r="L25" s="135">
        <f t="shared" si="26"/>
        <v>0</v>
      </c>
      <c r="M25" s="135">
        <f t="shared" si="26"/>
        <v>0</v>
      </c>
      <c r="N25" s="135">
        <f t="shared" si="26"/>
        <v>0</v>
      </c>
      <c r="O25" s="135">
        <f t="shared" si="26"/>
        <v>0</v>
      </c>
      <c r="P25" s="135">
        <f t="shared" si="26"/>
        <v>1</v>
      </c>
      <c r="Q25" s="135">
        <f t="shared" si="26"/>
        <v>0</v>
      </c>
      <c r="R25" s="135">
        <f t="shared" si="26"/>
        <v>1</v>
      </c>
      <c r="S25" s="135">
        <f t="shared" si="26"/>
        <v>0</v>
      </c>
      <c r="T25" s="135">
        <f t="shared" ref="T25:T28" si="27">SUM(U25:AH25)</f>
        <v>2</v>
      </c>
      <c r="U25" s="288">
        <f>SUM(U26:U28)</f>
        <v>0</v>
      </c>
      <c r="V25" s="288">
        <f t="shared" ref="V25" si="28">SUM(V26:V28)</f>
        <v>0</v>
      </c>
      <c r="W25" s="288">
        <f t="shared" ref="W25" si="29">SUM(W26:W28)</f>
        <v>0</v>
      </c>
      <c r="X25" s="288">
        <f>SUM(X26:X28)</f>
        <v>0</v>
      </c>
      <c r="Y25" s="288">
        <f t="shared" ref="Y25" si="30">SUM(Y26:Y28)</f>
        <v>0</v>
      </c>
      <c r="Z25" s="288">
        <f t="shared" ref="Z25:AA25" si="31">SUM(Z26:Z28)</f>
        <v>0</v>
      </c>
      <c r="AA25" s="288">
        <f t="shared" si="31"/>
        <v>0</v>
      </c>
      <c r="AB25" s="288">
        <f t="shared" ref="AB25" si="32">SUM(AB26:AB28)</f>
        <v>0</v>
      </c>
      <c r="AC25" s="288">
        <f t="shared" ref="AC25:AD25" si="33">SUM(AC26:AC28)</f>
        <v>0</v>
      </c>
      <c r="AD25" s="288">
        <f t="shared" si="33"/>
        <v>0</v>
      </c>
      <c r="AE25" s="135">
        <f t="shared" ref="AE25" si="34">SUM(AE26:AE28)</f>
        <v>2</v>
      </c>
      <c r="AF25" s="135">
        <f t="shared" ref="AF25:AG25" si="35">SUM(AF26:AF28)</f>
        <v>0</v>
      </c>
      <c r="AG25" s="135">
        <f t="shared" si="35"/>
        <v>0</v>
      </c>
      <c r="AH25" s="288">
        <f t="shared" ref="AH25" si="36">SUM(AH26:AH28)</f>
        <v>0</v>
      </c>
      <c r="AI25" s="135">
        <f t="shared" ref="AI25:AI28" si="37">SUM(AJ25:AW25)</f>
        <v>0</v>
      </c>
      <c r="AJ25" s="248"/>
      <c r="AK25" s="248"/>
      <c r="AL25" s="248"/>
      <c r="AM25" s="248"/>
      <c r="AN25" s="248"/>
      <c r="AO25" s="248"/>
      <c r="AP25" s="248"/>
      <c r="AQ25" s="248"/>
      <c r="AR25" s="248"/>
      <c r="AS25" s="248"/>
      <c r="AT25" s="135">
        <f t="shared" ref="AT25" si="38">SUM(AT26:AT28)</f>
        <v>0</v>
      </c>
      <c r="AU25" s="135">
        <f t="shared" ref="AU25" si="39">SUM(AU26:AU28)</f>
        <v>0</v>
      </c>
      <c r="AV25" s="135">
        <f t="shared" ref="AV25" si="40">SUM(AV26:AV28)</f>
        <v>0</v>
      </c>
      <c r="AW25" s="288">
        <f t="shared" ref="AW25" si="41">SUM(AW26:AW28)</f>
        <v>0</v>
      </c>
      <c r="AX25" s="135">
        <f t="shared" ref="AX25:AX28" si="42">SUM(AY25:BL25)</f>
        <v>0</v>
      </c>
      <c r="AY25" s="248"/>
      <c r="AZ25" s="248"/>
      <c r="BA25" s="248"/>
      <c r="BB25" s="248"/>
      <c r="BC25" s="248"/>
      <c r="BD25" s="248"/>
      <c r="BE25" s="248"/>
      <c r="BF25" s="248"/>
      <c r="BG25" s="248"/>
      <c r="BH25" s="248"/>
      <c r="BI25" s="248"/>
      <c r="BJ25" s="248"/>
      <c r="BK25" s="248"/>
      <c r="BL25" s="248"/>
      <c r="BM25" s="135">
        <f t="shared" ref="BM25:BM28" si="43">SUM(BN25:CA25)</f>
        <v>0</v>
      </c>
      <c r="BN25" s="248"/>
      <c r="BO25" s="248"/>
      <c r="BP25" s="248"/>
      <c r="BQ25" s="248"/>
      <c r="BR25" s="248"/>
      <c r="BS25" s="248"/>
      <c r="BT25" s="248"/>
      <c r="BU25" s="248"/>
      <c r="BV25" s="248"/>
      <c r="BW25" s="248"/>
      <c r="BX25" s="248"/>
      <c r="BY25" s="248"/>
      <c r="BZ25" s="248"/>
      <c r="CA25" s="248"/>
      <c r="CB25" s="248">
        <f t="shared" ref="CB25:CB33" si="44">BM25</f>
        <v>0</v>
      </c>
      <c r="CH25" s="353">
        <v>2</v>
      </c>
      <c r="CI25" s="353">
        <v>4</v>
      </c>
      <c r="CJ25" s="353">
        <v>0</v>
      </c>
      <c r="CK25" s="353">
        <f>+CJ25+CI25+CH25</f>
        <v>6</v>
      </c>
      <c r="CL25" s="353">
        <v>0</v>
      </c>
      <c r="CM25" s="353">
        <v>0</v>
      </c>
      <c r="CN25" s="353">
        <v>0</v>
      </c>
      <c r="CO25" s="351"/>
      <c r="CP25" s="351">
        <f t="shared" si="24"/>
        <v>0</v>
      </c>
      <c r="CQ25" s="214"/>
    </row>
    <row r="26" spans="1:95" s="161" customFormat="1" ht="30" hidden="1">
      <c r="A26" s="168"/>
      <c r="B26" s="189" t="s">
        <v>234</v>
      </c>
      <c r="C26" s="168" t="s">
        <v>232</v>
      </c>
      <c r="D26" s="248"/>
      <c r="E26" s="135">
        <f t="shared" si="25"/>
        <v>0</v>
      </c>
      <c r="F26" s="248"/>
      <c r="G26" s="248"/>
      <c r="H26" s="248"/>
      <c r="I26" s="248"/>
      <c r="J26" s="248"/>
      <c r="K26" s="248"/>
      <c r="L26" s="248"/>
      <c r="M26" s="248"/>
      <c r="N26" s="248"/>
      <c r="O26" s="248"/>
      <c r="P26" s="248"/>
      <c r="Q26" s="248"/>
      <c r="R26" s="248"/>
      <c r="S26" s="248"/>
      <c r="T26" s="135">
        <f t="shared" si="27"/>
        <v>0</v>
      </c>
      <c r="U26" s="248"/>
      <c r="V26" s="248"/>
      <c r="W26" s="248"/>
      <c r="X26" s="248"/>
      <c r="Y26" s="248"/>
      <c r="Z26" s="248"/>
      <c r="AA26" s="248"/>
      <c r="AB26" s="248"/>
      <c r="AC26" s="248"/>
      <c r="AD26" s="248"/>
      <c r="AE26" s="248"/>
      <c r="AF26" s="248"/>
      <c r="AG26" s="248"/>
      <c r="AH26" s="248"/>
      <c r="AI26" s="135">
        <f t="shared" si="37"/>
        <v>0</v>
      </c>
      <c r="AJ26" s="248"/>
      <c r="AK26" s="248"/>
      <c r="AL26" s="248"/>
      <c r="AM26" s="248"/>
      <c r="AN26" s="248"/>
      <c r="AO26" s="248"/>
      <c r="AP26" s="248"/>
      <c r="AQ26" s="248"/>
      <c r="AR26" s="248"/>
      <c r="AS26" s="248"/>
      <c r="AT26" s="248"/>
      <c r="AU26" s="248"/>
      <c r="AV26" s="248"/>
      <c r="AW26" s="248"/>
      <c r="AX26" s="135">
        <f t="shared" si="42"/>
        <v>0</v>
      </c>
      <c r="AY26" s="248"/>
      <c r="AZ26" s="248"/>
      <c r="BA26" s="248"/>
      <c r="BB26" s="248"/>
      <c r="BC26" s="248"/>
      <c r="BD26" s="248"/>
      <c r="BE26" s="248"/>
      <c r="BF26" s="248"/>
      <c r="BG26" s="248"/>
      <c r="BH26" s="248"/>
      <c r="BI26" s="248"/>
      <c r="BJ26" s="248"/>
      <c r="BK26" s="248"/>
      <c r="BL26" s="248"/>
      <c r="BM26" s="135">
        <f t="shared" si="43"/>
        <v>0</v>
      </c>
      <c r="BN26" s="248"/>
      <c r="BO26" s="248"/>
      <c r="BP26" s="248"/>
      <c r="BQ26" s="248"/>
      <c r="BR26" s="248"/>
      <c r="BS26" s="248"/>
      <c r="BT26" s="248"/>
      <c r="BU26" s="248"/>
      <c r="BV26" s="248"/>
      <c r="BW26" s="248"/>
      <c r="BX26" s="248"/>
      <c r="BY26" s="248"/>
      <c r="BZ26" s="248"/>
      <c r="CA26" s="248"/>
      <c r="CB26" s="248">
        <f t="shared" si="44"/>
        <v>0</v>
      </c>
      <c r="CH26" s="353"/>
      <c r="CI26" s="353"/>
      <c r="CJ26" s="353"/>
      <c r="CK26" s="353"/>
      <c r="CL26" s="353"/>
      <c r="CM26" s="353"/>
      <c r="CN26" s="353"/>
      <c r="CO26" s="351" t="e">
        <f t="shared" si="23"/>
        <v>#DIV/0!</v>
      </c>
      <c r="CP26" s="351" t="e">
        <f t="shared" si="24"/>
        <v>#DIV/0!</v>
      </c>
      <c r="CQ26" s="214"/>
    </row>
    <row r="27" spans="1:95" s="161" customFormat="1" ht="30" hidden="1">
      <c r="A27" s="168"/>
      <c r="B27" s="189" t="s">
        <v>235</v>
      </c>
      <c r="C27" s="168" t="s">
        <v>232</v>
      </c>
      <c r="D27" s="248"/>
      <c r="E27" s="135">
        <f t="shared" si="25"/>
        <v>1</v>
      </c>
      <c r="F27" s="248"/>
      <c r="G27" s="248"/>
      <c r="H27" s="248"/>
      <c r="I27" s="248"/>
      <c r="J27" s="248"/>
      <c r="K27" s="248"/>
      <c r="L27" s="248"/>
      <c r="M27" s="248"/>
      <c r="N27" s="248"/>
      <c r="O27" s="248"/>
      <c r="P27" s="248"/>
      <c r="Q27" s="248"/>
      <c r="R27" s="248">
        <v>1</v>
      </c>
      <c r="S27" s="248"/>
      <c r="T27" s="135">
        <f t="shared" si="27"/>
        <v>2</v>
      </c>
      <c r="U27" s="248"/>
      <c r="V27" s="248"/>
      <c r="W27" s="248"/>
      <c r="X27" s="248"/>
      <c r="Y27" s="248"/>
      <c r="Z27" s="248"/>
      <c r="AA27" s="248"/>
      <c r="AB27" s="248"/>
      <c r="AC27" s="248"/>
      <c r="AD27" s="248"/>
      <c r="AE27" s="248">
        <v>2</v>
      </c>
      <c r="AF27" s="248"/>
      <c r="AG27" s="248">
        <v>0</v>
      </c>
      <c r="AH27" s="248"/>
      <c r="AI27" s="135">
        <f t="shared" si="37"/>
        <v>0</v>
      </c>
      <c r="AJ27" s="248"/>
      <c r="AK27" s="248"/>
      <c r="AL27" s="248"/>
      <c r="AM27" s="248"/>
      <c r="AN27" s="248"/>
      <c r="AO27" s="248"/>
      <c r="AP27" s="248"/>
      <c r="AQ27" s="248"/>
      <c r="AR27" s="248"/>
      <c r="AS27" s="248"/>
      <c r="AT27" s="248"/>
      <c r="AU27" s="248"/>
      <c r="AV27" s="248"/>
      <c r="AW27" s="248"/>
      <c r="AX27" s="135">
        <f t="shared" si="42"/>
        <v>0</v>
      </c>
      <c r="AY27" s="248"/>
      <c r="AZ27" s="248"/>
      <c r="BA27" s="248"/>
      <c r="BB27" s="248"/>
      <c r="BC27" s="248"/>
      <c r="BD27" s="248"/>
      <c r="BE27" s="248"/>
      <c r="BF27" s="248"/>
      <c r="BG27" s="248"/>
      <c r="BH27" s="248"/>
      <c r="BI27" s="248"/>
      <c r="BJ27" s="248"/>
      <c r="BK27" s="248"/>
      <c r="BL27" s="248"/>
      <c r="BM27" s="135">
        <f t="shared" si="43"/>
        <v>0</v>
      </c>
      <c r="BN27" s="248"/>
      <c r="BO27" s="248"/>
      <c r="BP27" s="248"/>
      <c r="BQ27" s="248"/>
      <c r="BR27" s="248"/>
      <c r="BS27" s="248"/>
      <c r="BT27" s="248"/>
      <c r="BU27" s="248"/>
      <c r="BV27" s="248"/>
      <c r="BW27" s="248"/>
      <c r="BX27" s="248"/>
      <c r="BY27" s="248"/>
      <c r="BZ27" s="248"/>
      <c r="CA27" s="248"/>
      <c r="CB27" s="248">
        <f t="shared" si="44"/>
        <v>0</v>
      </c>
      <c r="CH27" s="353"/>
      <c r="CI27" s="353"/>
      <c r="CJ27" s="353"/>
      <c r="CK27" s="353"/>
      <c r="CL27" s="353"/>
      <c r="CM27" s="353"/>
      <c r="CN27" s="353"/>
      <c r="CO27" s="351" t="e">
        <f t="shared" si="23"/>
        <v>#DIV/0!</v>
      </c>
      <c r="CP27" s="351" t="e">
        <f t="shared" si="24"/>
        <v>#DIV/0!</v>
      </c>
      <c r="CQ27" s="214"/>
    </row>
    <row r="28" spans="1:95" s="161" customFormat="1" ht="30" hidden="1">
      <c r="A28" s="168"/>
      <c r="B28" s="189" t="s">
        <v>236</v>
      </c>
      <c r="C28" s="168" t="s">
        <v>232</v>
      </c>
      <c r="D28" s="248"/>
      <c r="E28" s="135">
        <f t="shared" si="25"/>
        <v>1</v>
      </c>
      <c r="F28" s="248"/>
      <c r="G28" s="248"/>
      <c r="H28" s="248"/>
      <c r="I28" s="248"/>
      <c r="J28" s="248"/>
      <c r="K28" s="248"/>
      <c r="L28" s="248"/>
      <c r="M28" s="248"/>
      <c r="N28" s="248"/>
      <c r="O28" s="248"/>
      <c r="P28" s="248">
        <v>1</v>
      </c>
      <c r="Q28" s="248"/>
      <c r="R28" s="248"/>
      <c r="S28" s="248"/>
      <c r="T28" s="135">
        <f t="shared" si="27"/>
        <v>0</v>
      </c>
      <c r="U28" s="248"/>
      <c r="V28" s="248"/>
      <c r="W28" s="248"/>
      <c r="X28" s="248"/>
      <c r="Y28" s="248"/>
      <c r="Z28" s="248"/>
      <c r="AA28" s="248"/>
      <c r="AB28" s="248"/>
      <c r="AC28" s="248"/>
      <c r="AD28" s="248"/>
      <c r="AE28" s="248"/>
      <c r="AF28" s="248"/>
      <c r="AG28" s="248"/>
      <c r="AH28" s="248"/>
      <c r="AI28" s="135">
        <f t="shared" si="37"/>
        <v>0</v>
      </c>
      <c r="AJ28" s="248"/>
      <c r="AK28" s="248"/>
      <c r="AL28" s="248"/>
      <c r="AM28" s="248"/>
      <c r="AN28" s="248"/>
      <c r="AO28" s="248"/>
      <c r="AP28" s="248"/>
      <c r="AQ28" s="248"/>
      <c r="AR28" s="248"/>
      <c r="AS28" s="248"/>
      <c r="AT28" s="248"/>
      <c r="AU28" s="248"/>
      <c r="AV28" s="248"/>
      <c r="AW28" s="248"/>
      <c r="AX28" s="135">
        <f t="shared" si="42"/>
        <v>0</v>
      </c>
      <c r="AY28" s="309"/>
      <c r="AZ28" s="309"/>
      <c r="BA28" s="309"/>
      <c r="BB28" s="309"/>
      <c r="BC28" s="309"/>
      <c r="BD28" s="309"/>
      <c r="BE28" s="309"/>
      <c r="BF28" s="309"/>
      <c r="BG28" s="309"/>
      <c r="BH28" s="309"/>
      <c r="BI28" s="309"/>
      <c r="BJ28" s="309"/>
      <c r="BK28" s="309"/>
      <c r="BL28" s="309"/>
      <c r="BM28" s="135">
        <f t="shared" si="43"/>
        <v>1</v>
      </c>
      <c r="BN28" s="248">
        <v>1</v>
      </c>
      <c r="BO28" s="248"/>
      <c r="BP28" s="248"/>
      <c r="BQ28" s="248"/>
      <c r="BR28" s="248"/>
      <c r="BS28" s="248"/>
      <c r="BT28" s="248"/>
      <c r="BU28" s="248"/>
      <c r="BV28" s="248"/>
      <c r="BW28" s="248"/>
      <c r="BX28" s="248"/>
      <c r="BY28" s="248"/>
      <c r="BZ28" s="248"/>
      <c r="CA28" s="248"/>
      <c r="CB28" s="248">
        <f t="shared" si="44"/>
        <v>1</v>
      </c>
      <c r="CH28" s="353"/>
      <c r="CI28" s="353"/>
      <c r="CJ28" s="353"/>
      <c r="CK28" s="353"/>
      <c r="CL28" s="353"/>
      <c r="CM28" s="353"/>
      <c r="CN28" s="353"/>
      <c r="CO28" s="351">
        <f t="shared" si="23"/>
        <v>0</v>
      </c>
      <c r="CP28" s="351" t="e">
        <f t="shared" si="24"/>
        <v>#DIV/0!</v>
      </c>
      <c r="CQ28" s="214"/>
    </row>
    <row r="29" spans="1:95" s="146" customFormat="1" ht="42" customHeight="1">
      <c r="A29" s="78"/>
      <c r="B29" s="83" t="s">
        <v>237</v>
      </c>
      <c r="C29" s="78" t="s">
        <v>28</v>
      </c>
      <c r="D29" s="158">
        <f>18/40%</f>
        <v>45</v>
      </c>
      <c r="E29" s="158">
        <f>E24*100/39</f>
        <v>51.282051282051285</v>
      </c>
      <c r="F29" s="288">
        <f>3*100/5</f>
        <v>60</v>
      </c>
      <c r="G29" s="158">
        <f>G24/G16%</f>
        <v>100</v>
      </c>
      <c r="H29" s="158">
        <f t="shared" ref="H29:S29" si="45">H24/H16%</f>
        <v>100</v>
      </c>
      <c r="I29" s="158">
        <f t="shared" si="45"/>
        <v>50</v>
      </c>
      <c r="J29" s="158">
        <f t="shared" si="45"/>
        <v>100</v>
      </c>
      <c r="K29" s="158">
        <f t="shared" si="45"/>
        <v>100</v>
      </c>
      <c r="L29" s="158">
        <f t="shared" si="45"/>
        <v>0</v>
      </c>
      <c r="M29" s="158">
        <f t="shared" si="45"/>
        <v>0</v>
      </c>
      <c r="N29" s="158">
        <f t="shared" si="45"/>
        <v>0</v>
      </c>
      <c r="O29" s="158">
        <f t="shared" si="45"/>
        <v>0</v>
      </c>
      <c r="P29" s="158">
        <f t="shared" si="45"/>
        <v>50</v>
      </c>
      <c r="Q29" s="158">
        <f t="shared" si="45"/>
        <v>66.666666666666671</v>
      </c>
      <c r="R29" s="158">
        <f t="shared" si="45"/>
        <v>100</v>
      </c>
      <c r="S29" s="158">
        <f t="shared" si="45"/>
        <v>0</v>
      </c>
      <c r="T29" s="158">
        <f>T24*100/39</f>
        <v>56.410256410256409</v>
      </c>
      <c r="U29" s="158">
        <f>U24/5%</f>
        <v>60</v>
      </c>
      <c r="V29" s="158">
        <f>V24/V16%</f>
        <v>100</v>
      </c>
      <c r="W29" s="158">
        <f t="shared" ref="W29:AH29" si="46">W24/W16%</f>
        <v>100</v>
      </c>
      <c r="X29" s="158">
        <f t="shared" si="46"/>
        <v>50</v>
      </c>
      <c r="Y29" s="158">
        <f t="shared" si="46"/>
        <v>100</v>
      </c>
      <c r="Z29" s="158">
        <f t="shared" si="46"/>
        <v>100</v>
      </c>
      <c r="AA29" s="158">
        <f t="shared" si="46"/>
        <v>0</v>
      </c>
      <c r="AB29" s="158">
        <f t="shared" si="46"/>
        <v>0</v>
      </c>
      <c r="AC29" s="158">
        <f t="shared" si="46"/>
        <v>0</v>
      </c>
      <c r="AD29" s="158">
        <f t="shared" si="46"/>
        <v>0</v>
      </c>
      <c r="AE29" s="158">
        <f t="shared" si="46"/>
        <v>100</v>
      </c>
      <c r="AF29" s="158">
        <f t="shared" si="46"/>
        <v>66.666666666666671</v>
      </c>
      <c r="AG29" s="158">
        <f t="shared" si="46"/>
        <v>100</v>
      </c>
      <c r="AH29" s="158">
        <f t="shared" si="46"/>
        <v>0</v>
      </c>
      <c r="AI29" s="158">
        <f>AI24*100/38</f>
        <v>55.263157894736842</v>
      </c>
      <c r="AJ29" s="158">
        <f>AJ24*100/5</f>
        <v>60</v>
      </c>
      <c r="AK29" s="158">
        <f>AK24/AK16%</f>
        <v>100</v>
      </c>
      <c r="AL29" s="158">
        <f t="shared" ref="AL29:AW29" si="47">AL24/AL16%</f>
        <v>100</v>
      </c>
      <c r="AM29" s="158">
        <f t="shared" si="47"/>
        <v>50</v>
      </c>
      <c r="AN29" s="158">
        <f t="shared" si="47"/>
        <v>100</v>
      </c>
      <c r="AO29" s="158">
        <f t="shared" si="47"/>
        <v>100</v>
      </c>
      <c r="AP29" s="158">
        <f t="shared" si="47"/>
        <v>0</v>
      </c>
      <c r="AQ29" s="158">
        <f t="shared" si="47"/>
        <v>0</v>
      </c>
      <c r="AR29" s="158">
        <f t="shared" si="47"/>
        <v>0</v>
      </c>
      <c r="AS29" s="158">
        <f t="shared" si="47"/>
        <v>0</v>
      </c>
      <c r="AT29" s="158">
        <f t="shared" si="47"/>
        <v>100</v>
      </c>
      <c r="AU29" s="158">
        <f t="shared" si="47"/>
        <v>66.666666666666671</v>
      </c>
      <c r="AV29" s="158">
        <f t="shared" si="47"/>
        <v>100</v>
      </c>
      <c r="AW29" s="158">
        <f t="shared" si="47"/>
        <v>0</v>
      </c>
      <c r="AX29" s="158">
        <f>AX24*100/37</f>
        <v>54.054054054054056</v>
      </c>
      <c r="AY29" s="158">
        <f>AY24*100/5</f>
        <v>60</v>
      </c>
      <c r="AZ29" s="158">
        <f t="shared" ref="AZ29:BL29" si="48">AZ24/AZ16%</f>
        <v>100</v>
      </c>
      <c r="BA29" s="158">
        <f t="shared" si="48"/>
        <v>100</v>
      </c>
      <c r="BB29" s="158">
        <f t="shared" si="48"/>
        <v>50</v>
      </c>
      <c r="BC29" s="158">
        <f t="shared" si="48"/>
        <v>100</v>
      </c>
      <c r="BD29" s="158">
        <f t="shared" si="48"/>
        <v>100</v>
      </c>
      <c r="BE29" s="158">
        <f t="shared" si="48"/>
        <v>0</v>
      </c>
      <c r="BF29" s="158">
        <f t="shared" si="48"/>
        <v>0</v>
      </c>
      <c r="BG29" s="158">
        <f t="shared" si="48"/>
        <v>0</v>
      </c>
      <c r="BH29" s="158">
        <f t="shared" si="48"/>
        <v>0</v>
      </c>
      <c r="BI29" s="158">
        <f t="shared" si="48"/>
        <v>100</v>
      </c>
      <c r="BJ29" s="158">
        <f t="shared" si="48"/>
        <v>66.666666666666671</v>
      </c>
      <c r="BK29" s="158">
        <f t="shared" si="48"/>
        <v>100</v>
      </c>
      <c r="BL29" s="158">
        <f t="shared" si="48"/>
        <v>0</v>
      </c>
      <c r="BM29" s="158">
        <f>BM24*100/35</f>
        <v>57.142857142857146</v>
      </c>
      <c r="BN29" s="158">
        <f>BN24*100/5</f>
        <v>60</v>
      </c>
      <c r="BO29" s="158">
        <f t="shared" ref="BO29:CA29" si="49">BO24/BO16%</f>
        <v>100</v>
      </c>
      <c r="BP29" s="158">
        <f t="shared" si="49"/>
        <v>100</v>
      </c>
      <c r="BQ29" s="158">
        <f t="shared" si="49"/>
        <v>50</v>
      </c>
      <c r="BR29" s="158">
        <f t="shared" si="49"/>
        <v>100</v>
      </c>
      <c r="BS29" s="158">
        <f t="shared" si="49"/>
        <v>100</v>
      </c>
      <c r="BT29" s="158">
        <f t="shared" si="49"/>
        <v>0</v>
      </c>
      <c r="BU29" s="158">
        <f t="shared" si="49"/>
        <v>0</v>
      </c>
      <c r="BV29" s="158">
        <f t="shared" si="49"/>
        <v>0</v>
      </c>
      <c r="BW29" s="158">
        <f t="shared" si="49"/>
        <v>0</v>
      </c>
      <c r="BX29" s="158">
        <f t="shared" si="49"/>
        <v>100</v>
      </c>
      <c r="BY29" s="158">
        <f t="shared" si="49"/>
        <v>66.666666666666671</v>
      </c>
      <c r="BZ29" s="158">
        <f t="shared" si="49"/>
        <v>100</v>
      </c>
      <c r="CA29" s="158">
        <f t="shared" si="49"/>
        <v>0</v>
      </c>
      <c r="CB29" s="158">
        <f t="shared" si="44"/>
        <v>57.142857142857146</v>
      </c>
      <c r="CD29" s="146">
        <v>14</v>
      </c>
      <c r="CE29" s="146">
        <v>14</v>
      </c>
      <c r="CF29" s="146">
        <v>14</v>
      </c>
      <c r="CG29" s="146">
        <v>14</v>
      </c>
      <c r="CH29" s="350">
        <f>CH24/39*100</f>
        <v>46.153846153846153</v>
      </c>
      <c r="CI29" s="350">
        <f>CI24/39*100</f>
        <v>56.410256410256409</v>
      </c>
      <c r="CJ29" s="350">
        <f>CJ24/38*100</f>
        <v>57.894736842105267</v>
      </c>
      <c r="CK29" s="350">
        <f>CK24/38*100</f>
        <v>57.894736842105267</v>
      </c>
      <c r="CL29" s="350">
        <f>CL24/37*100</f>
        <v>56.756756756756758</v>
      </c>
      <c r="CM29" s="350">
        <f t="shared" ref="CM29:CN29" si="50">CM24/37*100</f>
        <v>59.45945945945946</v>
      </c>
      <c r="CN29" s="350">
        <f t="shared" si="50"/>
        <v>59.45945945945946</v>
      </c>
      <c r="CO29" s="351">
        <f t="shared" si="23"/>
        <v>101.31578947368421</v>
      </c>
      <c r="CP29" s="351">
        <f t="shared" si="24"/>
        <v>102.70270270270269</v>
      </c>
      <c r="CQ29" s="289"/>
    </row>
    <row r="30" spans="1:95" s="146" customFormat="1" ht="27" customHeight="1">
      <c r="A30" s="78"/>
      <c r="B30" s="83" t="s">
        <v>238</v>
      </c>
      <c r="C30" s="78" t="s">
        <v>28</v>
      </c>
      <c r="D30" s="158">
        <f>8/14%</f>
        <v>57.142857142857139</v>
      </c>
      <c r="E30" s="158">
        <f>8*100/E18</f>
        <v>57.142857142857146</v>
      </c>
      <c r="F30" s="288">
        <f t="shared" ref="F30:K30" si="51">1*100/1</f>
        <v>100</v>
      </c>
      <c r="G30" s="288">
        <f t="shared" si="51"/>
        <v>100</v>
      </c>
      <c r="H30" s="288">
        <f t="shared" si="51"/>
        <v>100</v>
      </c>
      <c r="I30" s="288">
        <f t="shared" si="51"/>
        <v>100</v>
      </c>
      <c r="J30" s="288">
        <f t="shared" si="51"/>
        <v>100</v>
      </c>
      <c r="K30" s="288">
        <f t="shared" si="51"/>
        <v>100</v>
      </c>
      <c r="L30" s="288"/>
      <c r="M30" s="288"/>
      <c r="N30" s="288"/>
      <c r="O30" s="288"/>
      <c r="P30" s="288"/>
      <c r="Q30" s="288">
        <f>1*100/1</f>
        <v>100</v>
      </c>
      <c r="R30" s="288">
        <f>1*100/1</f>
        <v>100</v>
      </c>
      <c r="S30" s="288"/>
      <c r="T30" s="158">
        <f>9*100/T18</f>
        <v>64.285714285714292</v>
      </c>
      <c r="U30" s="158">
        <f t="shared" ref="U30:Z30" si="52">1*100/1</f>
        <v>100</v>
      </c>
      <c r="V30" s="158">
        <f t="shared" si="52"/>
        <v>100</v>
      </c>
      <c r="W30" s="158">
        <f t="shared" si="52"/>
        <v>100</v>
      </c>
      <c r="X30" s="158">
        <f t="shared" si="52"/>
        <v>100</v>
      </c>
      <c r="Y30" s="158">
        <f t="shared" si="52"/>
        <v>100</v>
      </c>
      <c r="Z30" s="158">
        <f t="shared" si="52"/>
        <v>100</v>
      </c>
      <c r="AA30" s="158"/>
      <c r="AB30" s="158"/>
      <c r="AC30" s="158"/>
      <c r="AD30" s="158"/>
      <c r="AE30" s="158">
        <f t="shared" ref="AE30:AG31" si="53">1*100/1</f>
        <v>100</v>
      </c>
      <c r="AF30" s="158">
        <f t="shared" si="53"/>
        <v>100</v>
      </c>
      <c r="AG30" s="158">
        <f t="shared" si="53"/>
        <v>100</v>
      </c>
      <c r="AH30" s="158"/>
      <c r="AI30" s="158">
        <f>9*100/AI18</f>
        <v>64.285714285714292</v>
      </c>
      <c r="AJ30" s="158">
        <f t="shared" ref="AJ30:AO30" si="54">1*100/1</f>
        <v>100</v>
      </c>
      <c r="AK30" s="158">
        <f t="shared" si="54"/>
        <v>100</v>
      </c>
      <c r="AL30" s="158">
        <f t="shared" si="54"/>
        <v>100</v>
      </c>
      <c r="AM30" s="158">
        <f t="shared" si="54"/>
        <v>100</v>
      </c>
      <c r="AN30" s="158">
        <f t="shared" si="54"/>
        <v>100</v>
      </c>
      <c r="AO30" s="158">
        <f t="shared" si="54"/>
        <v>100</v>
      </c>
      <c r="AP30" s="158"/>
      <c r="AQ30" s="158"/>
      <c r="AR30" s="158"/>
      <c r="AS30" s="158"/>
      <c r="AT30" s="158">
        <f t="shared" ref="AT30:AV31" si="55">1*100/1</f>
        <v>100</v>
      </c>
      <c r="AU30" s="158">
        <f t="shared" si="55"/>
        <v>100</v>
      </c>
      <c r="AV30" s="158">
        <f t="shared" si="55"/>
        <v>100</v>
      </c>
      <c r="AW30" s="158"/>
      <c r="AX30" s="158">
        <f>9*100/AX18</f>
        <v>64.285714285714292</v>
      </c>
      <c r="AY30" s="158">
        <f t="shared" ref="AY30:BD30" si="56">1*100/1</f>
        <v>100</v>
      </c>
      <c r="AZ30" s="158">
        <f t="shared" si="56"/>
        <v>100</v>
      </c>
      <c r="BA30" s="158">
        <f t="shared" si="56"/>
        <v>100</v>
      </c>
      <c r="BB30" s="158">
        <f t="shared" si="56"/>
        <v>100</v>
      </c>
      <c r="BC30" s="158">
        <f t="shared" si="56"/>
        <v>100</v>
      </c>
      <c r="BD30" s="158">
        <f t="shared" si="56"/>
        <v>100</v>
      </c>
      <c r="BE30" s="158"/>
      <c r="BF30" s="158"/>
      <c r="BG30" s="158"/>
      <c r="BH30" s="158"/>
      <c r="BI30" s="158">
        <f t="shared" ref="BI30:BK31" si="57">1*100/1</f>
        <v>100</v>
      </c>
      <c r="BJ30" s="158">
        <f t="shared" si="57"/>
        <v>100</v>
      </c>
      <c r="BK30" s="158">
        <f t="shared" si="57"/>
        <v>100</v>
      </c>
      <c r="BL30" s="158"/>
      <c r="BM30" s="158">
        <f>9*100/BM18</f>
        <v>64.285714285714292</v>
      </c>
      <c r="BN30" s="158">
        <f t="shared" ref="BN30:BS32" si="58">1*100/1</f>
        <v>100</v>
      </c>
      <c r="BO30" s="158">
        <f t="shared" si="58"/>
        <v>100</v>
      </c>
      <c r="BP30" s="158">
        <f t="shared" si="58"/>
        <v>100</v>
      </c>
      <c r="BQ30" s="158">
        <f t="shared" si="58"/>
        <v>100</v>
      </c>
      <c r="BR30" s="158">
        <f t="shared" si="58"/>
        <v>100</v>
      </c>
      <c r="BS30" s="158">
        <f t="shared" si="58"/>
        <v>100</v>
      </c>
      <c r="BT30" s="158"/>
      <c r="BU30" s="158"/>
      <c r="BV30" s="158"/>
      <c r="BW30" s="158"/>
      <c r="BX30" s="158">
        <f t="shared" ref="BX30:BZ31" si="59">1*100/1</f>
        <v>100</v>
      </c>
      <c r="BY30" s="158">
        <f t="shared" si="59"/>
        <v>100</v>
      </c>
      <c r="BZ30" s="158">
        <f t="shared" si="59"/>
        <v>100</v>
      </c>
      <c r="CA30" s="158"/>
      <c r="CB30" s="158">
        <f t="shared" si="44"/>
        <v>64.285714285714292</v>
      </c>
      <c r="CD30" s="146">
        <v>8</v>
      </c>
      <c r="CE30" s="146">
        <v>7</v>
      </c>
      <c r="CF30" s="146">
        <v>6</v>
      </c>
      <c r="CG30" s="146">
        <v>5</v>
      </c>
      <c r="CH30" s="358">
        <f>7/14*100</f>
        <v>50</v>
      </c>
      <c r="CI30" s="357">
        <f>10/14*100</f>
        <v>71.428571428571431</v>
      </c>
      <c r="CJ30" s="357">
        <f t="shared" ref="CJ30:CN30" si="60">10/14*100</f>
        <v>71.428571428571431</v>
      </c>
      <c r="CK30" s="357">
        <f t="shared" si="60"/>
        <v>71.428571428571431</v>
      </c>
      <c r="CL30" s="357">
        <f t="shared" si="60"/>
        <v>71.428571428571431</v>
      </c>
      <c r="CM30" s="357">
        <f t="shared" si="60"/>
        <v>71.428571428571431</v>
      </c>
      <c r="CN30" s="357">
        <f t="shared" si="60"/>
        <v>71.428571428571431</v>
      </c>
      <c r="CO30" s="351">
        <f t="shared" si="23"/>
        <v>111.1111111111111</v>
      </c>
      <c r="CP30" s="351">
        <f t="shared" si="24"/>
        <v>100</v>
      </c>
      <c r="CQ30" s="289"/>
    </row>
    <row r="31" spans="1:95" s="146" customFormat="1" ht="27" customHeight="1">
      <c r="A31" s="78"/>
      <c r="B31" s="83" t="s">
        <v>234</v>
      </c>
      <c r="C31" s="78" t="s">
        <v>28</v>
      </c>
      <c r="D31" s="158">
        <f>5/8%</f>
        <v>62.5</v>
      </c>
      <c r="E31" s="158">
        <f>5*100/E21</f>
        <v>71.428571428571431</v>
      </c>
      <c r="F31" s="288">
        <f>1*100/1</f>
        <v>100</v>
      </c>
      <c r="G31" s="288"/>
      <c r="H31" s="288"/>
      <c r="I31" s="288"/>
      <c r="J31" s="288">
        <f>1*100/1</f>
        <v>100</v>
      </c>
      <c r="K31" s="288"/>
      <c r="L31" s="288"/>
      <c r="M31" s="288"/>
      <c r="N31" s="288"/>
      <c r="O31" s="288"/>
      <c r="P31" s="288">
        <f>1*100/1</f>
        <v>100</v>
      </c>
      <c r="Q31" s="288">
        <f>1*100/1</f>
        <v>100</v>
      </c>
      <c r="R31" s="288">
        <f>1*100/1</f>
        <v>100</v>
      </c>
      <c r="S31" s="288"/>
      <c r="T31" s="158">
        <f>5*100/T19</f>
        <v>71.428571428571431</v>
      </c>
      <c r="U31" s="158">
        <f>1*100/1</f>
        <v>100</v>
      </c>
      <c r="V31" s="158"/>
      <c r="W31" s="158"/>
      <c r="X31" s="158"/>
      <c r="Y31" s="158">
        <f>1*100/1</f>
        <v>100</v>
      </c>
      <c r="Z31" s="158"/>
      <c r="AA31" s="158"/>
      <c r="AB31" s="158"/>
      <c r="AC31" s="158"/>
      <c r="AD31" s="158"/>
      <c r="AE31" s="158">
        <f t="shared" si="53"/>
        <v>100</v>
      </c>
      <c r="AF31" s="158">
        <f t="shared" si="53"/>
        <v>100</v>
      </c>
      <c r="AG31" s="158">
        <f t="shared" si="53"/>
        <v>100</v>
      </c>
      <c r="AH31" s="158"/>
      <c r="AI31" s="158">
        <f>4*100/AI19</f>
        <v>66.666666666666671</v>
      </c>
      <c r="AJ31" s="158">
        <f>1*100/1</f>
        <v>100</v>
      </c>
      <c r="AK31" s="158"/>
      <c r="AL31" s="158"/>
      <c r="AM31" s="158"/>
      <c r="AN31" s="158">
        <f>1*100/1</f>
        <v>100</v>
      </c>
      <c r="AO31" s="158"/>
      <c r="AP31" s="158"/>
      <c r="AQ31" s="158"/>
      <c r="AR31" s="158"/>
      <c r="AS31" s="158"/>
      <c r="AT31" s="158"/>
      <c r="AU31" s="158">
        <f t="shared" si="55"/>
        <v>100</v>
      </c>
      <c r="AV31" s="158">
        <f t="shared" si="55"/>
        <v>100</v>
      </c>
      <c r="AW31" s="158"/>
      <c r="AX31" s="158">
        <f>3*100/AX19</f>
        <v>60</v>
      </c>
      <c r="AY31" s="158">
        <f>1*100/1</f>
        <v>100</v>
      </c>
      <c r="AZ31" s="158"/>
      <c r="BA31" s="158"/>
      <c r="BB31" s="158"/>
      <c r="BC31" s="158">
        <f>1*100/1</f>
        <v>100</v>
      </c>
      <c r="BD31" s="158"/>
      <c r="BE31" s="158"/>
      <c r="BF31" s="158"/>
      <c r="BG31" s="158"/>
      <c r="BH31" s="158"/>
      <c r="BI31" s="158"/>
      <c r="BJ31" s="158">
        <f t="shared" si="57"/>
        <v>100</v>
      </c>
      <c r="BK31" s="158"/>
      <c r="BL31" s="158"/>
      <c r="BM31" s="158">
        <f>3*100/BM19</f>
        <v>100</v>
      </c>
      <c r="BN31" s="158">
        <f>1*100/1</f>
        <v>100</v>
      </c>
      <c r="BO31" s="158"/>
      <c r="BP31" s="158"/>
      <c r="BQ31" s="158"/>
      <c r="BR31" s="158">
        <f>1*100/1</f>
        <v>100</v>
      </c>
      <c r="BS31" s="158"/>
      <c r="BT31" s="158"/>
      <c r="BU31" s="158"/>
      <c r="BV31" s="158"/>
      <c r="BW31" s="158"/>
      <c r="BX31" s="158"/>
      <c r="BY31" s="158">
        <f t="shared" si="59"/>
        <v>100</v>
      </c>
      <c r="BZ31" s="158"/>
      <c r="CA31" s="158"/>
      <c r="CB31" s="158">
        <f t="shared" si="44"/>
        <v>100</v>
      </c>
      <c r="CD31" s="146">
        <v>15</v>
      </c>
      <c r="CE31" s="146">
        <v>15</v>
      </c>
      <c r="CF31" s="146">
        <v>15</v>
      </c>
      <c r="CG31" s="146">
        <v>15</v>
      </c>
      <c r="CH31" s="358">
        <f>5/7*100</f>
        <v>71.428571428571431</v>
      </c>
      <c r="CI31" s="357">
        <f>5/7*100</f>
        <v>71.428571428571431</v>
      </c>
      <c r="CJ31" s="357">
        <f t="shared" ref="CJ31:CK31" si="61">5/7*100</f>
        <v>71.428571428571431</v>
      </c>
      <c r="CK31" s="357">
        <f t="shared" si="61"/>
        <v>71.428571428571431</v>
      </c>
      <c r="CL31" s="357">
        <f>3/5*100</f>
        <v>60</v>
      </c>
      <c r="CM31" s="357">
        <f>3/5*100</f>
        <v>60</v>
      </c>
      <c r="CN31" s="357">
        <f>CM31</f>
        <v>60</v>
      </c>
      <c r="CO31" s="351">
        <f t="shared" si="23"/>
        <v>71.428571428571431</v>
      </c>
      <c r="CP31" s="351">
        <f t="shared" si="24"/>
        <v>84</v>
      </c>
      <c r="CQ31" s="289"/>
    </row>
    <row r="32" spans="1:95" s="146" customFormat="1" ht="27" customHeight="1">
      <c r="A32" s="78"/>
      <c r="B32" s="83" t="s">
        <v>235</v>
      </c>
      <c r="C32" s="78" t="s">
        <v>28</v>
      </c>
      <c r="D32" s="158">
        <f>5/15%</f>
        <v>33.333333333333336</v>
      </c>
      <c r="E32" s="158">
        <f>6*100/15</f>
        <v>40</v>
      </c>
      <c r="F32" s="288">
        <f>1*100/1</f>
        <v>100</v>
      </c>
      <c r="G32" s="288">
        <f>1*100/1</f>
        <v>100</v>
      </c>
      <c r="H32" s="288">
        <f>1*100/1</f>
        <v>100</v>
      </c>
      <c r="I32" s="288"/>
      <c r="J32" s="288">
        <f>1*100/1</f>
        <v>100</v>
      </c>
      <c r="K32" s="288">
        <v>100</v>
      </c>
      <c r="L32" s="288"/>
      <c r="M32" s="288"/>
      <c r="N32" s="288"/>
      <c r="O32" s="288"/>
      <c r="P32" s="288"/>
      <c r="Q32" s="288"/>
      <c r="R32" s="288">
        <f>1*100/1</f>
        <v>100</v>
      </c>
      <c r="S32" s="288"/>
      <c r="T32" s="158">
        <f>7*100/15</f>
        <v>46.666666666666664</v>
      </c>
      <c r="U32" s="158">
        <f>1*100/1</f>
        <v>100</v>
      </c>
      <c r="V32" s="158">
        <f>1*100/1</f>
        <v>100</v>
      </c>
      <c r="W32" s="158">
        <f>1*100/1</f>
        <v>100</v>
      </c>
      <c r="X32" s="158"/>
      <c r="Y32" s="158">
        <f>1*100/1</f>
        <v>100</v>
      </c>
      <c r="Z32" s="158">
        <f>1/1*100</f>
        <v>100</v>
      </c>
      <c r="AA32" s="158"/>
      <c r="AB32" s="158"/>
      <c r="AC32" s="158"/>
      <c r="AD32" s="158"/>
      <c r="AE32" s="158">
        <f>1*100/1</f>
        <v>100</v>
      </c>
      <c r="AF32" s="158"/>
      <c r="AG32" s="158">
        <f>1*100/1</f>
        <v>100</v>
      </c>
      <c r="AH32" s="158"/>
      <c r="AI32" s="158">
        <f>7*100/15</f>
        <v>46.666666666666664</v>
      </c>
      <c r="AJ32" s="158">
        <f>1*100/1</f>
        <v>100</v>
      </c>
      <c r="AK32" s="158">
        <f>1*100/1</f>
        <v>100</v>
      </c>
      <c r="AL32" s="158">
        <f>1*100/1</f>
        <v>100</v>
      </c>
      <c r="AM32" s="158"/>
      <c r="AN32" s="158">
        <f>1*100/1</f>
        <v>100</v>
      </c>
      <c r="AO32" s="158">
        <v>100</v>
      </c>
      <c r="AP32" s="158"/>
      <c r="AQ32" s="158"/>
      <c r="AR32" s="158"/>
      <c r="AS32" s="158"/>
      <c r="AT32" s="158">
        <f>1*100/1</f>
        <v>100</v>
      </c>
      <c r="AU32" s="158"/>
      <c r="AV32" s="158">
        <f>1*100/1</f>
        <v>100</v>
      </c>
      <c r="AW32" s="158"/>
      <c r="AX32" s="158">
        <f>7*100/15</f>
        <v>46.666666666666664</v>
      </c>
      <c r="AY32" s="158">
        <f>1*100/1</f>
        <v>100</v>
      </c>
      <c r="AZ32" s="158">
        <f>1*100/1</f>
        <v>100</v>
      </c>
      <c r="BA32" s="158">
        <f>1*100/1</f>
        <v>100</v>
      </c>
      <c r="BB32" s="158"/>
      <c r="BC32" s="158">
        <f>1*100/1</f>
        <v>100</v>
      </c>
      <c r="BD32" s="158">
        <v>100</v>
      </c>
      <c r="BE32" s="158"/>
      <c r="BF32" s="158"/>
      <c r="BG32" s="158"/>
      <c r="BH32" s="158"/>
      <c r="BI32" s="158">
        <f>1*100/1</f>
        <v>100</v>
      </c>
      <c r="BJ32" s="158"/>
      <c r="BK32" s="158">
        <f>1*100/1</f>
        <v>100</v>
      </c>
      <c r="BL32" s="158"/>
      <c r="BM32" s="158">
        <f>7*100/15</f>
        <v>46.666666666666664</v>
      </c>
      <c r="BN32" s="158">
        <f>1*100/1</f>
        <v>100</v>
      </c>
      <c r="BO32" s="158">
        <f>1*100/1</f>
        <v>100</v>
      </c>
      <c r="BP32" s="158">
        <f>1*100/1</f>
        <v>100</v>
      </c>
      <c r="BQ32" s="158"/>
      <c r="BR32" s="158">
        <f>1*100/1</f>
        <v>100</v>
      </c>
      <c r="BS32" s="158">
        <f t="shared" si="58"/>
        <v>100</v>
      </c>
      <c r="BT32" s="158"/>
      <c r="BU32" s="158"/>
      <c r="BV32" s="158"/>
      <c r="BW32" s="158"/>
      <c r="BX32" s="158">
        <f>1*100/1</f>
        <v>100</v>
      </c>
      <c r="BY32" s="158"/>
      <c r="BZ32" s="158">
        <f>1*100/1</f>
        <v>100</v>
      </c>
      <c r="CA32" s="158"/>
      <c r="CB32" s="158">
        <f t="shared" si="44"/>
        <v>46.666666666666664</v>
      </c>
      <c r="CD32" s="146">
        <v>3</v>
      </c>
      <c r="CE32" s="146">
        <v>3</v>
      </c>
      <c r="CF32" s="146">
        <v>3</v>
      </c>
      <c r="CG32" s="146">
        <v>3</v>
      </c>
      <c r="CH32" s="358">
        <f>5/15*100</f>
        <v>33.333333333333329</v>
      </c>
      <c r="CI32" s="357">
        <f>6/15*100</f>
        <v>40</v>
      </c>
      <c r="CJ32" s="357">
        <f t="shared" ref="CJ32:CK32" si="62">6/15*100</f>
        <v>40</v>
      </c>
      <c r="CK32" s="357">
        <f t="shared" si="62"/>
        <v>40</v>
      </c>
      <c r="CL32" s="357">
        <f>7/15*100</f>
        <v>46.666666666666664</v>
      </c>
      <c r="CM32" s="357">
        <f>7/15*100</f>
        <v>46.666666666666664</v>
      </c>
      <c r="CN32" s="357">
        <f t="shared" ref="CN32" si="63">7/15*100</f>
        <v>46.666666666666664</v>
      </c>
      <c r="CO32" s="351">
        <f t="shared" si="23"/>
        <v>85.714285714285722</v>
      </c>
      <c r="CP32" s="351">
        <f t="shared" si="24"/>
        <v>116.66666666666666</v>
      </c>
      <c r="CQ32" s="289"/>
    </row>
    <row r="33" spans="1:95" s="146" customFormat="1" ht="27" customHeight="1">
      <c r="A33" s="78"/>
      <c r="B33" s="83" t="s">
        <v>236</v>
      </c>
      <c r="C33" s="78" t="s">
        <v>28</v>
      </c>
      <c r="D33" s="158">
        <f>0/3%</f>
        <v>0</v>
      </c>
      <c r="E33" s="158">
        <f>1/E22%</f>
        <v>33.333333333333336</v>
      </c>
      <c r="F33" s="288"/>
      <c r="G33" s="288"/>
      <c r="H33" s="288"/>
      <c r="I33" s="288"/>
      <c r="J33" s="288"/>
      <c r="K33" s="288"/>
      <c r="L33" s="288"/>
      <c r="M33" s="288"/>
      <c r="N33" s="288"/>
      <c r="O33" s="288"/>
      <c r="P33" s="288">
        <f>1/P22%</f>
        <v>100</v>
      </c>
      <c r="Q33" s="288"/>
      <c r="R33" s="288"/>
      <c r="S33" s="288"/>
      <c r="T33" s="158">
        <f>1/T22%</f>
        <v>33.333333333333336</v>
      </c>
      <c r="U33" s="158"/>
      <c r="V33" s="158"/>
      <c r="W33" s="158"/>
      <c r="X33" s="158"/>
      <c r="Y33" s="158"/>
      <c r="Z33" s="158"/>
      <c r="AA33" s="158"/>
      <c r="AB33" s="158"/>
      <c r="AC33" s="158"/>
      <c r="AD33" s="158"/>
      <c r="AE33" s="158">
        <f>1/1%</f>
        <v>100</v>
      </c>
      <c r="AF33" s="158"/>
      <c r="AG33" s="158"/>
      <c r="AH33" s="158"/>
      <c r="AI33" s="158">
        <f>1/AI22%</f>
        <v>33.333333333333336</v>
      </c>
      <c r="AJ33" s="158"/>
      <c r="AK33" s="158"/>
      <c r="AL33" s="158"/>
      <c r="AM33" s="158"/>
      <c r="AN33" s="158"/>
      <c r="AO33" s="158"/>
      <c r="AP33" s="158"/>
      <c r="AQ33" s="158"/>
      <c r="AR33" s="158"/>
      <c r="AS33" s="158"/>
      <c r="AT33" s="158">
        <f>1/1%</f>
        <v>100</v>
      </c>
      <c r="AU33" s="158"/>
      <c r="AV33" s="158"/>
      <c r="AW33" s="158"/>
      <c r="AX33" s="158">
        <f>1/AX22%</f>
        <v>33.333333333333336</v>
      </c>
      <c r="AY33" s="158"/>
      <c r="AZ33" s="158"/>
      <c r="BA33" s="158"/>
      <c r="BB33" s="158"/>
      <c r="BC33" s="158"/>
      <c r="BD33" s="158"/>
      <c r="BE33" s="158"/>
      <c r="BF33" s="158"/>
      <c r="BG33" s="158"/>
      <c r="BH33" s="158"/>
      <c r="BI33" s="158">
        <f>1/BI22%</f>
        <v>100</v>
      </c>
      <c r="BJ33" s="158"/>
      <c r="BK33" s="158"/>
      <c r="BL33" s="158"/>
      <c r="BM33" s="158">
        <f>1/3%</f>
        <v>33.333333333333336</v>
      </c>
      <c r="BN33" s="158"/>
      <c r="BO33" s="158"/>
      <c r="BP33" s="158"/>
      <c r="BQ33" s="158"/>
      <c r="BR33" s="158"/>
      <c r="BS33" s="158"/>
      <c r="BT33" s="158"/>
      <c r="BU33" s="158"/>
      <c r="BV33" s="158"/>
      <c r="BW33" s="158"/>
      <c r="BX33" s="158">
        <f>1/1*100</f>
        <v>100</v>
      </c>
      <c r="BY33" s="158"/>
      <c r="BZ33" s="158"/>
      <c r="CA33" s="158"/>
      <c r="CB33" s="158">
        <f t="shared" si="44"/>
        <v>33.333333333333336</v>
      </c>
      <c r="CH33" s="359">
        <f>1/3*100</f>
        <v>33.333333333333329</v>
      </c>
      <c r="CI33" s="357">
        <f>1/3*100</f>
        <v>33.333333333333329</v>
      </c>
      <c r="CJ33" s="357">
        <f t="shared" ref="CJ33:CL33" si="64">1/3*100</f>
        <v>33.333333333333329</v>
      </c>
      <c r="CK33" s="357">
        <f t="shared" si="64"/>
        <v>33.333333333333329</v>
      </c>
      <c r="CL33" s="357">
        <f t="shared" si="64"/>
        <v>33.333333333333329</v>
      </c>
      <c r="CM33" s="357">
        <f>2/3*100</f>
        <v>66.666666666666657</v>
      </c>
      <c r="CN33" s="357">
        <f>2/3*100</f>
        <v>66.666666666666657</v>
      </c>
      <c r="CO33" s="351">
        <f t="shared" si="23"/>
        <v>99.999999999999972</v>
      </c>
      <c r="CP33" s="351">
        <f t="shared" si="24"/>
        <v>200.00000000000003</v>
      </c>
      <c r="CQ33" s="289"/>
    </row>
    <row r="34" spans="1:95" s="11" customFormat="1" ht="15">
      <c r="A34" s="89" t="s">
        <v>239</v>
      </c>
      <c r="B34" s="90" t="s">
        <v>240</v>
      </c>
      <c r="C34" s="89"/>
      <c r="D34" s="90"/>
      <c r="E34" s="90"/>
      <c r="F34" s="90"/>
      <c r="G34" s="90"/>
      <c r="H34" s="90"/>
      <c r="I34" s="90"/>
      <c r="J34" s="90"/>
      <c r="K34" s="90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  <c r="AB34" s="90"/>
      <c r="AC34" s="90"/>
      <c r="AD34" s="90"/>
      <c r="AE34" s="90"/>
      <c r="AF34" s="90"/>
      <c r="AG34" s="90"/>
      <c r="AH34" s="90"/>
      <c r="AI34" s="90"/>
      <c r="AJ34" s="90"/>
      <c r="AK34" s="90"/>
      <c r="AL34" s="90"/>
      <c r="AM34" s="90"/>
      <c r="AN34" s="90"/>
      <c r="AO34" s="90"/>
      <c r="AP34" s="90"/>
      <c r="AQ34" s="90"/>
      <c r="AR34" s="90"/>
      <c r="AS34" s="90"/>
      <c r="AT34" s="90"/>
      <c r="AU34" s="90"/>
      <c r="AV34" s="90"/>
      <c r="AW34" s="90"/>
      <c r="AX34" s="90"/>
      <c r="AY34" s="90"/>
      <c r="AZ34" s="90"/>
      <c r="BA34" s="90"/>
      <c r="BB34" s="90"/>
      <c r="BC34" s="90"/>
      <c r="BD34" s="90"/>
      <c r="BE34" s="90"/>
      <c r="BF34" s="90"/>
      <c r="BG34" s="90"/>
      <c r="BH34" s="90"/>
      <c r="BI34" s="90"/>
      <c r="BJ34" s="90"/>
      <c r="BK34" s="90"/>
      <c r="BL34" s="90"/>
      <c r="BM34" s="90"/>
      <c r="BN34" s="90"/>
      <c r="BO34" s="90"/>
      <c r="BP34" s="90"/>
      <c r="BQ34" s="90"/>
      <c r="BR34" s="90"/>
      <c r="BS34" s="90"/>
      <c r="BT34" s="90"/>
      <c r="BU34" s="90"/>
      <c r="BV34" s="90"/>
      <c r="BW34" s="90"/>
      <c r="BX34" s="90"/>
      <c r="BY34" s="90"/>
      <c r="BZ34" s="90"/>
      <c r="CA34" s="90"/>
      <c r="CB34" s="90"/>
      <c r="CH34" s="349"/>
      <c r="CI34" s="349"/>
      <c r="CJ34" s="349"/>
      <c r="CK34" s="349"/>
      <c r="CL34" s="349"/>
      <c r="CM34" s="349"/>
      <c r="CN34" s="349"/>
      <c r="CO34" s="351"/>
      <c r="CP34" s="351"/>
      <c r="CQ34" s="207"/>
    </row>
    <row r="35" spans="1:95" s="146" customFormat="1" ht="29.25" customHeight="1">
      <c r="A35" s="78">
        <v>1</v>
      </c>
      <c r="B35" s="83" t="s">
        <v>241</v>
      </c>
      <c r="C35" s="78" t="s">
        <v>242</v>
      </c>
      <c r="D35" s="83">
        <f>'[1]B5 GD&amp;DT va KHCN'!$K$17</f>
        <v>41</v>
      </c>
      <c r="E35" s="83">
        <f>SUM(F35:S35)</f>
        <v>12</v>
      </c>
      <c r="F35" s="310">
        <v>2</v>
      </c>
      <c r="G35" s="310"/>
      <c r="H35" s="310">
        <v>1</v>
      </c>
      <c r="I35" s="310"/>
      <c r="J35" s="310"/>
      <c r="K35" s="310"/>
      <c r="L35" s="310"/>
      <c r="M35" s="310">
        <v>5</v>
      </c>
      <c r="N35" s="310">
        <v>2</v>
      </c>
      <c r="O35" s="310">
        <v>1</v>
      </c>
      <c r="P35" s="310">
        <v>1</v>
      </c>
      <c r="Q35" s="310"/>
      <c r="R35" s="310"/>
      <c r="S35" s="310"/>
      <c r="T35" s="83">
        <f>SUM(U35:AH35)</f>
        <v>8</v>
      </c>
      <c r="U35" s="83"/>
      <c r="V35" s="83"/>
      <c r="W35" s="83"/>
      <c r="X35" s="83"/>
      <c r="Y35" s="83"/>
      <c r="Z35" s="83"/>
      <c r="AA35" s="83"/>
      <c r="AB35" s="83"/>
      <c r="AC35" s="83">
        <v>2</v>
      </c>
      <c r="AD35" s="83"/>
      <c r="AE35" s="83">
        <v>1</v>
      </c>
      <c r="AF35" s="83"/>
      <c r="AG35" s="83"/>
      <c r="AH35" s="83">
        <v>5</v>
      </c>
      <c r="AI35" s="83">
        <f>SUM(AJ35:AW35)</f>
        <v>1</v>
      </c>
      <c r="AJ35" s="83"/>
      <c r="AK35" s="83"/>
      <c r="AL35" s="83"/>
      <c r="AM35" s="83"/>
      <c r="AN35" s="83"/>
      <c r="AO35" s="83"/>
      <c r="AP35" s="83"/>
      <c r="AQ35" s="83"/>
      <c r="AR35" s="83">
        <v>1</v>
      </c>
      <c r="AS35" s="83"/>
      <c r="AT35" s="83"/>
      <c r="AU35" s="83"/>
      <c r="AV35" s="83"/>
      <c r="AW35" s="83"/>
      <c r="AX35" s="83">
        <f>SUM(AY35:BL35)</f>
        <v>2</v>
      </c>
      <c r="AY35" s="83"/>
      <c r="AZ35" s="83"/>
      <c r="BA35" s="83"/>
      <c r="BB35" s="83"/>
      <c r="BC35" s="83"/>
      <c r="BD35" s="83"/>
      <c r="BE35" s="83"/>
      <c r="BF35" s="83"/>
      <c r="BG35" s="83"/>
      <c r="BH35" s="83"/>
      <c r="BI35" s="83"/>
      <c r="BJ35" s="83"/>
      <c r="BK35" s="83"/>
      <c r="BL35" s="83">
        <v>2</v>
      </c>
      <c r="BM35" s="83">
        <f>SUM(BN35:CA35)</f>
        <v>0</v>
      </c>
      <c r="BN35" s="83"/>
      <c r="BO35" s="83"/>
      <c r="BP35" s="83"/>
      <c r="BQ35" s="83"/>
      <c r="BR35" s="83"/>
      <c r="BS35" s="83"/>
      <c r="BT35" s="83"/>
      <c r="BU35" s="83"/>
      <c r="BV35" s="83"/>
      <c r="BW35" s="83"/>
      <c r="BX35" s="83"/>
      <c r="BY35" s="83"/>
      <c r="BZ35" s="83"/>
      <c r="CA35" s="83"/>
      <c r="CB35" s="83">
        <f>BM35+AI35+AX35+T35+E35</f>
        <v>23</v>
      </c>
      <c r="CD35" s="311">
        <v>31206</v>
      </c>
      <c r="CE35" s="311">
        <v>33060</v>
      </c>
      <c r="CH35" s="349">
        <v>5</v>
      </c>
      <c r="CI35" s="349">
        <v>0</v>
      </c>
      <c r="CJ35" s="349">
        <v>10</v>
      </c>
      <c r="CK35" s="349">
        <v>15</v>
      </c>
      <c r="CL35" s="349">
        <v>2</v>
      </c>
      <c r="CM35" s="349">
        <v>0</v>
      </c>
      <c r="CN35" s="349">
        <v>17</v>
      </c>
      <c r="CO35" s="351">
        <f t="shared" si="23"/>
        <v>65.217391304347828</v>
      </c>
      <c r="CP35" s="351">
        <f t="shared" si="24"/>
        <v>113.33333333333334</v>
      </c>
      <c r="CQ35" s="289"/>
    </row>
    <row r="36" spans="1:95" s="146" customFormat="1" ht="21.75" hidden="1" customHeight="1">
      <c r="A36" s="78"/>
      <c r="B36" s="83" t="s">
        <v>243</v>
      </c>
      <c r="C36" s="78"/>
      <c r="D36" s="83"/>
      <c r="E36" s="83"/>
      <c r="F36" s="8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  <c r="AS36" s="83"/>
      <c r="AT36" s="83"/>
      <c r="AU36" s="83"/>
      <c r="AV36" s="83"/>
      <c r="AW36" s="83"/>
      <c r="AX36" s="83"/>
      <c r="AY36" s="83"/>
      <c r="AZ36" s="83"/>
      <c r="BA36" s="83"/>
      <c r="BB36" s="83"/>
      <c r="BC36" s="83"/>
      <c r="BD36" s="83"/>
      <c r="BE36" s="83"/>
      <c r="BF36" s="83"/>
      <c r="BG36" s="83"/>
      <c r="BH36" s="83"/>
      <c r="BI36" s="83"/>
      <c r="BJ36" s="83"/>
      <c r="BK36" s="83"/>
      <c r="BL36" s="83"/>
      <c r="BM36" s="83"/>
      <c r="BN36" s="83"/>
      <c r="BO36" s="83"/>
      <c r="BP36" s="83"/>
      <c r="BQ36" s="83"/>
      <c r="BR36" s="83"/>
      <c r="BS36" s="83"/>
      <c r="BT36" s="83"/>
      <c r="BU36" s="83"/>
      <c r="BV36" s="83"/>
      <c r="BW36" s="83"/>
      <c r="BX36" s="83"/>
      <c r="BY36" s="83"/>
      <c r="BZ36" s="83"/>
      <c r="CA36" s="83"/>
      <c r="CB36" s="83">
        <f>BM36+AI36+AX36+T36+E36</f>
        <v>0</v>
      </c>
      <c r="CH36" s="349"/>
      <c r="CI36" s="349"/>
      <c r="CJ36" s="349"/>
      <c r="CK36" s="349">
        <v>0</v>
      </c>
      <c r="CL36" s="349"/>
      <c r="CM36" s="349"/>
      <c r="CN36" s="349">
        <v>0</v>
      </c>
      <c r="CO36" s="351" t="e">
        <f t="shared" ref="CO36:CO42" si="65">CK36/CB36%</f>
        <v>#DIV/0!</v>
      </c>
      <c r="CP36" s="351" t="e">
        <f t="shared" ref="CP36:CP43" si="66">CN36/CK36%</f>
        <v>#DIV/0!</v>
      </c>
      <c r="CQ36" s="289"/>
    </row>
    <row r="37" spans="1:95" s="146" customFormat="1" ht="21.75" hidden="1" customHeight="1">
      <c r="A37" s="78"/>
      <c r="B37" s="83" t="s">
        <v>244</v>
      </c>
      <c r="C37" s="78"/>
      <c r="D37" s="83"/>
      <c r="E37" s="83"/>
      <c r="F37" s="8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83"/>
      <c r="AX37" s="83"/>
      <c r="AY37" s="83"/>
      <c r="AZ37" s="83"/>
      <c r="BA37" s="83"/>
      <c r="BB37" s="83"/>
      <c r="BC37" s="83"/>
      <c r="BD37" s="83"/>
      <c r="BE37" s="83"/>
      <c r="BF37" s="83"/>
      <c r="BG37" s="83"/>
      <c r="BH37" s="83"/>
      <c r="BI37" s="83"/>
      <c r="BJ37" s="83"/>
      <c r="BK37" s="83"/>
      <c r="BL37" s="83"/>
      <c r="BM37" s="83"/>
      <c r="BN37" s="83"/>
      <c r="BO37" s="83"/>
      <c r="BP37" s="83"/>
      <c r="BQ37" s="83"/>
      <c r="BR37" s="83"/>
      <c r="BS37" s="83"/>
      <c r="BT37" s="83"/>
      <c r="BU37" s="83"/>
      <c r="BV37" s="83"/>
      <c r="BW37" s="83"/>
      <c r="BX37" s="83"/>
      <c r="BY37" s="83"/>
      <c r="BZ37" s="83"/>
      <c r="CA37" s="83"/>
      <c r="CB37" s="83">
        <f>BM37+AI37+AX37+T37+E37</f>
        <v>0</v>
      </c>
      <c r="CH37" s="349"/>
      <c r="CI37" s="349"/>
      <c r="CJ37" s="349"/>
      <c r="CK37" s="349">
        <v>0</v>
      </c>
      <c r="CL37" s="349"/>
      <c r="CM37" s="349"/>
      <c r="CN37" s="349">
        <v>0</v>
      </c>
      <c r="CO37" s="351" t="e">
        <f t="shared" si="65"/>
        <v>#DIV/0!</v>
      </c>
      <c r="CP37" s="351" t="e">
        <f t="shared" si="66"/>
        <v>#DIV/0!</v>
      </c>
      <c r="CQ37" s="289"/>
    </row>
    <row r="38" spans="1:95" s="146" customFormat="1" ht="45" customHeight="1">
      <c r="A38" s="78">
        <v>2</v>
      </c>
      <c r="B38" s="83" t="s">
        <v>609</v>
      </c>
      <c r="C38" s="78" t="s">
        <v>245</v>
      </c>
      <c r="D38" s="312">
        <f>'[1]B5 GD&amp;DT va KHCN'!$K$18/5</f>
        <v>814.8</v>
      </c>
      <c r="E38" s="110">
        <f>SUM(F38:S38)</f>
        <v>1000</v>
      </c>
      <c r="F38" s="83">
        <v>30</v>
      </c>
      <c r="G38" s="83">
        <v>60</v>
      </c>
      <c r="H38" s="83">
        <v>60</v>
      </c>
      <c r="I38" s="83">
        <v>30</v>
      </c>
      <c r="J38" s="83">
        <v>90</v>
      </c>
      <c r="K38" s="83">
        <v>60</v>
      </c>
      <c r="L38" s="83">
        <v>90</v>
      </c>
      <c r="M38" s="83">
        <v>60</v>
      </c>
      <c r="N38" s="83">
        <v>60</v>
      </c>
      <c r="O38" s="83">
        <v>90</v>
      </c>
      <c r="P38" s="83">
        <v>90</v>
      </c>
      <c r="Q38" s="83">
        <v>120</v>
      </c>
      <c r="R38" s="83">
        <v>60</v>
      </c>
      <c r="S38" s="83">
        <v>100</v>
      </c>
      <c r="T38" s="110">
        <f>SUM(U38:AH38)</f>
        <v>1000</v>
      </c>
      <c r="U38" s="83">
        <v>60</v>
      </c>
      <c r="V38" s="83">
        <v>60</v>
      </c>
      <c r="W38" s="83">
        <v>60</v>
      </c>
      <c r="X38" s="83">
        <v>60</v>
      </c>
      <c r="Y38" s="83">
        <v>90</v>
      </c>
      <c r="Z38" s="83">
        <v>60</v>
      </c>
      <c r="AA38" s="83">
        <v>60</v>
      </c>
      <c r="AB38" s="83">
        <v>60</v>
      </c>
      <c r="AC38" s="83">
        <v>60</v>
      </c>
      <c r="AD38" s="83">
        <v>60</v>
      </c>
      <c r="AE38" s="83">
        <v>90</v>
      </c>
      <c r="AF38" s="83">
        <v>90</v>
      </c>
      <c r="AG38" s="83">
        <v>70</v>
      </c>
      <c r="AH38" s="83">
        <v>120</v>
      </c>
      <c r="AI38" s="110">
        <f>SUM(AJ38:AW38)</f>
        <v>1000</v>
      </c>
      <c r="AJ38" s="83">
        <v>30</v>
      </c>
      <c r="AK38" s="83">
        <v>60</v>
      </c>
      <c r="AL38" s="83">
        <v>60</v>
      </c>
      <c r="AM38" s="83">
        <v>60</v>
      </c>
      <c r="AN38" s="83">
        <v>90</v>
      </c>
      <c r="AO38" s="83">
        <v>60</v>
      </c>
      <c r="AP38" s="83">
        <v>90</v>
      </c>
      <c r="AQ38" s="83">
        <v>90</v>
      </c>
      <c r="AR38" s="83">
        <v>90</v>
      </c>
      <c r="AS38" s="83">
        <v>60</v>
      </c>
      <c r="AT38" s="83">
        <v>70</v>
      </c>
      <c r="AU38" s="83">
        <v>90</v>
      </c>
      <c r="AV38" s="83">
        <v>60</v>
      </c>
      <c r="AW38" s="83">
        <v>90</v>
      </c>
      <c r="AX38" s="110">
        <f>SUM(AY38:BL38)</f>
        <v>1000</v>
      </c>
      <c r="AY38" s="83">
        <v>60</v>
      </c>
      <c r="AZ38" s="83">
        <v>70</v>
      </c>
      <c r="BA38" s="83">
        <v>60</v>
      </c>
      <c r="BB38" s="83">
        <v>60</v>
      </c>
      <c r="BC38" s="83">
        <v>70</v>
      </c>
      <c r="BD38" s="83">
        <v>60</v>
      </c>
      <c r="BE38" s="83">
        <v>120</v>
      </c>
      <c r="BF38" s="83">
        <v>60</v>
      </c>
      <c r="BG38" s="83">
        <v>60</v>
      </c>
      <c r="BH38" s="83">
        <v>70</v>
      </c>
      <c r="BI38" s="83">
        <v>90</v>
      </c>
      <c r="BJ38" s="83">
        <v>60</v>
      </c>
      <c r="BK38" s="83">
        <v>60</v>
      </c>
      <c r="BL38" s="83">
        <v>100</v>
      </c>
      <c r="BM38" s="110">
        <v>1000</v>
      </c>
      <c r="BN38" s="83">
        <v>70</v>
      </c>
      <c r="BO38" s="83">
        <v>70</v>
      </c>
      <c r="BP38" s="83">
        <v>90</v>
      </c>
      <c r="BQ38" s="83">
        <v>60</v>
      </c>
      <c r="BR38" s="83">
        <v>60</v>
      </c>
      <c r="BS38" s="83">
        <v>60</v>
      </c>
      <c r="BT38" s="83">
        <v>60</v>
      </c>
      <c r="BU38" s="83">
        <v>70</v>
      </c>
      <c r="BV38" s="83">
        <v>90</v>
      </c>
      <c r="BW38" s="83">
        <v>60</v>
      </c>
      <c r="BX38" s="83">
        <v>70</v>
      </c>
      <c r="BY38" s="83">
        <v>60</v>
      </c>
      <c r="BZ38" s="83">
        <v>90</v>
      </c>
      <c r="CA38" s="83">
        <v>90</v>
      </c>
      <c r="CB38" s="110">
        <f>(BM38+AI38+AX38+T38+E38)/5</f>
        <v>1000</v>
      </c>
      <c r="CC38" s="146">
        <f>29000/2</f>
        <v>14500</v>
      </c>
      <c r="CD38" s="313">
        <f>CC38+E38</f>
        <v>15500</v>
      </c>
      <c r="CE38" s="313">
        <f>CD38+1000</f>
        <v>16500</v>
      </c>
      <c r="CF38" s="313">
        <f>CE38+1000</f>
        <v>17500</v>
      </c>
      <c r="CH38" s="349">
        <v>1025</v>
      </c>
      <c r="CI38" s="349">
        <v>1259</v>
      </c>
      <c r="CJ38" s="349">
        <v>1105</v>
      </c>
      <c r="CK38" s="349">
        <f>AVERAGE(CH38:CJ38)</f>
        <v>1129.6666666666667</v>
      </c>
      <c r="CL38" s="349">
        <v>1000</v>
      </c>
      <c r="CM38" s="349">
        <v>1000</v>
      </c>
      <c r="CN38" s="349">
        <f>(CH38+CI38+CJ38+CL38+CM38)/5</f>
        <v>1077.8</v>
      </c>
      <c r="CO38" s="351">
        <f t="shared" si="65"/>
        <v>112.96666666666667</v>
      </c>
      <c r="CP38" s="351">
        <f t="shared" si="66"/>
        <v>95.408675125405722</v>
      </c>
      <c r="CQ38" s="289"/>
    </row>
    <row r="39" spans="1:95" s="146" customFormat="1" ht="21.75" hidden="1" customHeight="1">
      <c r="A39" s="78"/>
      <c r="B39" s="83" t="s">
        <v>246</v>
      </c>
      <c r="C39" s="78" t="s">
        <v>242</v>
      </c>
      <c r="D39" s="83">
        <v>0</v>
      </c>
      <c r="E39" s="83"/>
      <c r="F39" s="83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  <c r="AS39" s="83"/>
      <c r="AT39" s="83"/>
      <c r="AU39" s="83"/>
      <c r="AV39" s="83"/>
      <c r="AW39" s="83"/>
      <c r="AX39" s="83"/>
      <c r="AY39" s="83"/>
      <c r="AZ39" s="83"/>
      <c r="BA39" s="83"/>
      <c r="BB39" s="83"/>
      <c r="BC39" s="83"/>
      <c r="BD39" s="83"/>
      <c r="BE39" s="83"/>
      <c r="BF39" s="83"/>
      <c r="BG39" s="83"/>
      <c r="BH39" s="83"/>
      <c r="BI39" s="83"/>
      <c r="BJ39" s="83"/>
      <c r="BK39" s="83"/>
      <c r="BL39" s="83"/>
      <c r="BM39" s="83"/>
      <c r="BN39" s="83"/>
      <c r="BO39" s="83"/>
      <c r="BP39" s="83"/>
      <c r="BQ39" s="83"/>
      <c r="BR39" s="83"/>
      <c r="BS39" s="83"/>
      <c r="BT39" s="83"/>
      <c r="BU39" s="83"/>
      <c r="BV39" s="83"/>
      <c r="BW39" s="83"/>
      <c r="BX39" s="83"/>
      <c r="BY39" s="83"/>
      <c r="BZ39" s="83"/>
      <c r="CA39" s="83"/>
      <c r="CB39" s="83"/>
      <c r="CH39" s="349"/>
      <c r="CI39" s="349"/>
      <c r="CJ39" s="349"/>
      <c r="CK39" s="349">
        <v>0</v>
      </c>
      <c r="CL39" s="349"/>
      <c r="CM39" s="349"/>
      <c r="CN39" s="349">
        <v>0</v>
      </c>
      <c r="CO39" s="351" t="e">
        <f t="shared" si="65"/>
        <v>#DIV/0!</v>
      </c>
      <c r="CP39" s="351" t="e">
        <f t="shared" si="66"/>
        <v>#DIV/0!</v>
      </c>
      <c r="CQ39" s="289"/>
    </row>
    <row r="40" spans="1:95" s="146" customFormat="1" ht="21.75" hidden="1" customHeight="1">
      <c r="A40" s="78"/>
      <c r="B40" s="83" t="s">
        <v>247</v>
      </c>
      <c r="C40" s="78" t="s">
        <v>190</v>
      </c>
      <c r="D40" s="83"/>
      <c r="E40" s="83"/>
      <c r="F40" s="8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  <c r="AS40" s="83"/>
      <c r="AT40" s="83"/>
      <c r="AU40" s="83"/>
      <c r="AV40" s="83"/>
      <c r="AW40" s="83"/>
      <c r="AX40" s="83"/>
      <c r="AY40" s="83"/>
      <c r="AZ40" s="83"/>
      <c r="BA40" s="83"/>
      <c r="BB40" s="83"/>
      <c r="BC40" s="83"/>
      <c r="BD40" s="83"/>
      <c r="BE40" s="83"/>
      <c r="BF40" s="83"/>
      <c r="BG40" s="83"/>
      <c r="BH40" s="83"/>
      <c r="BI40" s="83"/>
      <c r="BJ40" s="83"/>
      <c r="BK40" s="83"/>
      <c r="BL40" s="83"/>
      <c r="BM40" s="83"/>
      <c r="BN40" s="83"/>
      <c r="BO40" s="83"/>
      <c r="BP40" s="83"/>
      <c r="BQ40" s="83"/>
      <c r="BR40" s="83"/>
      <c r="BS40" s="83"/>
      <c r="BT40" s="83"/>
      <c r="BU40" s="83"/>
      <c r="BV40" s="83"/>
      <c r="BW40" s="83"/>
      <c r="BX40" s="83"/>
      <c r="BY40" s="83"/>
      <c r="BZ40" s="83"/>
      <c r="CA40" s="83"/>
      <c r="CB40" s="83"/>
      <c r="CH40" s="349"/>
      <c r="CI40" s="349"/>
      <c r="CJ40" s="349"/>
      <c r="CK40" s="349">
        <v>0</v>
      </c>
      <c r="CL40" s="349"/>
      <c r="CM40" s="349"/>
      <c r="CN40" s="349">
        <v>0</v>
      </c>
      <c r="CO40" s="351" t="e">
        <f t="shared" si="65"/>
        <v>#DIV/0!</v>
      </c>
      <c r="CP40" s="351" t="e">
        <f t="shared" si="66"/>
        <v>#DIV/0!</v>
      </c>
      <c r="CQ40" s="289"/>
    </row>
    <row r="41" spans="1:95" s="146" customFormat="1" ht="21.75" hidden="1" customHeight="1">
      <c r="A41" s="78"/>
      <c r="B41" s="83" t="s">
        <v>248</v>
      </c>
      <c r="C41" s="78" t="s">
        <v>242</v>
      </c>
      <c r="D41" s="83"/>
      <c r="E41" s="83"/>
      <c r="F41" s="83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  <c r="AS41" s="83"/>
      <c r="AT41" s="83"/>
      <c r="AU41" s="83"/>
      <c r="AV41" s="83"/>
      <c r="AW41" s="83"/>
      <c r="AX41" s="83"/>
      <c r="AY41" s="83"/>
      <c r="AZ41" s="83"/>
      <c r="BA41" s="83"/>
      <c r="BB41" s="83"/>
      <c r="BC41" s="83"/>
      <c r="BD41" s="83"/>
      <c r="BE41" s="83"/>
      <c r="BF41" s="83"/>
      <c r="BG41" s="83"/>
      <c r="BH41" s="83"/>
      <c r="BI41" s="83"/>
      <c r="BJ41" s="83"/>
      <c r="BK41" s="83"/>
      <c r="BL41" s="83"/>
      <c r="BM41" s="83"/>
      <c r="BN41" s="83"/>
      <c r="BO41" s="83"/>
      <c r="BP41" s="83"/>
      <c r="BQ41" s="83"/>
      <c r="BR41" s="83"/>
      <c r="BS41" s="83"/>
      <c r="BT41" s="83"/>
      <c r="BU41" s="83"/>
      <c r="BV41" s="83"/>
      <c r="BW41" s="83"/>
      <c r="BX41" s="83"/>
      <c r="BY41" s="83"/>
      <c r="BZ41" s="83"/>
      <c r="CA41" s="83"/>
      <c r="CB41" s="83"/>
      <c r="CH41" s="349"/>
      <c r="CI41" s="349"/>
      <c r="CJ41" s="349"/>
      <c r="CK41" s="349">
        <v>0</v>
      </c>
      <c r="CL41" s="349"/>
      <c r="CM41" s="349"/>
      <c r="CN41" s="349">
        <v>0</v>
      </c>
      <c r="CO41" s="351" t="e">
        <f t="shared" si="65"/>
        <v>#DIV/0!</v>
      </c>
      <c r="CP41" s="351" t="e">
        <f t="shared" si="66"/>
        <v>#DIV/0!</v>
      </c>
      <c r="CQ41" s="289"/>
    </row>
    <row r="42" spans="1:95" s="146" customFormat="1" ht="21.75" hidden="1" customHeight="1">
      <c r="A42" s="78"/>
      <c r="B42" s="83" t="s">
        <v>249</v>
      </c>
      <c r="C42" s="78" t="s">
        <v>190</v>
      </c>
      <c r="D42" s="83"/>
      <c r="E42" s="83"/>
      <c r="F42" s="83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  <c r="AS42" s="83"/>
      <c r="AT42" s="83"/>
      <c r="AU42" s="83"/>
      <c r="AV42" s="83"/>
      <c r="AW42" s="83"/>
      <c r="AX42" s="83"/>
      <c r="AY42" s="83"/>
      <c r="AZ42" s="83"/>
      <c r="BA42" s="83"/>
      <c r="BB42" s="83"/>
      <c r="BC42" s="83"/>
      <c r="BD42" s="83"/>
      <c r="BE42" s="83"/>
      <c r="BF42" s="83"/>
      <c r="BG42" s="83"/>
      <c r="BH42" s="83"/>
      <c r="BI42" s="83"/>
      <c r="BJ42" s="83"/>
      <c r="BK42" s="83"/>
      <c r="BL42" s="83"/>
      <c r="BM42" s="83"/>
      <c r="BN42" s="83"/>
      <c r="BO42" s="83"/>
      <c r="BP42" s="83"/>
      <c r="BQ42" s="83"/>
      <c r="BR42" s="83"/>
      <c r="BS42" s="83"/>
      <c r="BT42" s="83"/>
      <c r="BU42" s="83"/>
      <c r="BV42" s="83"/>
      <c r="BW42" s="83"/>
      <c r="BX42" s="83"/>
      <c r="BY42" s="83"/>
      <c r="BZ42" s="83"/>
      <c r="CA42" s="83"/>
      <c r="CB42" s="83"/>
      <c r="CH42" s="349"/>
      <c r="CI42" s="349"/>
      <c r="CJ42" s="349"/>
      <c r="CK42" s="349">
        <v>0</v>
      </c>
      <c r="CL42" s="349"/>
      <c r="CM42" s="349"/>
      <c r="CN42" s="349">
        <v>0</v>
      </c>
      <c r="CO42" s="351" t="e">
        <f t="shared" si="65"/>
        <v>#DIV/0!</v>
      </c>
      <c r="CP42" s="351" t="e">
        <f t="shared" si="66"/>
        <v>#DIV/0!</v>
      </c>
      <c r="CQ42" s="289"/>
    </row>
    <row r="43" spans="1:95" s="146" customFormat="1" ht="27.75" customHeight="1">
      <c r="A43" s="78"/>
      <c r="B43" s="83" t="s">
        <v>250</v>
      </c>
      <c r="C43" s="78" t="s">
        <v>190</v>
      </c>
      <c r="D43" s="314">
        <f>'[1]B5 GD&amp;DT va KHCN'!$K$20</f>
        <v>50</v>
      </c>
      <c r="E43" s="35">
        <f>AVERAGE(F43:S43)</f>
        <v>53.430714285714295</v>
      </c>
      <c r="F43" s="158">
        <v>67.349999999999994</v>
      </c>
      <c r="G43" s="158">
        <v>57.12</v>
      </c>
      <c r="H43" s="158">
        <v>40.49</v>
      </c>
      <c r="I43" s="158">
        <v>53.21</v>
      </c>
      <c r="J43" s="158">
        <v>60.68</v>
      </c>
      <c r="K43" s="158">
        <v>48.74</v>
      </c>
      <c r="L43" s="158">
        <v>53.67</v>
      </c>
      <c r="M43" s="158">
        <v>42.71</v>
      </c>
      <c r="N43" s="158">
        <v>44.54</v>
      </c>
      <c r="O43" s="158">
        <v>55.32</v>
      </c>
      <c r="P43" s="158">
        <v>55.21</v>
      </c>
      <c r="Q43" s="158">
        <v>61.85</v>
      </c>
      <c r="R43" s="158">
        <v>57.61</v>
      </c>
      <c r="S43" s="158">
        <v>49.53</v>
      </c>
      <c r="T43" s="35">
        <f>AVERAGE(U43:AH43)</f>
        <v>56.75</v>
      </c>
      <c r="U43" s="158">
        <v>70.7</v>
      </c>
      <c r="V43" s="158">
        <v>60.4</v>
      </c>
      <c r="W43" s="158">
        <v>43.8</v>
      </c>
      <c r="X43" s="158">
        <v>56.5</v>
      </c>
      <c r="Y43" s="158">
        <v>64</v>
      </c>
      <c r="Z43" s="158">
        <v>52.1</v>
      </c>
      <c r="AA43" s="158">
        <v>57</v>
      </c>
      <c r="AB43" s="158">
        <v>46</v>
      </c>
      <c r="AC43" s="158">
        <v>47.9</v>
      </c>
      <c r="AD43" s="158">
        <v>58.6</v>
      </c>
      <c r="AE43" s="158">
        <v>58.5</v>
      </c>
      <c r="AF43" s="158">
        <v>65.2</v>
      </c>
      <c r="AG43" s="158">
        <v>60.9</v>
      </c>
      <c r="AH43" s="158">
        <v>52.9</v>
      </c>
      <c r="AI43" s="35">
        <f>AVERAGE(AJ43:AW43)</f>
        <v>59.857142857142868</v>
      </c>
      <c r="AJ43" s="158">
        <v>73.900000000000006</v>
      </c>
      <c r="AK43" s="158">
        <v>63.5</v>
      </c>
      <c r="AL43" s="158">
        <v>46.9</v>
      </c>
      <c r="AM43" s="158">
        <v>59.6</v>
      </c>
      <c r="AN43" s="158">
        <v>67.099999999999994</v>
      </c>
      <c r="AO43" s="158">
        <v>55.2</v>
      </c>
      <c r="AP43" s="158">
        <v>60.1</v>
      </c>
      <c r="AQ43" s="158">
        <v>49.1</v>
      </c>
      <c r="AR43" s="158">
        <v>51</v>
      </c>
      <c r="AS43" s="158">
        <v>61.7</v>
      </c>
      <c r="AT43" s="158">
        <v>61.6</v>
      </c>
      <c r="AU43" s="158">
        <v>68.3</v>
      </c>
      <c r="AV43" s="158">
        <v>64</v>
      </c>
      <c r="AW43" s="158">
        <v>56</v>
      </c>
      <c r="AX43" s="35">
        <f>AVERAGE(AY43:BL43)</f>
        <v>62.957142857142856</v>
      </c>
      <c r="AY43" s="158">
        <v>77</v>
      </c>
      <c r="AZ43" s="158">
        <v>66.599999999999994</v>
      </c>
      <c r="BA43" s="158">
        <v>50</v>
      </c>
      <c r="BB43" s="158">
        <v>62.7</v>
      </c>
      <c r="BC43" s="158">
        <v>70.2</v>
      </c>
      <c r="BD43" s="158">
        <v>58.3</v>
      </c>
      <c r="BE43" s="158">
        <v>63.2</v>
      </c>
      <c r="BF43" s="158">
        <v>52.2</v>
      </c>
      <c r="BG43" s="158">
        <v>54.1</v>
      </c>
      <c r="BH43" s="158">
        <v>64.8</v>
      </c>
      <c r="BI43" s="158">
        <v>64.7</v>
      </c>
      <c r="BJ43" s="158">
        <v>71.400000000000006</v>
      </c>
      <c r="BK43" s="158">
        <v>67.099999999999994</v>
      </c>
      <c r="BL43" s="158">
        <v>59.1</v>
      </c>
      <c r="BM43" s="35">
        <f>AVERAGE(BN43:CA43)</f>
        <v>65.95714285714287</v>
      </c>
      <c r="BN43" s="158">
        <v>80</v>
      </c>
      <c r="BO43" s="158">
        <v>69.599999999999994</v>
      </c>
      <c r="BP43" s="158">
        <v>53</v>
      </c>
      <c r="BQ43" s="158">
        <v>65.7</v>
      </c>
      <c r="BR43" s="158">
        <v>73.2</v>
      </c>
      <c r="BS43" s="158">
        <v>61.3</v>
      </c>
      <c r="BT43" s="158">
        <v>66.2</v>
      </c>
      <c r="BU43" s="158">
        <v>55.2</v>
      </c>
      <c r="BV43" s="158">
        <v>57.1</v>
      </c>
      <c r="BW43" s="158">
        <v>67.8</v>
      </c>
      <c r="BX43" s="158">
        <v>67.7</v>
      </c>
      <c r="BY43" s="158">
        <v>74.400000000000006</v>
      </c>
      <c r="BZ43" s="158">
        <v>70.099999999999994</v>
      </c>
      <c r="CA43" s="158">
        <v>62.1</v>
      </c>
      <c r="CB43" s="35">
        <f>BM43</f>
        <v>65.95714285714287</v>
      </c>
      <c r="CC43" s="146">
        <f>CC38/28189*100</f>
        <v>51.438504381141584</v>
      </c>
      <c r="CD43" s="133">
        <f>CD38/CD35*100</f>
        <v>49.669935268858552</v>
      </c>
      <c r="CE43" s="133">
        <f>CE38/CE35*100</f>
        <v>49.909255898366602</v>
      </c>
      <c r="CF43" s="133" t="e">
        <f>CF38/CF35*100</f>
        <v>#DIV/0!</v>
      </c>
      <c r="CH43" s="350">
        <v>55.5</v>
      </c>
      <c r="CI43" s="350">
        <v>56.817142857142862</v>
      </c>
      <c r="CJ43" s="350">
        <v>59.902857142857144</v>
      </c>
      <c r="CK43" s="350">
        <f>CJ43</f>
        <v>59.902857142857144</v>
      </c>
      <c r="CL43" s="350">
        <f>AX43</f>
        <v>62.957142857142856</v>
      </c>
      <c r="CM43" s="350">
        <f>BM43</f>
        <v>65.95714285714287</v>
      </c>
      <c r="CN43" s="350">
        <f>CM43</f>
        <v>65.95714285714287</v>
      </c>
      <c r="CO43" s="351">
        <f t="shared" si="23"/>
        <v>90.820879358891034</v>
      </c>
      <c r="CP43" s="351">
        <f t="shared" si="66"/>
        <v>110.10683964513976</v>
      </c>
      <c r="CQ43" s="289"/>
    </row>
    <row r="44" spans="1:95" s="146" customFormat="1" ht="21.75" customHeight="1">
      <c r="A44" s="78">
        <v>3</v>
      </c>
      <c r="B44" s="83" t="s">
        <v>251</v>
      </c>
      <c r="C44" s="78" t="s">
        <v>242</v>
      </c>
      <c r="D44" s="83">
        <f>'[1]B5 GD&amp;DT va KHCN'!$K$21</f>
        <v>4</v>
      </c>
      <c r="E44" s="83">
        <v>8</v>
      </c>
      <c r="F44" s="8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>
        <v>10</v>
      </c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>
        <v>7</v>
      </c>
      <c r="AJ44" s="83"/>
      <c r="AK44" s="83"/>
      <c r="AL44" s="83"/>
      <c r="AM44" s="83"/>
      <c r="AN44" s="83"/>
      <c r="AO44" s="83"/>
      <c r="AP44" s="83"/>
      <c r="AQ44" s="83"/>
      <c r="AR44" s="83"/>
      <c r="AS44" s="83"/>
      <c r="AT44" s="83"/>
      <c r="AU44" s="83"/>
      <c r="AV44" s="83"/>
      <c r="AW44" s="83"/>
      <c r="AX44" s="83">
        <v>7</v>
      </c>
      <c r="AY44" s="83"/>
      <c r="AZ44" s="83"/>
      <c r="BA44" s="83"/>
      <c r="BB44" s="83"/>
      <c r="BC44" s="83"/>
      <c r="BD44" s="83"/>
      <c r="BE44" s="83"/>
      <c r="BF44" s="83"/>
      <c r="BG44" s="83"/>
      <c r="BH44" s="83"/>
      <c r="BI44" s="83"/>
      <c r="BJ44" s="83"/>
      <c r="BK44" s="83"/>
      <c r="BL44" s="83"/>
      <c r="BM44" s="83">
        <v>1</v>
      </c>
      <c r="BN44" s="83"/>
      <c r="BO44" s="83"/>
      <c r="BP44" s="83"/>
      <c r="BQ44" s="83"/>
      <c r="BR44" s="83"/>
      <c r="BS44" s="83"/>
      <c r="BT44" s="83"/>
      <c r="BU44" s="83"/>
      <c r="BV44" s="83"/>
      <c r="BW44" s="83"/>
      <c r="BX44" s="83"/>
      <c r="BY44" s="83"/>
      <c r="BZ44" s="83"/>
      <c r="CA44" s="83"/>
      <c r="CB44" s="83">
        <f>BM44+AI44+AX44+T44+E44</f>
        <v>33</v>
      </c>
      <c r="CH44" s="349">
        <v>0</v>
      </c>
      <c r="CI44" s="349">
        <v>1</v>
      </c>
      <c r="CJ44" s="349">
        <v>7</v>
      </c>
      <c r="CK44" s="349">
        <v>8</v>
      </c>
      <c r="CL44" s="349">
        <v>8</v>
      </c>
      <c r="CM44" s="349">
        <v>1</v>
      </c>
      <c r="CN44" s="349">
        <v>17</v>
      </c>
      <c r="CO44" s="351">
        <f t="shared" si="23"/>
        <v>24.242424242424242</v>
      </c>
      <c r="CP44" s="351">
        <f t="shared" si="24"/>
        <v>212.5</v>
      </c>
      <c r="CQ44" s="289"/>
    </row>
    <row r="45" spans="1:95" s="16" customFormat="1" ht="45">
      <c r="A45" s="85"/>
      <c r="B45" s="86" t="s">
        <v>252</v>
      </c>
      <c r="C45" s="85" t="s">
        <v>242</v>
      </c>
      <c r="D45" s="86">
        <f>'[1]B5 GD&amp;DT va KHCN'!$K$22</f>
        <v>0</v>
      </c>
      <c r="E45" s="86">
        <v>0</v>
      </c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>
        <v>0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86">
        <v>0</v>
      </c>
      <c r="AJ45" s="86"/>
      <c r="AK45" s="86"/>
      <c r="AL45" s="86"/>
      <c r="AM45" s="86"/>
      <c r="AN45" s="86"/>
      <c r="AO45" s="86"/>
      <c r="AP45" s="86"/>
      <c r="AQ45" s="86"/>
      <c r="AR45" s="86"/>
      <c r="AS45" s="86"/>
      <c r="AT45" s="86"/>
      <c r="AU45" s="86"/>
      <c r="AV45" s="86"/>
      <c r="AW45" s="86"/>
      <c r="AX45" s="86">
        <v>0</v>
      </c>
      <c r="AY45" s="86"/>
      <c r="AZ45" s="86"/>
      <c r="BA45" s="86"/>
      <c r="BB45" s="86"/>
      <c r="BC45" s="86"/>
      <c r="BD45" s="86"/>
      <c r="BE45" s="86"/>
      <c r="BF45" s="86"/>
      <c r="BG45" s="86"/>
      <c r="BH45" s="86"/>
      <c r="BI45" s="86"/>
      <c r="BJ45" s="86"/>
      <c r="BK45" s="86"/>
      <c r="BL45" s="86"/>
      <c r="BM45" s="86">
        <v>0</v>
      </c>
      <c r="BN45" s="86"/>
      <c r="BO45" s="86"/>
      <c r="BP45" s="86"/>
      <c r="BQ45" s="86"/>
      <c r="BR45" s="86"/>
      <c r="BS45" s="86"/>
      <c r="BT45" s="86"/>
      <c r="BU45" s="86"/>
      <c r="BV45" s="86"/>
      <c r="BW45" s="86"/>
      <c r="BX45" s="86"/>
      <c r="BY45" s="86"/>
      <c r="BZ45" s="86"/>
      <c r="CA45" s="86"/>
      <c r="CB45" s="86">
        <f>BM45+AI45+AX45+T45+E45</f>
        <v>0</v>
      </c>
      <c r="CH45" s="354"/>
      <c r="CI45" s="354"/>
      <c r="CJ45" s="354"/>
      <c r="CK45" s="354">
        <v>0</v>
      </c>
      <c r="CL45" s="354">
        <v>1</v>
      </c>
      <c r="CM45" s="354"/>
      <c r="CN45" s="354">
        <v>1</v>
      </c>
      <c r="CO45" s="351"/>
      <c r="CP45" s="351"/>
      <c r="CQ45" s="208"/>
    </row>
    <row r="46" spans="1:95" s="146" customFormat="1" ht="57" customHeight="1">
      <c r="A46" s="80">
        <v>4</v>
      </c>
      <c r="B46" s="84" t="s">
        <v>253</v>
      </c>
      <c r="C46" s="80" t="s">
        <v>254</v>
      </c>
      <c r="D46" s="294">
        <f>'[1]B5 GD&amp;DT va KHCN'!$K$23</f>
        <v>3008</v>
      </c>
      <c r="E46" s="120">
        <v>80</v>
      </c>
      <c r="F46" s="120"/>
      <c r="G46" s="120"/>
      <c r="H46" s="120"/>
      <c r="I46" s="120"/>
      <c r="J46" s="120"/>
      <c r="K46" s="120"/>
      <c r="L46" s="120"/>
      <c r="M46" s="120"/>
      <c r="N46" s="120"/>
      <c r="O46" s="120"/>
      <c r="P46" s="120"/>
      <c r="Q46" s="120"/>
      <c r="R46" s="120"/>
      <c r="S46" s="120"/>
      <c r="T46" s="120">
        <v>80</v>
      </c>
      <c r="U46" s="120"/>
      <c r="V46" s="120"/>
      <c r="W46" s="120"/>
      <c r="X46" s="120"/>
      <c r="Y46" s="120"/>
      <c r="Z46" s="120"/>
      <c r="AA46" s="120"/>
      <c r="AB46" s="120"/>
      <c r="AC46" s="120"/>
      <c r="AD46" s="120"/>
      <c r="AE46" s="120"/>
      <c r="AF46" s="120"/>
      <c r="AG46" s="120"/>
      <c r="AH46" s="120"/>
      <c r="AI46" s="120">
        <v>80</v>
      </c>
      <c r="AJ46" s="120"/>
      <c r="AK46" s="120"/>
      <c r="AL46" s="120"/>
      <c r="AM46" s="120"/>
      <c r="AN46" s="120"/>
      <c r="AO46" s="120"/>
      <c r="AP46" s="120"/>
      <c r="AQ46" s="120"/>
      <c r="AR46" s="120"/>
      <c r="AS46" s="120"/>
      <c r="AT46" s="120"/>
      <c r="AU46" s="120"/>
      <c r="AV46" s="120"/>
      <c r="AW46" s="120"/>
      <c r="AX46" s="120">
        <v>80</v>
      </c>
      <c r="AY46" s="120"/>
      <c r="AZ46" s="120"/>
      <c r="BA46" s="120"/>
      <c r="BB46" s="120"/>
      <c r="BC46" s="120"/>
      <c r="BD46" s="120"/>
      <c r="BE46" s="120"/>
      <c r="BF46" s="120"/>
      <c r="BG46" s="120"/>
      <c r="BH46" s="120"/>
      <c r="BI46" s="120"/>
      <c r="BJ46" s="120"/>
      <c r="BK46" s="120"/>
      <c r="BL46" s="120"/>
      <c r="BM46" s="120">
        <v>80</v>
      </c>
      <c r="BN46" s="120"/>
      <c r="BO46" s="120"/>
      <c r="BP46" s="120"/>
      <c r="BQ46" s="120"/>
      <c r="BR46" s="120"/>
      <c r="BS46" s="120"/>
      <c r="BT46" s="120"/>
      <c r="BU46" s="120"/>
      <c r="BV46" s="120"/>
      <c r="BW46" s="120"/>
      <c r="BX46" s="120"/>
      <c r="BY46" s="120"/>
      <c r="BZ46" s="120"/>
      <c r="CA46" s="120"/>
      <c r="CB46" s="120">
        <f>BM46+AI46+AX46+T46+E46</f>
        <v>400</v>
      </c>
      <c r="CH46" s="355">
        <v>16</v>
      </c>
      <c r="CI46" s="355">
        <v>222</v>
      </c>
      <c r="CJ46" s="355">
        <v>377</v>
      </c>
      <c r="CK46" s="355">
        <v>615</v>
      </c>
      <c r="CL46" s="355">
        <v>150</v>
      </c>
      <c r="CM46" s="355">
        <v>120</v>
      </c>
      <c r="CN46" s="355">
        <v>885</v>
      </c>
      <c r="CO46" s="360">
        <f t="shared" si="23"/>
        <v>153.75</v>
      </c>
      <c r="CP46" s="360">
        <f t="shared" si="24"/>
        <v>143.90243902439025</v>
      </c>
      <c r="CQ46" s="295"/>
    </row>
  </sheetData>
  <mergeCells count="13">
    <mergeCell ref="CH4:CN4"/>
    <mergeCell ref="CO4:CP4"/>
    <mergeCell ref="CQ4:CQ5"/>
    <mergeCell ref="E4:BM4"/>
    <mergeCell ref="A1:CB1"/>
    <mergeCell ref="A4:A5"/>
    <mergeCell ref="B4:B5"/>
    <mergeCell ref="C4:C5"/>
    <mergeCell ref="D4:D5"/>
    <mergeCell ref="BN4:CA4"/>
    <mergeCell ref="CB4:CB5"/>
    <mergeCell ref="A2:CQ2"/>
    <mergeCell ref="A3:CQ3"/>
  </mergeCells>
  <pageMargins left="0.2" right="0.22" top="0.74803149606299202" bottom="0.74803149606299202" header="0.31496062992126" footer="0.31496062992126"/>
  <pageSetup paperSize="9" scale="70" orientation="landscape" r:id="rId1"/>
  <headerFooter>
    <oddHeader>Page &amp;P</oddHeader>
  </headerFooter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CO54"/>
  <sheetViews>
    <sheetView zoomScale="85" zoomScaleNormal="85" workbookViewId="0">
      <pane xSplit="3" ySplit="5" topLeftCell="D43" activePane="bottomRight" state="frozen"/>
      <selection activeCell="CG77" activeCellId="1" sqref="CC77:CE77 CG77"/>
      <selection pane="topRight" activeCell="CG77" activeCellId="1" sqref="CC77:CE77 CG77"/>
      <selection pane="bottomLeft" activeCell="CG77" activeCellId="1" sqref="CC77:CE77 CG77"/>
      <selection pane="bottomRight" activeCell="CG77" activeCellId="1" sqref="CC77:CE77 CG77"/>
    </sheetView>
  </sheetViews>
  <sheetFormatPr defaultRowHeight="15.75"/>
  <cols>
    <col min="1" max="1" width="6.7109375" style="2" customWidth="1"/>
    <col min="2" max="2" width="32.7109375" style="23" customWidth="1"/>
    <col min="3" max="3" width="6.5703125" style="2" customWidth="1"/>
    <col min="4" max="4" width="9.140625" style="6" customWidth="1"/>
    <col min="5" max="5" width="9" style="6" customWidth="1"/>
    <col min="6" max="6" width="9.140625" style="6" hidden="1" customWidth="1"/>
    <col min="7" max="9" width="10.28515625" style="6" hidden="1" customWidth="1"/>
    <col min="10" max="10" width="10.140625" style="6" hidden="1" customWidth="1"/>
    <col min="11" max="12" width="10.42578125" style="6" hidden="1" customWidth="1"/>
    <col min="13" max="14" width="10.28515625" style="6" hidden="1" customWidth="1"/>
    <col min="15" max="15" width="10" style="6" hidden="1" customWidth="1"/>
    <col min="16" max="16" width="10.28515625" style="6" hidden="1" customWidth="1"/>
    <col min="17" max="18" width="10" style="6" hidden="1" customWidth="1"/>
    <col min="19" max="19" width="9.7109375" style="6" hidden="1" customWidth="1"/>
    <col min="20" max="20" width="9.140625" style="6" customWidth="1"/>
    <col min="21" max="21" width="9.140625" style="6" hidden="1" customWidth="1"/>
    <col min="22" max="23" width="10" style="6" hidden="1" customWidth="1"/>
    <col min="24" max="25" width="10.28515625" style="6" hidden="1" customWidth="1"/>
    <col min="26" max="26" width="10" style="6" hidden="1" customWidth="1"/>
    <col min="27" max="30" width="9.7109375" style="6" hidden="1" customWidth="1"/>
    <col min="31" max="31" width="10.140625" style="6" hidden="1" customWidth="1"/>
    <col min="32" max="32" width="9.7109375" style="6" hidden="1" customWidth="1"/>
    <col min="33" max="33" width="9.5703125" style="6" hidden="1" customWidth="1"/>
    <col min="34" max="34" width="10.140625" style="6" hidden="1" customWidth="1"/>
    <col min="35" max="35" width="9" style="6" customWidth="1"/>
    <col min="36" max="49" width="9.7109375" style="6" hidden="1" customWidth="1"/>
    <col min="50" max="50" width="9.140625" style="6" customWidth="1"/>
    <col min="51" max="64" width="10" style="6" hidden="1" customWidth="1"/>
    <col min="65" max="65" width="8.7109375" style="6" customWidth="1"/>
    <col min="66" max="79" width="9.5703125" style="6" hidden="1" customWidth="1"/>
    <col min="80" max="80" width="10.140625" style="6" customWidth="1"/>
    <col min="81" max="81" width="0" hidden="1" customWidth="1"/>
    <col min="91" max="91" width="7" customWidth="1"/>
  </cols>
  <sheetData>
    <row r="1" spans="1:93" ht="15" customHeight="1">
      <c r="A1" s="538" t="s">
        <v>255</v>
      </c>
      <c r="B1" s="538"/>
      <c r="C1" s="538"/>
      <c r="D1" s="538"/>
      <c r="E1" s="538"/>
      <c r="F1" s="538"/>
      <c r="G1" s="538"/>
      <c r="H1" s="538"/>
      <c r="I1" s="538"/>
      <c r="J1" s="538"/>
      <c r="K1" s="538"/>
      <c r="L1" s="538"/>
      <c r="M1" s="538"/>
      <c r="N1" s="538"/>
      <c r="O1" s="538"/>
      <c r="P1" s="538"/>
      <c r="Q1" s="538"/>
      <c r="R1" s="538"/>
      <c r="S1" s="538"/>
      <c r="T1" s="538"/>
      <c r="U1" s="538"/>
      <c r="V1" s="538"/>
      <c r="W1" s="538"/>
      <c r="X1" s="538"/>
      <c r="Y1" s="538"/>
      <c r="Z1" s="538"/>
      <c r="AA1" s="538"/>
      <c r="AB1" s="538"/>
      <c r="AC1" s="538"/>
      <c r="AD1" s="538"/>
      <c r="AE1" s="538"/>
      <c r="AF1" s="538"/>
      <c r="AG1" s="538"/>
      <c r="AH1" s="538"/>
      <c r="AI1" s="538"/>
      <c r="AJ1" s="538"/>
      <c r="AK1" s="538"/>
      <c r="AL1" s="538"/>
      <c r="AM1" s="538"/>
      <c r="AN1" s="538"/>
      <c r="AO1" s="538"/>
      <c r="AP1" s="538"/>
      <c r="AQ1" s="538"/>
      <c r="AR1" s="538"/>
      <c r="AS1" s="538"/>
      <c r="AT1" s="538"/>
      <c r="AU1" s="538"/>
      <c r="AV1" s="538"/>
      <c r="AW1" s="538"/>
      <c r="AX1" s="538"/>
      <c r="AY1" s="538"/>
      <c r="AZ1" s="538"/>
      <c r="BA1" s="538"/>
      <c r="BB1" s="538"/>
      <c r="BC1" s="538"/>
      <c r="BD1" s="538"/>
      <c r="BE1" s="538"/>
      <c r="BF1" s="538"/>
      <c r="BG1" s="538"/>
      <c r="BH1" s="538"/>
      <c r="BI1" s="538"/>
      <c r="BJ1" s="538"/>
      <c r="BK1" s="538"/>
      <c r="BL1" s="538"/>
      <c r="BM1" s="538"/>
      <c r="BN1" s="538"/>
      <c r="BO1" s="538"/>
      <c r="BP1" s="538"/>
      <c r="BQ1" s="538"/>
      <c r="BR1" s="538"/>
      <c r="BS1" s="538"/>
      <c r="BT1" s="538"/>
      <c r="BU1" s="538"/>
      <c r="BV1" s="538"/>
      <c r="BW1" s="538"/>
      <c r="BX1" s="538"/>
      <c r="BY1" s="538"/>
      <c r="BZ1" s="538"/>
      <c r="CA1" s="538"/>
      <c r="CB1" s="538"/>
    </row>
    <row r="2" spans="1:93" ht="18.75" customHeight="1">
      <c r="A2" s="558" t="s">
        <v>256</v>
      </c>
      <c r="B2" s="558"/>
      <c r="C2" s="558"/>
      <c r="D2" s="558"/>
      <c r="E2" s="558"/>
      <c r="F2" s="558"/>
      <c r="G2" s="558"/>
      <c r="H2" s="558"/>
      <c r="I2" s="558"/>
      <c r="J2" s="558"/>
      <c r="K2" s="558"/>
      <c r="L2" s="558"/>
      <c r="M2" s="558"/>
      <c r="N2" s="558"/>
      <c r="O2" s="558"/>
      <c r="P2" s="558"/>
      <c r="Q2" s="558"/>
      <c r="R2" s="558"/>
      <c r="S2" s="558"/>
      <c r="T2" s="558"/>
      <c r="U2" s="558"/>
      <c r="V2" s="558"/>
      <c r="W2" s="558"/>
      <c r="X2" s="558"/>
      <c r="Y2" s="558"/>
      <c r="Z2" s="558"/>
      <c r="AA2" s="558"/>
      <c r="AB2" s="558"/>
      <c r="AC2" s="558"/>
      <c r="AD2" s="558"/>
      <c r="AE2" s="558"/>
      <c r="AF2" s="558"/>
      <c r="AG2" s="558"/>
      <c r="AH2" s="558"/>
      <c r="AI2" s="558"/>
      <c r="AJ2" s="558"/>
      <c r="AK2" s="558"/>
      <c r="AL2" s="558"/>
      <c r="AM2" s="558"/>
      <c r="AN2" s="558"/>
      <c r="AO2" s="558"/>
      <c r="AP2" s="558"/>
      <c r="AQ2" s="558"/>
      <c r="AR2" s="558"/>
      <c r="AS2" s="558"/>
      <c r="AT2" s="558"/>
      <c r="AU2" s="558"/>
      <c r="AV2" s="558"/>
      <c r="AW2" s="558"/>
      <c r="AX2" s="558"/>
      <c r="AY2" s="558"/>
      <c r="AZ2" s="558"/>
      <c r="BA2" s="558"/>
      <c r="BB2" s="558"/>
      <c r="BC2" s="558"/>
      <c r="BD2" s="558"/>
      <c r="BE2" s="558"/>
      <c r="BF2" s="558"/>
      <c r="BG2" s="558"/>
      <c r="BH2" s="558"/>
      <c r="BI2" s="558"/>
      <c r="BJ2" s="558"/>
      <c r="BK2" s="558"/>
      <c r="BL2" s="558"/>
      <c r="BM2" s="558"/>
      <c r="BN2" s="558"/>
      <c r="BO2" s="558"/>
      <c r="BP2" s="558"/>
      <c r="BQ2" s="558"/>
      <c r="BR2" s="558"/>
      <c r="BS2" s="558"/>
      <c r="BT2" s="558"/>
      <c r="BU2" s="558"/>
      <c r="BV2" s="558"/>
      <c r="BW2" s="558"/>
      <c r="BX2" s="558"/>
      <c r="BY2" s="558"/>
      <c r="BZ2" s="558"/>
      <c r="CA2" s="558"/>
      <c r="CB2" s="558"/>
      <c r="CC2" s="558"/>
      <c r="CD2" s="558"/>
      <c r="CE2" s="558"/>
      <c r="CF2" s="558"/>
      <c r="CG2" s="558"/>
      <c r="CH2" s="558"/>
      <c r="CI2" s="558"/>
      <c r="CJ2" s="558"/>
      <c r="CK2" s="558"/>
      <c r="CL2" s="558"/>
      <c r="CM2" s="558"/>
    </row>
    <row r="3" spans="1:93" ht="21.75" customHeight="1">
      <c r="A3" s="559" t="str">
        <f>'B1 TH'!A3:J3</f>
        <v>(Kèm theo Báo cáo số 545-BC/HU, ngày 02/10/2024 của BTV Huyện ủy)</v>
      </c>
      <c r="B3" s="559"/>
      <c r="C3" s="559"/>
      <c r="D3" s="559"/>
      <c r="E3" s="559"/>
      <c r="F3" s="559"/>
      <c r="G3" s="559"/>
      <c r="H3" s="559"/>
      <c r="I3" s="559"/>
      <c r="J3" s="559"/>
      <c r="K3" s="559"/>
      <c r="L3" s="559"/>
      <c r="M3" s="559"/>
      <c r="N3" s="559"/>
      <c r="O3" s="559"/>
      <c r="P3" s="559"/>
      <c r="Q3" s="559"/>
      <c r="R3" s="559"/>
      <c r="S3" s="559"/>
      <c r="T3" s="559"/>
      <c r="U3" s="559"/>
      <c r="V3" s="559"/>
      <c r="W3" s="559"/>
      <c r="X3" s="559"/>
      <c r="Y3" s="559"/>
      <c r="Z3" s="559"/>
      <c r="AA3" s="559"/>
      <c r="AB3" s="559"/>
      <c r="AC3" s="559"/>
      <c r="AD3" s="559"/>
      <c r="AE3" s="559"/>
      <c r="AF3" s="559"/>
      <c r="AG3" s="559"/>
      <c r="AH3" s="559"/>
      <c r="AI3" s="559"/>
      <c r="AJ3" s="559"/>
      <c r="AK3" s="559"/>
      <c r="AL3" s="559"/>
      <c r="AM3" s="559"/>
      <c r="AN3" s="559"/>
      <c r="AO3" s="559"/>
      <c r="AP3" s="559"/>
      <c r="AQ3" s="559"/>
      <c r="AR3" s="559"/>
      <c r="AS3" s="559"/>
      <c r="AT3" s="559"/>
      <c r="AU3" s="559"/>
      <c r="AV3" s="559"/>
      <c r="AW3" s="559"/>
      <c r="AX3" s="559"/>
      <c r="AY3" s="559"/>
      <c r="AZ3" s="559"/>
      <c r="BA3" s="559"/>
      <c r="BB3" s="559"/>
      <c r="BC3" s="559"/>
      <c r="BD3" s="559"/>
      <c r="BE3" s="559"/>
      <c r="BF3" s="559"/>
      <c r="BG3" s="559"/>
      <c r="BH3" s="559"/>
      <c r="BI3" s="559"/>
      <c r="BJ3" s="559"/>
      <c r="BK3" s="559"/>
      <c r="BL3" s="559"/>
      <c r="BM3" s="559"/>
      <c r="BN3" s="559"/>
      <c r="BO3" s="559"/>
      <c r="BP3" s="559"/>
      <c r="BQ3" s="559"/>
      <c r="BR3" s="559"/>
      <c r="BS3" s="559"/>
      <c r="BT3" s="559"/>
      <c r="BU3" s="559"/>
      <c r="BV3" s="559"/>
      <c r="BW3" s="559"/>
      <c r="BX3" s="559"/>
      <c r="BY3" s="559"/>
      <c r="BZ3" s="559"/>
      <c r="CA3" s="559"/>
      <c r="CB3" s="559"/>
      <c r="CC3" s="559"/>
      <c r="CD3" s="559"/>
      <c r="CE3" s="559"/>
      <c r="CF3" s="559"/>
      <c r="CG3" s="559"/>
      <c r="CH3" s="559"/>
      <c r="CI3" s="559"/>
      <c r="CJ3" s="559"/>
      <c r="CK3" s="559"/>
      <c r="CL3" s="559"/>
      <c r="CM3" s="559"/>
    </row>
    <row r="4" spans="1:93" s="146" customFormat="1" ht="15.75" customHeight="1">
      <c r="A4" s="536" t="s">
        <v>1</v>
      </c>
      <c r="B4" s="539" t="s">
        <v>2</v>
      </c>
      <c r="C4" s="536" t="s">
        <v>3</v>
      </c>
      <c r="D4" s="536" t="s">
        <v>4</v>
      </c>
      <c r="E4" s="546" t="s">
        <v>652</v>
      </c>
      <c r="F4" s="547"/>
      <c r="G4" s="547"/>
      <c r="H4" s="547"/>
      <c r="I4" s="547"/>
      <c r="J4" s="547"/>
      <c r="K4" s="547"/>
      <c r="L4" s="547"/>
      <c r="M4" s="547"/>
      <c r="N4" s="547"/>
      <c r="O4" s="547"/>
      <c r="P4" s="547"/>
      <c r="Q4" s="547"/>
      <c r="R4" s="547"/>
      <c r="S4" s="547"/>
      <c r="T4" s="547"/>
      <c r="U4" s="547"/>
      <c r="V4" s="547"/>
      <c r="W4" s="547"/>
      <c r="X4" s="547"/>
      <c r="Y4" s="547"/>
      <c r="Z4" s="547"/>
      <c r="AA4" s="547"/>
      <c r="AB4" s="547"/>
      <c r="AC4" s="547"/>
      <c r="AD4" s="547"/>
      <c r="AE4" s="547"/>
      <c r="AF4" s="547"/>
      <c r="AG4" s="547"/>
      <c r="AH4" s="547"/>
      <c r="AI4" s="547"/>
      <c r="AJ4" s="547"/>
      <c r="AK4" s="547"/>
      <c r="AL4" s="547"/>
      <c r="AM4" s="547"/>
      <c r="AN4" s="547"/>
      <c r="AO4" s="547"/>
      <c r="AP4" s="547"/>
      <c r="AQ4" s="547"/>
      <c r="AR4" s="547"/>
      <c r="AS4" s="547"/>
      <c r="AT4" s="547"/>
      <c r="AU4" s="547"/>
      <c r="AV4" s="547"/>
      <c r="AW4" s="547"/>
      <c r="AX4" s="547"/>
      <c r="AY4" s="547"/>
      <c r="AZ4" s="547"/>
      <c r="BA4" s="547"/>
      <c r="BB4" s="547"/>
      <c r="BC4" s="547"/>
      <c r="BD4" s="547"/>
      <c r="BE4" s="547"/>
      <c r="BF4" s="547"/>
      <c r="BG4" s="547"/>
      <c r="BH4" s="547"/>
      <c r="BI4" s="547"/>
      <c r="BJ4" s="547"/>
      <c r="BK4" s="547"/>
      <c r="BL4" s="547"/>
      <c r="BM4" s="548"/>
      <c r="BN4" s="536" t="s">
        <v>6</v>
      </c>
      <c r="BO4" s="536"/>
      <c r="BP4" s="536"/>
      <c r="BQ4" s="536"/>
      <c r="BR4" s="536"/>
      <c r="BS4" s="536"/>
      <c r="BT4" s="536"/>
      <c r="BU4" s="536"/>
      <c r="BV4" s="536"/>
      <c r="BW4" s="536"/>
      <c r="BX4" s="536"/>
      <c r="BY4" s="536"/>
      <c r="BZ4" s="536"/>
      <c r="CA4" s="536"/>
      <c r="CB4" s="536" t="s">
        <v>185</v>
      </c>
      <c r="CD4" s="549" t="s">
        <v>653</v>
      </c>
      <c r="CE4" s="550"/>
      <c r="CF4" s="550"/>
      <c r="CG4" s="550"/>
      <c r="CH4" s="550"/>
      <c r="CI4" s="550"/>
      <c r="CJ4" s="551"/>
      <c r="CK4" s="552" t="s">
        <v>661</v>
      </c>
      <c r="CL4" s="553"/>
      <c r="CM4" s="543" t="s">
        <v>319</v>
      </c>
    </row>
    <row r="5" spans="1:93" s="146" customFormat="1" ht="91.5" customHeight="1">
      <c r="A5" s="536"/>
      <c r="B5" s="540"/>
      <c r="C5" s="536"/>
      <c r="D5" s="536"/>
      <c r="E5" s="236" t="s">
        <v>5</v>
      </c>
      <c r="F5" s="238" t="s">
        <v>6</v>
      </c>
      <c r="G5" s="239"/>
      <c r="H5" s="239"/>
      <c r="I5" s="239"/>
      <c r="J5" s="239"/>
      <c r="K5" s="239"/>
      <c r="L5" s="239"/>
      <c r="M5" s="239"/>
      <c r="N5" s="239"/>
      <c r="O5" s="239"/>
      <c r="P5" s="239"/>
      <c r="Q5" s="239"/>
      <c r="R5" s="239"/>
      <c r="S5" s="240"/>
      <c r="T5" s="236" t="s">
        <v>7</v>
      </c>
      <c r="U5" s="238" t="s">
        <v>6</v>
      </c>
      <c r="V5" s="239"/>
      <c r="W5" s="239"/>
      <c r="X5" s="239"/>
      <c r="Y5" s="239"/>
      <c r="Z5" s="239"/>
      <c r="AA5" s="239"/>
      <c r="AB5" s="239"/>
      <c r="AC5" s="239"/>
      <c r="AD5" s="239"/>
      <c r="AE5" s="239"/>
      <c r="AF5" s="239"/>
      <c r="AG5" s="239"/>
      <c r="AH5" s="240"/>
      <c r="AI5" s="236" t="s">
        <v>8</v>
      </c>
      <c r="AJ5" s="238" t="s">
        <v>6</v>
      </c>
      <c r="AK5" s="239"/>
      <c r="AL5" s="239"/>
      <c r="AM5" s="239"/>
      <c r="AN5" s="239"/>
      <c r="AO5" s="239"/>
      <c r="AP5" s="239"/>
      <c r="AQ5" s="239"/>
      <c r="AR5" s="239"/>
      <c r="AS5" s="239"/>
      <c r="AT5" s="239"/>
      <c r="AU5" s="239"/>
      <c r="AV5" s="239"/>
      <c r="AW5" s="240"/>
      <c r="AX5" s="236" t="s">
        <v>9</v>
      </c>
      <c r="AY5" s="238" t="s">
        <v>6</v>
      </c>
      <c r="AZ5" s="239"/>
      <c r="BA5" s="239"/>
      <c r="BB5" s="239"/>
      <c r="BC5" s="239"/>
      <c r="BD5" s="239"/>
      <c r="BE5" s="239"/>
      <c r="BF5" s="239"/>
      <c r="BG5" s="239"/>
      <c r="BH5" s="239"/>
      <c r="BI5" s="239"/>
      <c r="BJ5" s="239"/>
      <c r="BK5" s="239"/>
      <c r="BL5" s="240"/>
      <c r="BM5" s="236" t="s">
        <v>10</v>
      </c>
      <c r="BN5" s="237" t="s">
        <v>12</v>
      </c>
      <c r="BO5" s="237" t="s">
        <v>13</v>
      </c>
      <c r="BP5" s="237" t="s">
        <v>14</v>
      </c>
      <c r="BQ5" s="237" t="s">
        <v>15</v>
      </c>
      <c r="BR5" s="237" t="s">
        <v>16</v>
      </c>
      <c r="BS5" s="237" t="s">
        <v>17</v>
      </c>
      <c r="BT5" s="237" t="s">
        <v>18</v>
      </c>
      <c r="BU5" s="237" t="s">
        <v>19</v>
      </c>
      <c r="BV5" s="237" t="s">
        <v>20</v>
      </c>
      <c r="BW5" s="237" t="s">
        <v>21</v>
      </c>
      <c r="BX5" s="237" t="s">
        <v>22</v>
      </c>
      <c r="BY5" s="237" t="s">
        <v>23</v>
      </c>
      <c r="BZ5" s="237" t="s">
        <v>24</v>
      </c>
      <c r="CA5" s="237" t="s">
        <v>25</v>
      </c>
      <c r="CB5" s="536"/>
      <c r="CD5" s="237" t="s">
        <v>654</v>
      </c>
      <c r="CE5" s="237" t="s">
        <v>655</v>
      </c>
      <c r="CF5" s="237" t="s">
        <v>656</v>
      </c>
      <c r="CG5" s="237" t="s">
        <v>657</v>
      </c>
      <c r="CH5" s="237" t="s">
        <v>658</v>
      </c>
      <c r="CI5" s="237" t="s">
        <v>659</v>
      </c>
      <c r="CJ5" s="201" t="s">
        <v>660</v>
      </c>
      <c r="CK5" s="195" t="s">
        <v>662</v>
      </c>
      <c r="CL5" s="195" t="s">
        <v>663</v>
      </c>
      <c r="CM5" s="544"/>
    </row>
    <row r="6" spans="1:93" s="11" customFormat="1" ht="24" customHeight="1">
      <c r="A6" s="91" t="s">
        <v>219</v>
      </c>
      <c r="B6" s="315" t="s">
        <v>257</v>
      </c>
      <c r="C6" s="91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D6" s="211"/>
      <c r="CE6" s="211"/>
      <c r="CF6" s="211"/>
      <c r="CG6" s="211"/>
      <c r="CH6" s="211"/>
      <c r="CI6" s="211"/>
      <c r="CJ6" s="211"/>
      <c r="CK6" s="211"/>
      <c r="CL6" s="211"/>
      <c r="CM6" s="211"/>
    </row>
    <row r="7" spans="1:93" s="178" customFormat="1" ht="27" customHeight="1">
      <c r="A7" s="316"/>
      <c r="B7" s="317" t="s">
        <v>258</v>
      </c>
      <c r="C7" s="316" t="s">
        <v>254</v>
      </c>
      <c r="D7" s="173">
        <f>'[1]B6 Linh vuc xa hoi'!$K$7</f>
        <v>46857</v>
      </c>
      <c r="E7" s="173">
        <f>SUM(F7:S7)</f>
        <v>48002</v>
      </c>
      <c r="F7" s="173">
        <v>5648</v>
      </c>
      <c r="G7" s="173">
        <v>3919</v>
      </c>
      <c r="H7" s="173">
        <v>3067</v>
      </c>
      <c r="I7" s="173">
        <v>1721</v>
      </c>
      <c r="J7" s="173">
        <v>4560</v>
      </c>
      <c r="K7" s="173">
        <v>2277</v>
      </c>
      <c r="L7" s="173">
        <v>2756</v>
      </c>
      <c r="M7" s="173">
        <v>3628</v>
      </c>
      <c r="N7" s="173">
        <v>3493</v>
      </c>
      <c r="O7" s="173">
        <v>1874</v>
      </c>
      <c r="P7" s="173">
        <v>2656</v>
      </c>
      <c r="Q7" s="173">
        <v>2574</v>
      </c>
      <c r="R7" s="173">
        <v>2442</v>
      </c>
      <c r="S7" s="173">
        <v>7387</v>
      </c>
      <c r="T7" s="173">
        <f>SUM(U7:AH7)</f>
        <v>48724</v>
      </c>
      <c r="U7" s="173">
        <v>5710</v>
      </c>
      <c r="V7" s="173">
        <v>3969</v>
      </c>
      <c r="W7" s="173">
        <v>3112</v>
      </c>
      <c r="X7" s="173">
        <v>1761</v>
      </c>
      <c r="Y7" s="173">
        <v>4620</v>
      </c>
      <c r="Z7" s="173">
        <v>2316</v>
      </c>
      <c r="AA7" s="173">
        <v>2812</v>
      </c>
      <c r="AB7" s="173">
        <v>3681</v>
      </c>
      <c r="AC7" s="173">
        <v>3550</v>
      </c>
      <c r="AD7" s="173">
        <v>1927</v>
      </c>
      <c r="AE7" s="173">
        <v>2711</v>
      </c>
      <c r="AF7" s="173">
        <v>2630</v>
      </c>
      <c r="AG7" s="173">
        <v>2466</v>
      </c>
      <c r="AH7" s="173">
        <v>7459</v>
      </c>
      <c r="AI7" s="173">
        <f>SUM(AJ7:AW7)</f>
        <v>49428.717734501413</v>
      </c>
      <c r="AJ7" s="173">
        <v>5772</v>
      </c>
      <c r="AK7" s="173">
        <v>4019</v>
      </c>
      <c r="AL7" s="173">
        <v>3158</v>
      </c>
      <c r="AM7" s="173">
        <v>1809</v>
      </c>
      <c r="AN7" s="173">
        <v>4675</v>
      </c>
      <c r="AO7" s="173">
        <v>2357</v>
      </c>
      <c r="AP7" s="173">
        <v>2861</v>
      </c>
      <c r="AQ7" s="173">
        <v>3730</v>
      </c>
      <c r="AR7" s="173">
        <v>3594</v>
      </c>
      <c r="AS7" s="173">
        <v>1970.8686173264487</v>
      </c>
      <c r="AT7" s="173">
        <v>2763</v>
      </c>
      <c r="AU7" s="173">
        <v>2677.8491171749602</v>
      </c>
      <c r="AV7" s="173">
        <v>2514</v>
      </c>
      <c r="AW7" s="173">
        <v>7528</v>
      </c>
      <c r="AX7" s="173">
        <f>SUM(AY7:BL7)</f>
        <v>50122</v>
      </c>
      <c r="AY7" s="173">
        <v>5834</v>
      </c>
      <c r="AZ7" s="173">
        <v>4071</v>
      </c>
      <c r="BA7" s="173">
        <v>3204</v>
      </c>
      <c r="BB7" s="173">
        <v>1843</v>
      </c>
      <c r="BC7" s="173">
        <v>4734</v>
      </c>
      <c r="BD7" s="173">
        <v>2396</v>
      </c>
      <c r="BE7" s="173">
        <v>2910</v>
      </c>
      <c r="BF7" s="173">
        <v>3781</v>
      </c>
      <c r="BG7" s="173">
        <v>3638</v>
      </c>
      <c r="BH7" s="173">
        <v>2017</v>
      </c>
      <c r="BI7" s="173">
        <v>2817</v>
      </c>
      <c r="BJ7" s="173">
        <v>2726</v>
      </c>
      <c r="BK7" s="173">
        <v>2560</v>
      </c>
      <c r="BL7" s="173">
        <v>7591</v>
      </c>
      <c r="BM7" s="173">
        <f>SUM(BN7:CA7)</f>
        <v>50801</v>
      </c>
      <c r="BN7" s="173">
        <v>5899</v>
      </c>
      <c r="BO7" s="173">
        <v>4116</v>
      </c>
      <c r="BP7" s="173">
        <v>3248</v>
      </c>
      <c r="BQ7" s="173">
        <v>1881</v>
      </c>
      <c r="BR7" s="173">
        <v>4789</v>
      </c>
      <c r="BS7" s="173">
        <v>2438</v>
      </c>
      <c r="BT7" s="173">
        <v>2967</v>
      </c>
      <c r="BU7" s="173">
        <v>3825</v>
      </c>
      <c r="BV7" s="173">
        <v>3668</v>
      </c>
      <c r="BW7" s="173">
        <v>2062</v>
      </c>
      <c r="BX7" s="173">
        <v>2866</v>
      </c>
      <c r="BY7" s="173">
        <v>2772</v>
      </c>
      <c r="BZ7" s="173">
        <v>2606</v>
      </c>
      <c r="CA7" s="173">
        <v>7664</v>
      </c>
      <c r="CB7" s="173">
        <f>BM7</f>
        <v>50801</v>
      </c>
      <c r="CD7" s="356">
        <v>47872</v>
      </c>
      <c r="CE7" s="356">
        <v>48252</v>
      </c>
      <c r="CF7" s="356">
        <v>48858</v>
      </c>
      <c r="CG7" s="356">
        <v>48858</v>
      </c>
      <c r="CH7" s="356">
        <v>49684</v>
      </c>
      <c r="CI7" s="356">
        <v>50403</v>
      </c>
      <c r="CJ7" s="356">
        <v>50403</v>
      </c>
      <c r="CK7" s="351">
        <f>CG7/CB7%</f>
        <v>96.175272140312202</v>
      </c>
      <c r="CL7" s="351">
        <f>CJ7/CB7%</f>
        <v>99.216550855298124</v>
      </c>
      <c r="CM7" s="289"/>
    </row>
    <row r="8" spans="1:93" s="180" customFormat="1" ht="27.75" customHeight="1">
      <c r="A8" s="187"/>
      <c r="B8" s="318" t="s">
        <v>259</v>
      </c>
      <c r="C8" s="187" t="s">
        <v>254</v>
      </c>
      <c r="D8" s="319">
        <f>'[1]B6 Linh vuc xa hoi'!$K$8</f>
        <v>41311</v>
      </c>
      <c r="E8" s="319">
        <f>SUM(F8:S8)</f>
        <v>42354</v>
      </c>
      <c r="F8" s="319"/>
      <c r="G8" s="319">
        <v>3919</v>
      </c>
      <c r="H8" s="319">
        <v>3067</v>
      </c>
      <c r="I8" s="319">
        <v>1721</v>
      </c>
      <c r="J8" s="319">
        <v>4560</v>
      </c>
      <c r="K8" s="319">
        <v>2277</v>
      </c>
      <c r="L8" s="319">
        <v>2756</v>
      </c>
      <c r="M8" s="319">
        <v>3628</v>
      </c>
      <c r="N8" s="319">
        <v>3493</v>
      </c>
      <c r="O8" s="319">
        <v>1874</v>
      </c>
      <c r="P8" s="319">
        <v>2656</v>
      </c>
      <c r="Q8" s="319">
        <v>2574</v>
      </c>
      <c r="R8" s="319">
        <v>2442</v>
      </c>
      <c r="S8" s="319">
        <v>7387</v>
      </c>
      <c r="T8" s="319">
        <f>SUM(U8:AH8)</f>
        <v>43014</v>
      </c>
      <c r="U8" s="319"/>
      <c r="V8" s="319">
        <v>3969</v>
      </c>
      <c r="W8" s="319">
        <v>3112</v>
      </c>
      <c r="X8" s="319">
        <v>1761</v>
      </c>
      <c r="Y8" s="319">
        <v>4620</v>
      </c>
      <c r="Z8" s="319">
        <v>2316</v>
      </c>
      <c r="AA8" s="319">
        <v>2812</v>
      </c>
      <c r="AB8" s="319">
        <v>3681</v>
      </c>
      <c r="AC8" s="319">
        <v>3550</v>
      </c>
      <c r="AD8" s="319">
        <v>1927</v>
      </c>
      <c r="AE8" s="319">
        <v>2711</v>
      </c>
      <c r="AF8" s="319">
        <v>2630</v>
      </c>
      <c r="AG8" s="319">
        <v>2466</v>
      </c>
      <c r="AH8" s="319">
        <v>7459</v>
      </c>
      <c r="AI8" s="319">
        <f>SUM(AJ8:AW8)</f>
        <v>43657</v>
      </c>
      <c r="AJ8" s="319"/>
      <c r="AK8" s="319">
        <v>4019</v>
      </c>
      <c r="AL8" s="319">
        <v>3158</v>
      </c>
      <c r="AM8" s="319">
        <v>1809</v>
      </c>
      <c r="AN8" s="319">
        <v>4675</v>
      </c>
      <c r="AO8" s="319">
        <v>2357</v>
      </c>
      <c r="AP8" s="319">
        <v>2861</v>
      </c>
      <c r="AQ8" s="319">
        <v>3730</v>
      </c>
      <c r="AR8" s="319">
        <v>3594</v>
      </c>
      <c r="AS8" s="319">
        <v>1971</v>
      </c>
      <c r="AT8" s="319">
        <v>2763</v>
      </c>
      <c r="AU8" s="319">
        <v>2678</v>
      </c>
      <c r="AV8" s="319">
        <v>2514</v>
      </c>
      <c r="AW8" s="319">
        <v>7528</v>
      </c>
      <c r="AX8" s="319">
        <f>SUM(AY8:BL8)</f>
        <v>44288</v>
      </c>
      <c r="AY8" s="319"/>
      <c r="AZ8" s="319">
        <v>4071</v>
      </c>
      <c r="BA8" s="319">
        <v>3204</v>
      </c>
      <c r="BB8" s="319">
        <v>1843</v>
      </c>
      <c r="BC8" s="319">
        <v>4734</v>
      </c>
      <c r="BD8" s="319">
        <v>2396</v>
      </c>
      <c r="BE8" s="319">
        <v>2910</v>
      </c>
      <c r="BF8" s="319">
        <v>3781</v>
      </c>
      <c r="BG8" s="319">
        <v>3638</v>
      </c>
      <c r="BH8" s="319">
        <v>2017</v>
      </c>
      <c r="BI8" s="319">
        <v>2817</v>
      </c>
      <c r="BJ8" s="319">
        <v>2726</v>
      </c>
      <c r="BK8" s="319">
        <v>2560</v>
      </c>
      <c r="BL8" s="319">
        <v>7591</v>
      </c>
      <c r="BM8" s="319">
        <f>SUM(BN8:CA8)</f>
        <v>44902</v>
      </c>
      <c r="BN8" s="319"/>
      <c r="BO8" s="319">
        <v>4116</v>
      </c>
      <c r="BP8" s="319">
        <v>3248</v>
      </c>
      <c r="BQ8" s="319">
        <v>1881</v>
      </c>
      <c r="BR8" s="319">
        <v>4789</v>
      </c>
      <c r="BS8" s="319">
        <v>2438</v>
      </c>
      <c r="BT8" s="319">
        <v>2967</v>
      </c>
      <c r="BU8" s="319">
        <v>3825</v>
      </c>
      <c r="BV8" s="319">
        <v>3668</v>
      </c>
      <c r="BW8" s="319">
        <v>2062</v>
      </c>
      <c r="BX8" s="319">
        <v>2866</v>
      </c>
      <c r="BY8" s="319">
        <v>2772</v>
      </c>
      <c r="BZ8" s="319">
        <v>2606</v>
      </c>
      <c r="CA8" s="319">
        <v>7664</v>
      </c>
      <c r="CB8" s="319">
        <f>BM8</f>
        <v>44902</v>
      </c>
      <c r="CC8" s="179">
        <f>BM7-BM8</f>
        <v>5899</v>
      </c>
      <c r="CD8" s="349">
        <v>41918</v>
      </c>
      <c r="CE8" s="349">
        <v>42267</v>
      </c>
      <c r="CF8" s="349">
        <v>42772</v>
      </c>
      <c r="CG8" s="349">
        <v>42772</v>
      </c>
      <c r="CH8" s="349">
        <v>43403</v>
      </c>
      <c r="CI8" s="349">
        <v>44017</v>
      </c>
      <c r="CJ8" s="349">
        <v>44017</v>
      </c>
      <c r="CK8" s="351">
        <f t="shared" ref="CK8:CK10" si="0">CG8/CB8%</f>
        <v>95.256336020667234</v>
      </c>
      <c r="CL8" s="351">
        <f t="shared" ref="CL8:CL10" si="1">CJ8/CB8%</f>
        <v>98.029041022671606</v>
      </c>
      <c r="CM8" s="289"/>
      <c r="CO8" s="385"/>
    </row>
    <row r="9" spans="1:93" s="181" customFormat="1" ht="29.25" customHeight="1">
      <c r="A9" s="168"/>
      <c r="B9" s="320" t="s">
        <v>260</v>
      </c>
      <c r="C9" s="168" t="s">
        <v>261</v>
      </c>
      <c r="D9" s="288">
        <f>'[1]B6 Linh vuc xa hoi'!$K$9</f>
        <v>0.5</v>
      </c>
      <c r="E9" s="288">
        <f>AVERAGE(F9:S9)</f>
        <v>0.5</v>
      </c>
      <c r="F9" s="288">
        <v>0.5</v>
      </c>
      <c r="G9" s="288">
        <v>0.5</v>
      </c>
      <c r="H9" s="288">
        <v>0.5</v>
      </c>
      <c r="I9" s="288">
        <v>0.5</v>
      </c>
      <c r="J9" s="288">
        <v>0.5</v>
      </c>
      <c r="K9" s="288">
        <v>0.5</v>
      </c>
      <c r="L9" s="288">
        <v>0.5</v>
      </c>
      <c r="M9" s="288">
        <v>0.5</v>
      </c>
      <c r="N9" s="288">
        <v>0.5</v>
      </c>
      <c r="O9" s="288">
        <v>0.5</v>
      </c>
      <c r="P9" s="288">
        <v>0.5</v>
      </c>
      <c r="Q9" s="288">
        <v>0.5</v>
      </c>
      <c r="R9" s="288">
        <v>0.5</v>
      </c>
      <c r="S9" s="288">
        <v>0.5</v>
      </c>
      <c r="T9" s="288">
        <f>AVERAGE(U9:AH9)</f>
        <v>0.5</v>
      </c>
      <c r="U9" s="288">
        <v>0.5</v>
      </c>
      <c r="V9" s="288">
        <v>0.5</v>
      </c>
      <c r="W9" s="288">
        <v>0.5</v>
      </c>
      <c r="X9" s="288">
        <v>0.5</v>
      </c>
      <c r="Y9" s="288">
        <v>0.5</v>
      </c>
      <c r="Z9" s="288">
        <v>0.5</v>
      </c>
      <c r="AA9" s="288">
        <v>0.5</v>
      </c>
      <c r="AB9" s="288">
        <v>0.5</v>
      </c>
      <c r="AC9" s="288">
        <v>0.5</v>
      </c>
      <c r="AD9" s="288">
        <v>0.5</v>
      </c>
      <c r="AE9" s="288">
        <v>0.5</v>
      </c>
      <c r="AF9" s="288">
        <v>0.5</v>
      </c>
      <c r="AG9" s="288">
        <v>0.5</v>
      </c>
      <c r="AH9" s="288">
        <v>0.5</v>
      </c>
      <c r="AI9" s="288">
        <f>AVERAGE(AJ9:AW9)</f>
        <v>0.5</v>
      </c>
      <c r="AJ9" s="288">
        <v>0.5</v>
      </c>
      <c r="AK9" s="288">
        <v>0.5</v>
      </c>
      <c r="AL9" s="288">
        <v>0.5</v>
      </c>
      <c r="AM9" s="288">
        <v>0.5</v>
      </c>
      <c r="AN9" s="288">
        <v>0.5</v>
      </c>
      <c r="AO9" s="288">
        <v>0.5</v>
      </c>
      <c r="AP9" s="288">
        <v>0.5</v>
      </c>
      <c r="AQ9" s="288">
        <v>0.5</v>
      </c>
      <c r="AR9" s="288">
        <v>0.5</v>
      </c>
      <c r="AS9" s="288">
        <v>0.5</v>
      </c>
      <c r="AT9" s="288">
        <v>0.5</v>
      </c>
      <c r="AU9" s="288">
        <v>0.5</v>
      </c>
      <c r="AV9" s="288">
        <v>0.5</v>
      </c>
      <c r="AW9" s="288">
        <v>0.5</v>
      </c>
      <c r="AX9" s="288">
        <f>AVERAGE(AY9:BL9)</f>
        <v>0.5</v>
      </c>
      <c r="AY9" s="288">
        <v>0.5</v>
      </c>
      <c r="AZ9" s="288">
        <v>0.5</v>
      </c>
      <c r="BA9" s="288">
        <v>0.5</v>
      </c>
      <c r="BB9" s="288">
        <v>0.5</v>
      </c>
      <c r="BC9" s="288">
        <v>0.5</v>
      </c>
      <c r="BD9" s="288">
        <v>0.5</v>
      </c>
      <c r="BE9" s="288">
        <v>0.5</v>
      </c>
      <c r="BF9" s="288">
        <v>0.5</v>
      </c>
      <c r="BG9" s="288">
        <v>0.5</v>
      </c>
      <c r="BH9" s="288">
        <v>0.5</v>
      </c>
      <c r="BI9" s="288">
        <v>0.5</v>
      </c>
      <c r="BJ9" s="288">
        <v>0.5</v>
      </c>
      <c r="BK9" s="288">
        <v>0.5</v>
      </c>
      <c r="BL9" s="288">
        <v>0.5</v>
      </c>
      <c r="BM9" s="288">
        <f>AVERAGE(BN9:CA9)</f>
        <v>0.5</v>
      </c>
      <c r="BN9" s="288">
        <v>0.5</v>
      </c>
      <c r="BO9" s="288">
        <v>0.5</v>
      </c>
      <c r="BP9" s="288">
        <v>0.5</v>
      </c>
      <c r="BQ9" s="288">
        <v>0.5</v>
      </c>
      <c r="BR9" s="288">
        <v>0.5</v>
      </c>
      <c r="BS9" s="288">
        <v>0.5</v>
      </c>
      <c r="BT9" s="288">
        <v>0.5</v>
      </c>
      <c r="BU9" s="288">
        <v>0.5</v>
      </c>
      <c r="BV9" s="288">
        <v>0.5</v>
      </c>
      <c r="BW9" s="288">
        <v>0.5</v>
      </c>
      <c r="BX9" s="288">
        <v>0.5</v>
      </c>
      <c r="BY9" s="288">
        <v>0.5</v>
      </c>
      <c r="BZ9" s="288">
        <v>0.5</v>
      </c>
      <c r="CA9" s="288">
        <v>0.5</v>
      </c>
      <c r="CB9" s="288">
        <f>BM9</f>
        <v>0.5</v>
      </c>
      <c r="CD9" s="351">
        <v>0.6</v>
      </c>
      <c r="CE9" s="351">
        <v>0.5</v>
      </c>
      <c r="CF9" s="351">
        <v>0.5</v>
      </c>
      <c r="CG9" s="351">
        <v>0.5</v>
      </c>
      <c r="CH9" s="351">
        <v>0.5</v>
      </c>
      <c r="CI9" s="351">
        <v>0.5</v>
      </c>
      <c r="CJ9" s="351">
        <v>0.5</v>
      </c>
      <c r="CK9" s="351">
        <f t="shared" si="0"/>
        <v>100</v>
      </c>
      <c r="CL9" s="351">
        <f t="shared" si="1"/>
        <v>100</v>
      </c>
      <c r="CM9" s="207"/>
    </row>
    <row r="10" spans="1:93" s="181" customFormat="1" ht="27.75" customHeight="1">
      <c r="A10" s="168"/>
      <c r="B10" s="320" t="s">
        <v>262</v>
      </c>
      <c r="C10" s="168" t="s">
        <v>190</v>
      </c>
      <c r="D10" s="288">
        <f>'[1]B6 Linh vuc xa hoi'!$K$10</f>
        <v>1.73</v>
      </c>
      <c r="E10" s="288">
        <f>AVERAGE(F10:S10)</f>
        <v>1.5478571428571433</v>
      </c>
      <c r="F10" s="288">
        <v>1.55</v>
      </c>
      <c r="G10" s="288">
        <v>1.55</v>
      </c>
      <c r="H10" s="288">
        <v>1.55</v>
      </c>
      <c r="I10" s="288">
        <v>1.54</v>
      </c>
      <c r="J10" s="288">
        <v>1.55</v>
      </c>
      <c r="K10" s="288">
        <v>1.54</v>
      </c>
      <c r="L10" s="288">
        <v>1.55</v>
      </c>
      <c r="M10" s="288">
        <v>1.55</v>
      </c>
      <c r="N10" s="288">
        <v>1.55</v>
      </c>
      <c r="O10" s="288">
        <v>1.54</v>
      </c>
      <c r="P10" s="288">
        <v>1.55</v>
      </c>
      <c r="Q10" s="288">
        <v>1.55</v>
      </c>
      <c r="R10" s="288">
        <v>1.55</v>
      </c>
      <c r="S10" s="288">
        <v>1.55</v>
      </c>
      <c r="T10" s="288">
        <f>AVERAGE(U10:AH10)</f>
        <v>1.6135714285714289</v>
      </c>
      <c r="U10" s="288">
        <v>1.64</v>
      </c>
      <c r="V10" s="288">
        <v>1.61</v>
      </c>
      <c r="W10" s="288">
        <v>1.6</v>
      </c>
      <c r="X10" s="288">
        <v>1.58</v>
      </c>
      <c r="Y10" s="288">
        <v>1.62</v>
      </c>
      <c r="Z10" s="288">
        <v>1.57</v>
      </c>
      <c r="AA10" s="288">
        <v>1.6</v>
      </c>
      <c r="AB10" s="288">
        <v>1.63</v>
      </c>
      <c r="AC10" s="288">
        <v>1.61</v>
      </c>
      <c r="AD10" s="288">
        <v>1.59</v>
      </c>
      <c r="AE10" s="288">
        <v>1.63</v>
      </c>
      <c r="AF10" s="288">
        <v>1.6</v>
      </c>
      <c r="AG10" s="288">
        <v>1.62</v>
      </c>
      <c r="AH10" s="288">
        <v>1.69</v>
      </c>
      <c r="AI10" s="288">
        <f>AVERAGE(AJ10:AW10)</f>
        <v>1.5899999999999999</v>
      </c>
      <c r="AJ10" s="288">
        <v>1.65</v>
      </c>
      <c r="AK10" s="288">
        <v>1.59</v>
      </c>
      <c r="AL10" s="288">
        <v>1.58</v>
      </c>
      <c r="AM10" s="288">
        <v>1.53</v>
      </c>
      <c r="AN10" s="288">
        <v>1.64</v>
      </c>
      <c r="AO10" s="288">
        <v>1.54</v>
      </c>
      <c r="AP10" s="288">
        <v>1.61</v>
      </c>
      <c r="AQ10" s="288">
        <v>1.59</v>
      </c>
      <c r="AR10" s="288">
        <v>1.6</v>
      </c>
      <c r="AS10" s="288">
        <v>1.5</v>
      </c>
      <c r="AT10" s="288">
        <v>1.59</v>
      </c>
      <c r="AU10" s="288">
        <v>1.58</v>
      </c>
      <c r="AV10" s="288">
        <v>1.59</v>
      </c>
      <c r="AW10" s="288">
        <v>1.67</v>
      </c>
      <c r="AX10" s="288">
        <f>AVERAGE(AY10:BL10)</f>
        <v>1.5814285714285714</v>
      </c>
      <c r="AY10" s="288">
        <v>1.63</v>
      </c>
      <c r="AZ10" s="288">
        <v>1.6</v>
      </c>
      <c r="BA10" s="288">
        <v>1.59</v>
      </c>
      <c r="BB10" s="288">
        <v>1.5</v>
      </c>
      <c r="BC10" s="288">
        <v>1.62</v>
      </c>
      <c r="BD10" s="288">
        <v>1.54</v>
      </c>
      <c r="BE10" s="288">
        <v>1.59</v>
      </c>
      <c r="BF10" s="288">
        <v>1.58</v>
      </c>
      <c r="BG10" s="288">
        <v>1.59</v>
      </c>
      <c r="BH10" s="288">
        <v>1.54</v>
      </c>
      <c r="BI10" s="288">
        <v>1.61</v>
      </c>
      <c r="BJ10" s="288">
        <v>1.56</v>
      </c>
      <c r="BK10" s="288">
        <v>1.55</v>
      </c>
      <c r="BL10" s="288">
        <v>1.64</v>
      </c>
      <c r="BM10" s="288">
        <f>AVERAGE(BN10:CA10)</f>
        <v>1.5957142857142859</v>
      </c>
      <c r="BN10" s="288">
        <v>1.65</v>
      </c>
      <c r="BO10" s="288">
        <v>1.58</v>
      </c>
      <c r="BP10" s="288">
        <v>1.58</v>
      </c>
      <c r="BQ10" s="288">
        <v>1.56</v>
      </c>
      <c r="BR10" s="288">
        <v>1.69</v>
      </c>
      <c r="BS10" s="288">
        <v>1.5</v>
      </c>
      <c r="BT10" s="288">
        <v>1.6</v>
      </c>
      <c r="BU10" s="288">
        <v>1.6</v>
      </c>
      <c r="BV10" s="288">
        <v>1.59</v>
      </c>
      <c r="BW10" s="288">
        <v>1.55</v>
      </c>
      <c r="BX10" s="288">
        <v>1.56</v>
      </c>
      <c r="BY10" s="288">
        <v>1.55</v>
      </c>
      <c r="BZ10" s="288">
        <v>1.58</v>
      </c>
      <c r="CA10" s="288">
        <v>1.75</v>
      </c>
      <c r="CB10" s="288">
        <f>BM10</f>
        <v>1.5957142857142859</v>
      </c>
      <c r="CD10" s="351">
        <v>1.8</v>
      </c>
      <c r="CE10" s="351">
        <v>1.58</v>
      </c>
      <c r="CF10" s="351">
        <v>1.26</v>
      </c>
      <c r="CG10" s="351">
        <f>CF10</f>
        <v>1.26</v>
      </c>
      <c r="CH10" s="351">
        <v>1.2</v>
      </c>
      <c r="CI10" s="351">
        <v>1.6</v>
      </c>
      <c r="CJ10" s="351">
        <v>1.6</v>
      </c>
      <c r="CK10" s="351">
        <f t="shared" si="0"/>
        <v>78.961504028648164</v>
      </c>
      <c r="CL10" s="351">
        <f t="shared" si="1"/>
        <v>100.26857654431514</v>
      </c>
      <c r="CM10" s="289"/>
    </row>
    <row r="11" spans="1:93" s="11" customFormat="1" ht="25.5" customHeight="1">
      <c r="A11" s="89" t="s">
        <v>239</v>
      </c>
      <c r="B11" s="275" t="s">
        <v>263</v>
      </c>
      <c r="C11" s="89"/>
      <c r="D11" s="90"/>
      <c r="E11" s="90"/>
      <c r="F11" s="90"/>
      <c r="G11" s="90"/>
      <c r="H11" s="90"/>
      <c r="I11" s="90"/>
      <c r="J11" s="90"/>
      <c r="K11" s="90"/>
      <c r="L11" s="90"/>
      <c r="M11" s="90"/>
      <c r="N11" s="90"/>
      <c r="O11" s="90"/>
      <c r="P11" s="90"/>
      <c r="Q11" s="90"/>
      <c r="R11" s="90"/>
      <c r="S11" s="90"/>
      <c r="T11" s="90"/>
      <c r="U11" s="90"/>
      <c r="V11" s="90"/>
      <c r="W11" s="90"/>
      <c r="X11" s="90"/>
      <c r="Y11" s="90"/>
      <c r="Z11" s="90"/>
      <c r="AA11" s="90"/>
      <c r="AB11" s="90"/>
      <c r="AC11" s="90"/>
      <c r="AD11" s="90"/>
      <c r="AE11" s="90"/>
      <c r="AF11" s="90"/>
      <c r="AG11" s="90"/>
      <c r="AH11" s="90"/>
      <c r="AI11" s="90"/>
      <c r="AJ11" s="90"/>
      <c r="AK11" s="90"/>
      <c r="AL11" s="90"/>
      <c r="AM11" s="90"/>
      <c r="AN11" s="90"/>
      <c r="AO11" s="90"/>
      <c r="AP11" s="90"/>
      <c r="AQ11" s="90"/>
      <c r="AR11" s="90"/>
      <c r="AS11" s="90"/>
      <c r="AT11" s="90"/>
      <c r="AU11" s="90"/>
      <c r="AV11" s="90"/>
      <c r="AW11" s="90"/>
      <c r="AX11" s="90"/>
      <c r="AY11" s="90"/>
      <c r="AZ11" s="90"/>
      <c r="BA11" s="90"/>
      <c r="BB11" s="90"/>
      <c r="BC11" s="90"/>
      <c r="BD11" s="90"/>
      <c r="BE11" s="90"/>
      <c r="BF11" s="90"/>
      <c r="BG11" s="90"/>
      <c r="BH11" s="90"/>
      <c r="BI11" s="90"/>
      <c r="BJ11" s="90"/>
      <c r="BK11" s="90"/>
      <c r="BL11" s="90"/>
      <c r="BM11" s="90"/>
      <c r="BN11" s="90"/>
      <c r="BO11" s="90"/>
      <c r="BP11" s="90"/>
      <c r="BQ11" s="90"/>
      <c r="BR11" s="90"/>
      <c r="BS11" s="90"/>
      <c r="BT11" s="90"/>
      <c r="BU11" s="90"/>
      <c r="BV11" s="90"/>
      <c r="BW11" s="90"/>
      <c r="BX11" s="90"/>
      <c r="BY11" s="90"/>
      <c r="BZ11" s="90"/>
      <c r="CA11" s="90"/>
      <c r="CB11" s="90"/>
      <c r="CD11" s="349"/>
      <c r="CE11" s="349"/>
      <c r="CF11" s="349"/>
      <c r="CG11" s="349"/>
      <c r="CH11" s="349"/>
      <c r="CI11" s="349"/>
      <c r="CJ11" s="349"/>
      <c r="CK11" s="289"/>
      <c r="CL11" s="289"/>
      <c r="CM11" s="289"/>
    </row>
    <row r="12" spans="1:93" s="146" customFormat="1" ht="25.5" customHeight="1">
      <c r="A12" s="78">
        <v>1</v>
      </c>
      <c r="B12" s="287" t="s">
        <v>264</v>
      </c>
      <c r="C12" s="78" t="s">
        <v>242</v>
      </c>
      <c r="D12" s="110">
        <f>'[1]B6 Linh vuc xa hoi'!$K$12</f>
        <v>29000</v>
      </c>
      <c r="E12" s="110">
        <f>SUM(F12:S12)</f>
        <v>29984</v>
      </c>
      <c r="F12" s="110">
        <v>3809</v>
      </c>
      <c r="G12" s="110">
        <v>2483</v>
      </c>
      <c r="H12" s="110">
        <v>1982</v>
      </c>
      <c r="I12" s="110">
        <v>1146</v>
      </c>
      <c r="J12" s="110">
        <v>2785</v>
      </c>
      <c r="K12" s="110">
        <v>1479</v>
      </c>
      <c r="L12" s="110">
        <v>1694</v>
      </c>
      <c r="M12" s="110">
        <v>2076</v>
      </c>
      <c r="N12" s="110">
        <v>2085</v>
      </c>
      <c r="O12" s="110">
        <v>1383</v>
      </c>
      <c r="P12" s="110">
        <v>1384</v>
      </c>
      <c r="Q12" s="110">
        <v>1715</v>
      </c>
      <c r="R12" s="110">
        <v>1483</v>
      </c>
      <c r="S12" s="110">
        <v>4480</v>
      </c>
      <c r="T12" s="110">
        <f>SUM(U12:AH12)</f>
        <v>33060</v>
      </c>
      <c r="U12" s="110">
        <v>4990</v>
      </c>
      <c r="V12" s="110">
        <v>2660</v>
      </c>
      <c r="W12" s="110">
        <v>2350</v>
      </c>
      <c r="X12" s="110">
        <v>1280</v>
      </c>
      <c r="Y12" s="110">
        <v>2960</v>
      </c>
      <c r="Z12" s="110">
        <v>1600</v>
      </c>
      <c r="AA12" s="110">
        <v>1900</v>
      </c>
      <c r="AB12" s="110">
        <v>2110</v>
      </c>
      <c r="AC12" s="110">
        <v>2290</v>
      </c>
      <c r="AD12" s="110">
        <v>1460</v>
      </c>
      <c r="AE12" s="110">
        <v>1485</v>
      </c>
      <c r="AF12" s="110">
        <v>1880</v>
      </c>
      <c r="AG12" s="110">
        <v>1560</v>
      </c>
      <c r="AH12" s="110">
        <v>4535</v>
      </c>
      <c r="AI12" s="110">
        <f>SUM(AJ12:AW12)</f>
        <v>33751</v>
      </c>
      <c r="AJ12" s="110">
        <v>5040</v>
      </c>
      <c r="AK12" s="110">
        <v>2700</v>
      </c>
      <c r="AL12" s="110">
        <v>2400</v>
      </c>
      <c r="AM12" s="110">
        <v>1300</v>
      </c>
      <c r="AN12" s="110">
        <v>3120</v>
      </c>
      <c r="AO12" s="110">
        <v>1630</v>
      </c>
      <c r="AP12" s="110">
        <v>1940</v>
      </c>
      <c r="AQ12" s="110">
        <v>2160</v>
      </c>
      <c r="AR12" s="110">
        <v>2320</v>
      </c>
      <c r="AS12" s="110">
        <v>1490</v>
      </c>
      <c r="AT12" s="110">
        <v>1530</v>
      </c>
      <c r="AU12" s="110">
        <v>1930</v>
      </c>
      <c r="AV12" s="110">
        <v>1595</v>
      </c>
      <c r="AW12" s="110">
        <v>4596</v>
      </c>
      <c r="AX12" s="110">
        <f>SUM(AY12:BL12)</f>
        <v>34830</v>
      </c>
      <c r="AY12" s="110">
        <v>5280</v>
      </c>
      <c r="AZ12" s="110">
        <v>2760</v>
      </c>
      <c r="BA12" s="110">
        <v>2460</v>
      </c>
      <c r="BB12" s="110">
        <v>1320</v>
      </c>
      <c r="BC12" s="110">
        <v>3170</v>
      </c>
      <c r="BD12" s="110">
        <v>1650</v>
      </c>
      <c r="BE12" s="110">
        <v>1980</v>
      </c>
      <c r="BF12" s="110">
        <v>2260</v>
      </c>
      <c r="BG12" s="110">
        <v>2380</v>
      </c>
      <c r="BH12" s="110">
        <v>1550</v>
      </c>
      <c r="BI12" s="110">
        <v>1700</v>
      </c>
      <c r="BJ12" s="110">
        <v>1990</v>
      </c>
      <c r="BK12" s="110">
        <v>1670</v>
      </c>
      <c r="BL12" s="110">
        <v>4660</v>
      </c>
      <c r="BM12" s="110">
        <f>SUM(BN12:CA12)</f>
        <v>36181</v>
      </c>
      <c r="BN12" s="110">
        <v>5300</v>
      </c>
      <c r="BO12" s="110">
        <v>3776</v>
      </c>
      <c r="BP12" s="110">
        <v>2485</v>
      </c>
      <c r="BQ12" s="110">
        <v>1345</v>
      </c>
      <c r="BR12" s="110">
        <v>3220</v>
      </c>
      <c r="BS12" s="110">
        <v>1670</v>
      </c>
      <c r="BT12" s="110">
        <v>2000</v>
      </c>
      <c r="BU12" s="110">
        <v>2280</v>
      </c>
      <c r="BV12" s="110">
        <v>2400</v>
      </c>
      <c r="BW12" s="110">
        <v>1570</v>
      </c>
      <c r="BX12" s="110">
        <v>1730</v>
      </c>
      <c r="BY12" s="110">
        <v>2015</v>
      </c>
      <c r="BZ12" s="110">
        <v>1690</v>
      </c>
      <c r="CA12" s="110">
        <v>4700</v>
      </c>
      <c r="CB12" s="110">
        <f>BM12</f>
        <v>36181</v>
      </c>
      <c r="CD12" s="349">
        <v>30955</v>
      </c>
      <c r="CE12" s="349">
        <v>30956</v>
      </c>
      <c r="CF12" s="349">
        <v>31650.080600000005</v>
      </c>
      <c r="CG12" s="349">
        <f>CF12</f>
        <v>31650.080600000005</v>
      </c>
      <c r="CH12" s="349">
        <f>AX12</f>
        <v>34830</v>
      </c>
      <c r="CI12" s="349">
        <f>BM12</f>
        <v>36181</v>
      </c>
      <c r="CJ12" s="349">
        <f>CI12</f>
        <v>36181</v>
      </c>
      <c r="CK12" s="351">
        <f t="shared" ref="CK12" si="2">CG12/CB12%</f>
        <v>87.477075260495852</v>
      </c>
      <c r="CL12" s="351">
        <f t="shared" ref="CL12" si="3">CJ12/CB12%</f>
        <v>100</v>
      </c>
      <c r="CM12" s="289"/>
    </row>
    <row r="13" spans="1:93" s="146" customFormat="1" ht="36" customHeight="1">
      <c r="A13" s="78">
        <v>2</v>
      </c>
      <c r="B13" s="287" t="s">
        <v>265</v>
      </c>
      <c r="C13" s="78" t="s">
        <v>242</v>
      </c>
      <c r="D13" s="110">
        <f>'[1]B6 Linh vuc xa hoi'!$K$13</f>
        <v>28189</v>
      </c>
      <c r="E13" s="110">
        <f>SUM(F13:S13)</f>
        <v>29145</v>
      </c>
      <c r="F13" s="110">
        <v>3725</v>
      </c>
      <c r="G13" s="110">
        <v>2416</v>
      </c>
      <c r="H13" s="110">
        <v>1919</v>
      </c>
      <c r="I13" s="110">
        <v>1083</v>
      </c>
      <c r="J13" s="110">
        <v>2709</v>
      </c>
      <c r="K13" s="110">
        <v>1423</v>
      </c>
      <c r="L13" s="110">
        <v>1654</v>
      </c>
      <c r="M13" s="110">
        <v>2015</v>
      </c>
      <c r="N13" s="110">
        <v>2023</v>
      </c>
      <c r="O13" s="110">
        <v>1319</v>
      </c>
      <c r="P13" s="110">
        <v>1329</v>
      </c>
      <c r="Q13" s="110">
        <v>1704</v>
      </c>
      <c r="R13" s="110">
        <v>1421</v>
      </c>
      <c r="S13" s="110">
        <v>4405</v>
      </c>
      <c r="T13" s="110">
        <f>SUM(U13:AH13)</f>
        <v>28232</v>
      </c>
      <c r="U13" s="110">
        <v>3650</v>
      </c>
      <c r="V13" s="110">
        <v>2345</v>
      </c>
      <c r="W13" s="110">
        <v>1838</v>
      </c>
      <c r="X13" s="110">
        <v>1036</v>
      </c>
      <c r="Y13" s="110">
        <v>2665</v>
      </c>
      <c r="Z13" s="110">
        <v>1430</v>
      </c>
      <c r="AA13" s="110">
        <v>1600</v>
      </c>
      <c r="AB13" s="110">
        <v>1960</v>
      </c>
      <c r="AC13" s="110">
        <v>1945</v>
      </c>
      <c r="AD13" s="110">
        <v>1250</v>
      </c>
      <c r="AE13" s="110">
        <v>1278</v>
      </c>
      <c r="AF13" s="110">
        <v>1575</v>
      </c>
      <c r="AG13" s="110">
        <v>1425</v>
      </c>
      <c r="AH13" s="110">
        <v>4235</v>
      </c>
      <c r="AI13" s="110">
        <f>SUM(AJ13:AW13)</f>
        <v>28431</v>
      </c>
      <c r="AJ13" s="110">
        <v>3660</v>
      </c>
      <c r="AK13" s="110">
        <v>2355</v>
      </c>
      <c r="AL13" s="110">
        <v>1848</v>
      </c>
      <c r="AM13" s="110">
        <v>1045</v>
      </c>
      <c r="AN13" s="110">
        <v>2678</v>
      </c>
      <c r="AO13" s="110">
        <v>1445</v>
      </c>
      <c r="AP13" s="110">
        <v>1620</v>
      </c>
      <c r="AQ13" s="110">
        <v>1975</v>
      </c>
      <c r="AR13" s="110">
        <v>1955</v>
      </c>
      <c r="AS13" s="110">
        <v>1270</v>
      </c>
      <c r="AT13" s="110">
        <v>1300</v>
      </c>
      <c r="AU13" s="110">
        <v>1590</v>
      </c>
      <c r="AV13" s="110">
        <v>1440</v>
      </c>
      <c r="AW13" s="110">
        <v>4250</v>
      </c>
      <c r="AX13" s="110">
        <f>SUM(AY13:BL13)</f>
        <v>28610</v>
      </c>
      <c r="AY13" s="110">
        <v>3675</v>
      </c>
      <c r="AZ13" s="110">
        <v>2368</v>
      </c>
      <c r="BA13" s="110">
        <v>1870</v>
      </c>
      <c r="BB13" s="110">
        <v>1055</v>
      </c>
      <c r="BC13" s="110">
        <v>2698</v>
      </c>
      <c r="BD13" s="110">
        <v>1458</v>
      </c>
      <c r="BE13" s="110">
        <v>1640</v>
      </c>
      <c r="BF13" s="110">
        <v>1996</v>
      </c>
      <c r="BG13" s="110">
        <v>1975</v>
      </c>
      <c r="BH13" s="110">
        <v>1290</v>
      </c>
      <c r="BI13" s="110">
        <v>1325</v>
      </c>
      <c r="BJ13" s="110">
        <v>1520</v>
      </c>
      <c r="BK13" s="110">
        <v>1460</v>
      </c>
      <c r="BL13" s="110">
        <v>4280</v>
      </c>
      <c r="BM13" s="110">
        <f>SUM(BN13:CA13)</f>
        <v>28762</v>
      </c>
      <c r="BN13" s="110">
        <v>3684</v>
      </c>
      <c r="BO13" s="110">
        <v>2375</v>
      </c>
      <c r="BP13" s="110">
        <v>1876</v>
      </c>
      <c r="BQ13" s="110">
        <v>1065</v>
      </c>
      <c r="BR13" s="110">
        <v>2710</v>
      </c>
      <c r="BS13" s="110">
        <v>1464</v>
      </c>
      <c r="BT13" s="110">
        <v>1652</v>
      </c>
      <c r="BU13" s="110">
        <v>2000</v>
      </c>
      <c r="BV13" s="110">
        <v>1988</v>
      </c>
      <c r="BW13" s="110">
        <v>1312</v>
      </c>
      <c r="BX13" s="110">
        <v>1334</v>
      </c>
      <c r="BY13" s="110">
        <v>1530</v>
      </c>
      <c r="BZ13" s="110">
        <v>1472</v>
      </c>
      <c r="CA13" s="110">
        <v>4300</v>
      </c>
      <c r="CB13" s="110">
        <f t="shared" ref="CB13:CB19" si="4">BM13</f>
        <v>28762</v>
      </c>
      <c r="CD13" s="349">
        <v>29150</v>
      </c>
      <c r="CE13" s="349">
        <v>29870</v>
      </c>
      <c r="CF13" s="349">
        <v>30463.270000000004</v>
      </c>
      <c r="CG13" s="349">
        <f>CF13</f>
        <v>30463.270000000004</v>
      </c>
      <c r="CH13" s="349">
        <v>30750</v>
      </c>
      <c r="CI13" s="349">
        <v>30992</v>
      </c>
      <c r="CJ13" s="349">
        <v>31524</v>
      </c>
      <c r="CK13" s="351">
        <f t="shared" ref="CK13" si="5">CG13/CB13%</f>
        <v>105.91499200333774</v>
      </c>
      <c r="CL13" s="351">
        <f t="shared" ref="CL13" si="6">CJ13/CB13%</f>
        <v>109.60294833460816</v>
      </c>
      <c r="CM13" s="289"/>
    </row>
    <row r="14" spans="1:93" s="16" customFormat="1" ht="24.75" customHeight="1">
      <c r="A14" s="85"/>
      <c r="B14" s="321" t="s">
        <v>266</v>
      </c>
      <c r="C14" s="85"/>
      <c r="D14" s="86"/>
      <c r="E14" s="86"/>
      <c r="F14" s="86"/>
      <c r="G14" s="86"/>
      <c r="H14" s="86"/>
      <c r="I14" s="86"/>
      <c r="J14" s="86"/>
      <c r="K14" s="86"/>
      <c r="L14" s="86"/>
      <c r="M14" s="86"/>
      <c r="N14" s="86"/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86"/>
      <c r="AL14" s="86"/>
      <c r="AM14" s="86"/>
      <c r="AN14" s="86"/>
      <c r="AO14" s="86"/>
      <c r="AP14" s="86"/>
      <c r="AQ14" s="86"/>
      <c r="AR14" s="86"/>
      <c r="AS14" s="86"/>
      <c r="AT14" s="86"/>
      <c r="AU14" s="86"/>
      <c r="AV14" s="86"/>
      <c r="AW14" s="86"/>
      <c r="AX14" s="86"/>
      <c r="AY14" s="86"/>
      <c r="AZ14" s="158"/>
      <c r="BA14" s="158"/>
      <c r="BB14" s="86"/>
      <c r="BC14" s="86"/>
      <c r="BD14" s="86"/>
      <c r="BE14" s="86"/>
      <c r="BF14" s="86"/>
      <c r="BG14" s="86"/>
      <c r="BH14" s="86"/>
      <c r="BI14" s="86"/>
      <c r="BJ14" s="86"/>
      <c r="BK14" s="86"/>
      <c r="BL14" s="86"/>
      <c r="BM14" s="86"/>
      <c r="BN14" s="86"/>
      <c r="BO14" s="86"/>
      <c r="BP14" s="86"/>
      <c r="BQ14" s="86"/>
      <c r="BR14" s="86"/>
      <c r="BS14" s="86"/>
      <c r="BT14" s="86"/>
      <c r="BU14" s="86"/>
      <c r="BV14" s="86"/>
      <c r="BW14" s="86"/>
      <c r="BX14" s="86"/>
      <c r="BY14" s="86"/>
      <c r="BZ14" s="86"/>
      <c r="CA14" s="86"/>
      <c r="CB14" s="86"/>
      <c r="CD14" s="354"/>
      <c r="CE14" s="354"/>
      <c r="CF14" s="354"/>
      <c r="CG14" s="354"/>
      <c r="CH14" s="354"/>
      <c r="CI14" s="354"/>
      <c r="CJ14" s="354"/>
      <c r="CK14" s="208"/>
      <c r="CL14" s="208"/>
      <c r="CM14" s="208"/>
    </row>
    <row r="15" spans="1:93" s="146" customFormat="1" ht="24.75" customHeight="1">
      <c r="A15" s="78"/>
      <c r="B15" s="287" t="s">
        <v>267</v>
      </c>
      <c r="C15" s="78" t="s">
        <v>190</v>
      </c>
      <c r="D15" s="158">
        <f>'[1]B6 Linh vuc xa hoi'!$K$15</f>
        <v>69.329828892600659</v>
      </c>
      <c r="E15" s="35">
        <f>AVERAGE(F15:S15)</f>
        <v>68.09647387877223</v>
      </c>
      <c r="F15" s="158">
        <v>27.38</v>
      </c>
      <c r="G15" s="158">
        <v>62.666129681836495</v>
      </c>
      <c r="H15" s="158">
        <v>64.682139253279516</v>
      </c>
      <c r="I15" s="158">
        <v>65.183246073298434</v>
      </c>
      <c r="J15" s="158">
        <v>61.867145421903047</v>
      </c>
      <c r="K15" s="158">
        <v>72.210953346855987</v>
      </c>
      <c r="L15" s="158">
        <v>72.432113341204257</v>
      </c>
      <c r="M15" s="158">
        <v>85.308285163776503</v>
      </c>
      <c r="N15" s="158">
        <v>85.65947242206235</v>
      </c>
      <c r="O15" s="158">
        <v>81.344902386117141</v>
      </c>
      <c r="P15" s="158">
        <v>63.800578034682076</v>
      </c>
      <c r="Q15" s="158">
        <v>60.349854227405253</v>
      </c>
      <c r="R15" s="158">
        <v>73.76938637896157</v>
      </c>
      <c r="S15" s="35">
        <v>76.696428571428584</v>
      </c>
      <c r="T15" s="35">
        <f>AVERAGE(U15:AH15)</f>
        <v>67.233571428571423</v>
      </c>
      <c r="U15" s="158">
        <v>26.56</v>
      </c>
      <c r="V15" s="158">
        <v>61.85</v>
      </c>
      <c r="W15" s="158">
        <v>63.86</v>
      </c>
      <c r="X15" s="158">
        <v>64.36</v>
      </c>
      <c r="Y15" s="158">
        <v>61.05</v>
      </c>
      <c r="Z15" s="158">
        <v>71.39</v>
      </c>
      <c r="AA15" s="158">
        <v>71.61</v>
      </c>
      <c r="AB15" s="158">
        <v>84.49</v>
      </c>
      <c r="AC15" s="158">
        <v>84.84</v>
      </c>
      <c r="AD15" s="158">
        <v>80.52</v>
      </c>
      <c r="AE15" s="158">
        <v>62.98</v>
      </c>
      <c r="AF15" s="158">
        <v>59.53</v>
      </c>
      <c r="AG15" s="158">
        <v>72.95</v>
      </c>
      <c r="AH15" s="158">
        <v>75.28</v>
      </c>
      <c r="AI15" s="35">
        <f>AVERAGE(AJ15:AW15)</f>
        <v>66.363571428571419</v>
      </c>
      <c r="AJ15" s="158">
        <v>25.69</v>
      </c>
      <c r="AK15" s="158">
        <v>60.98</v>
      </c>
      <c r="AL15" s="158">
        <v>62.99</v>
      </c>
      <c r="AM15" s="158">
        <v>63.49</v>
      </c>
      <c r="AN15" s="158">
        <v>60.18</v>
      </c>
      <c r="AO15" s="158">
        <v>70.52</v>
      </c>
      <c r="AP15" s="158">
        <v>70.739999999999995</v>
      </c>
      <c r="AQ15" s="158">
        <v>83.62</v>
      </c>
      <c r="AR15" s="158">
        <v>83.97</v>
      </c>
      <c r="AS15" s="158">
        <v>79.650000000000006</v>
      </c>
      <c r="AT15" s="158">
        <v>62.11</v>
      </c>
      <c r="AU15" s="158">
        <v>58.66</v>
      </c>
      <c r="AV15" s="158">
        <v>72.08</v>
      </c>
      <c r="AW15" s="158">
        <v>74.41</v>
      </c>
      <c r="AX15" s="322">
        <f>AVERAGE(AY15:BL15)</f>
        <v>65.542142857142863</v>
      </c>
      <c r="AY15" s="158">
        <v>24.82</v>
      </c>
      <c r="AZ15" s="158">
        <v>60.1</v>
      </c>
      <c r="BA15" s="158">
        <v>62.11</v>
      </c>
      <c r="BB15" s="158">
        <v>62.58</v>
      </c>
      <c r="BC15" s="158">
        <v>59.28</v>
      </c>
      <c r="BD15" s="158">
        <v>69.64</v>
      </c>
      <c r="BE15" s="158">
        <v>69.86</v>
      </c>
      <c r="BF15" s="158">
        <v>82.74</v>
      </c>
      <c r="BG15" s="158">
        <v>83.09</v>
      </c>
      <c r="BH15" s="158">
        <v>78.77</v>
      </c>
      <c r="BI15" s="158">
        <v>61.23</v>
      </c>
      <c r="BJ15" s="158">
        <v>57.78</v>
      </c>
      <c r="BK15" s="158">
        <v>71.22</v>
      </c>
      <c r="BL15" s="158">
        <v>74.37</v>
      </c>
      <c r="BM15" s="322">
        <f>AVERAGE(BN15:CA15)</f>
        <v>64.732142857142861</v>
      </c>
      <c r="BN15" s="158">
        <v>24.01</v>
      </c>
      <c r="BO15" s="158">
        <v>59.29</v>
      </c>
      <c r="BP15" s="158">
        <v>61.3</v>
      </c>
      <c r="BQ15" s="158">
        <v>61.77</v>
      </c>
      <c r="BR15" s="158">
        <v>58.47</v>
      </c>
      <c r="BS15" s="158">
        <v>68.83</v>
      </c>
      <c r="BT15" s="158">
        <v>69.05</v>
      </c>
      <c r="BU15" s="158">
        <v>81.93</v>
      </c>
      <c r="BV15" s="158">
        <v>82.28</v>
      </c>
      <c r="BW15" s="158">
        <v>77.959999999999994</v>
      </c>
      <c r="BX15" s="158">
        <v>60.42</v>
      </c>
      <c r="BY15" s="158">
        <v>56.97</v>
      </c>
      <c r="BZ15" s="158">
        <v>70.41</v>
      </c>
      <c r="CA15" s="158">
        <v>73.56</v>
      </c>
      <c r="CB15" s="35">
        <f t="shared" si="4"/>
        <v>64.732142857142861</v>
      </c>
      <c r="CD15" s="350">
        <v>81.857142857142861</v>
      </c>
      <c r="CE15" s="350">
        <v>67.251428571428562</v>
      </c>
      <c r="CF15" s="350">
        <v>66.400000000000006</v>
      </c>
      <c r="CG15" s="350">
        <f>CF15</f>
        <v>66.400000000000006</v>
      </c>
      <c r="CH15" s="350">
        <f>AX15</f>
        <v>65.542142857142863</v>
      </c>
      <c r="CI15" s="350">
        <f>BM15</f>
        <v>64.732142857142861</v>
      </c>
      <c r="CJ15" s="350">
        <f>CI15</f>
        <v>64.732142857142861</v>
      </c>
      <c r="CK15" s="351">
        <f t="shared" ref="CK15" si="7">CG15/CB15%</f>
        <v>102.57655172413793</v>
      </c>
      <c r="CL15" s="351">
        <f t="shared" ref="CL15" si="8">CJ15/CB15%</f>
        <v>100</v>
      </c>
      <c r="CM15" s="289"/>
    </row>
    <row r="16" spans="1:93" s="146" customFormat="1" ht="24.75" customHeight="1">
      <c r="A16" s="78"/>
      <c r="B16" s="287" t="s">
        <v>268</v>
      </c>
      <c r="C16" s="78" t="s">
        <v>190</v>
      </c>
      <c r="D16" s="158">
        <f>'[1]B6 Linh vuc xa hoi'!$K$16</f>
        <v>12.924933810042399</v>
      </c>
      <c r="E16" s="35">
        <f t="shared" ref="E16:E17" si="9">AVERAGE(F16:S16)</f>
        <v>13.21773149367572</v>
      </c>
      <c r="F16" s="158">
        <v>33.1</v>
      </c>
      <c r="G16" s="158">
        <v>15.384615384615385</v>
      </c>
      <c r="H16" s="158">
        <v>10.090817356205854</v>
      </c>
      <c r="I16" s="158">
        <v>12.652705061082026</v>
      </c>
      <c r="J16" s="158">
        <v>16.517055655296232</v>
      </c>
      <c r="K16" s="158">
        <v>13.928329952670722</v>
      </c>
      <c r="L16" s="158">
        <v>10.979929161747345</v>
      </c>
      <c r="M16" s="158">
        <v>7.7071290944123305</v>
      </c>
      <c r="N16" s="158">
        <v>9.3525179856115113</v>
      </c>
      <c r="O16" s="158">
        <v>10.484454085321765</v>
      </c>
      <c r="P16" s="158">
        <v>10.83815028901734</v>
      </c>
      <c r="Q16" s="158">
        <v>13.527696793002915</v>
      </c>
      <c r="R16" s="158">
        <v>12.002697235333782</v>
      </c>
      <c r="S16" s="35">
        <v>8.4821428571428577</v>
      </c>
      <c r="T16" s="35">
        <f t="shared" ref="T16:T17" si="10">AVERAGE(U16:AH16)</f>
        <v>13.380714285714289</v>
      </c>
      <c r="U16" s="158">
        <v>33.28</v>
      </c>
      <c r="V16" s="158">
        <v>15.59</v>
      </c>
      <c r="W16" s="158">
        <v>10.28</v>
      </c>
      <c r="X16" s="158">
        <v>12.88</v>
      </c>
      <c r="Y16" s="158">
        <v>16.68</v>
      </c>
      <c r="Z16" s="158">
        <v>14.08</v>
      </c>
      <c r="AA16" s="158">
        <v>11.18</v>
      </c>
      <c r="AB16" s="158">
        <v>7.88</v>
      </c>
      <c r="AC16" s="158">
        <v>9.58</v>
      </c>
      <c r="AD16" s="158">
        <v>10.68</v>
      </c>
      <c r="AE16" s="158">
        <v>10.68</v>
      </c>
      <c r="AF16" s="158">
        <v>13.68</v>
      </c>
      <c r="AG16" s="158">
        <v>12.18</v>
      </c>
      <c r="AH16" s="158">
        <v>8.68</v>
      </c>
      <c r="AI16" s="35">
        <f t="shared" ref="AI16:AI17" si="11">AVERAGE(AJ16:AW16)</f>
        <v>13.470714285714289</v>
      </c>
      <c r="AJ16" s="158">
        <v>33.369999999999997</v>
      </c>
      <c r="AK16" s="158">
        <v>15.68</v>
      </c>
      <c r="AL16" s="158">
        <v>10.37</v>
      </c>
      <c r="AM16" s="158">
        <v>12.97</v>
      </c>
      <c r="AN16" s="158">
        <v>16.77</v>
      </c>
      <c r="AO16" s="158">
        <v>14.17</v>
      </c>
      <c r="AP16" s="158">
        <v>11.27</v>
      </c>
      <c r="AQ16" s="158">
        <v>7.97</v>
      </c>
      <c r="AR16" s="158">
        <v>9.67</v>
      </c>
      <c r="AS16" s="158">
        <v>10.77</v>
      </c>
      <c r="AT16" s="158">
        <v>10.77</v>
      </c>
      <c r="AU16" s="158">
        <v>13.77</v>
      </c>
      <c r="AV16" s="158">
        <v>12.27</v>
      </c>
      <c r="AW16" s="158">
        <v>8.77</v>
      </c>
      <c r="AX16" s="322">
        <f>AVERAGE(AY16:BL16)</f>
        <v>13.610714285714282</v>
      </c>
      <c r="AY16" s="158">
        <v>33.51</v>
      </c>
      <c r="AZ16" s="158">
        <v>15.82</v>
      </c>
      <c r="BA16" s="158">
        <v>10.51</v>
      </c>
      <c r="BB16" s="158">
        <v>13.11</v>
      </c>
      <c r="BC16" s="158">
        <v>16.91</v>
      </c>
      <c r="BD16" s="158">
        <v>14.31</v>
      </c>
      <c r="BE16" s="158">
        <v>11.41</v>
      </c>
      <c r="BF16" s="158">
        <v>8.11</v>
      </c>
      <c r="BG16" s="158">
        <v>9.81</v>
      </c>
      <c r="BH16" s="158">
        <v>10.91</v>
      </c>
      <c r="BI16" s="158">
        <v>10.91</v>
      </c>
      <c r="BJ16" s="158">
        <v>13.91</v>
      </c>
      <c r="BK16" s="158">
        <v>12.41</v>
      </c>
      <c r="BL16" s="158">
        <v>8.91</v>
      </c>
      <c r="BM16" s="322">
        <f>AVERAGE(BN16:CA16)</f>
        <v>14.00071428571429</v>
      </c>
      <c r="BN16" s="158">
        <v>33.9</v>
      </c>
      <c r="BO16" s="158">
        <v>16.21</v>
      </c>
      <c r="BP16" s="158">
        <v>10.9</v>
      </c>
      <c r="BQ16" s="158">
        <v>13.5</v>
      </c>
      <c r="BR16" s="158">
        <v>17.3</v>
      </c>
      <c r="BS16" s="158">
        <v>14.7</v>
      </c>
      <c r="BT16" s="158">
        <v>11.8</v>
      </c>
      <c r="BU16" s="158">
        <v>8.5</v>
      </c>
      <c r="BV16" s="158">
        <v>10.199999999999999</v>
      </c>
      <c r="BW16" s="158">
        <v>11.3</v>
      </c>
      <c r="BX16" s="158">
        <v>11.3</v>
      </c>
      <c r="BY16" s="158">
        <v>14.3</v>
      </c>
      <c r="BZ16" s="158">
        <v>12.8</v>
      </c>
      <c r="CA16" s="158">
        <v>9.3000000000000007</v>
      </c>
      <c r="CB16" s="35">
        <f t="shared" si="4"/>
        <v>14.00071428571429</v>
      </c>
      <c r="CD16" s="350">
        <v>8.0714285714285712</v>
      </c>
      <c r="CE16" s="350">
        <v>13.321428571428571</v>
      </c>
      <c r="CF16" s="350">
        <v>13.498571428571433</v>
      </c>
      <c r="CG16" s="350">
        <f t="shared" ref="CG16:CG19" si="12">CF16</f>
        <v>13.498571428571433</v>
      </c>
      <c r="CH16" s="350">
        <f t="shared" ref="CH16:CH17" si="13">AX16</f>
        <v>13.610714285714282</v>
      </c>
      <c r="CI16" s="350">
        <f t="shared" ref="CI16:CI17" si="14">BM16</f>
        <v>14.00071428571429</v>
      </c>
      <c r="CJ16" s="350">
        <f t="shared" ref="CJ16:CJ19" si="15">CI16</f>
        <v>14.00071428571429</v>
      </c>
      <c r="CK16" s="351">
        <f t="shared" ref="CK16:CK19" si="16">CG16/CB16%</f>
        <v>96.413448293454422</v>
      </c>
      <c r="CL16" s="351">
        <f t="shared" ref="CL16:CL19" si="17">CJ16/CB16%</f>
        <v>100.00000000000001</v>
      </c>
      <c r="CM16" s="289"/>
    </row>
    <row r="17" spans="1:91" s="146" customFormat="1" ht="24.75" customHeight="1">
      <c r="A17" s="78"/>
      <c r="B17" s="287" t="s">
        <v>269</v>
      </c>
      <c r="C17" s="78" t="s">
        <v>190</v>
      </c>
      <c r="D17" s="158">
        <f>'[1]B6 Linh vuc xa hoi'!$K$17</f>
        <v>17.74523729735694</v>
      </c>
      <c r="E17" s="35">
        <f t="shared" si="9"/>
        <v>18.685794627552053</v>
      </c>
      <c r="F17" s="158">
        <v>39.519999999999996</v>
      </c>
      <c r="G17" s="158">
        <v>21.949254933548119</v>
      </c>
      <c r="H17" s="158">
        <v>25.227043390514638</v>
      </c>
      <c r="I17" s="158">
        <v>22.164048865619534</v>
      </c>
      <c r="J17" s="158">
        <v>21.615798922800721</v>
      </c>
      <c r="K17" s="158">
        <v>13.86071670047329</v>
      </c>
      <c r="L17" s="158">
        <v>16.587957497048393</v>
      </c>
      <c r="M17" s="158">
        <v>6.9845857418111734</v>
      </c>
      <c r="N17" s="158">
        <v>4.9880095923261365</v>
      </c>
      <c r="O17" s="158">
        <v>8.1706435285611008</v>
      </c>
      <c r="P17" s="158">
        <v>25.361271676300589</v>
      </c>
      <c r="Q17" s="158">
        <v>26.122448979591837</v>
      </c>
      <c r="R17" s="158">
        <v>14.227916385704646</v>
      </c>
      <c r="S17" s="35">
        <v>14.821428571428555</v>
      </c>
      <c r="T17" s="35">
        <f t="shared" si="10"/>
        <v>19.385714285714283</v>
      </c>
      <c r="U17" s="158">
        <v>40.159999999999997</v>
      </c>
      <c r="V17" s="158">
        <v>22.560000000000002</v>
      </c>
      <c r="W17" s="158">
        <v>25.86</v>
      </c>
      <c r="X17" s="158">
        <v>22.760000000000005</v>
      </c>
      <c r="Y17" s="158">
        <v>22.27000000000001</v>
      </c>
      <c r="Z17" s="158">
        <v>14.530000000000001</v>
      </c>
      <c r="AA17" s="158">
        <v>17.210000000000008</v>
      </c>
      <c r="AB17" s="158">
        <v>7.6300000000000097</v>
      </c>
      <c r="AC17" s="158">
        <v>5.5799999999999983</v>
      </c>
      <c r="AD17" s="158">
        <v>8.8000000000000114</v>
      </c>
      <c r="AE17" s="158">
        <v>26.340000000000003</v>
      </c>
      <c r="AF17" s="158">
        <v>26.789999999999992</v>
      </c>
      <c r="AG17" s="158">
        <v>14.870000000000005</v>
      </c>
      <c r="AH17" s="158">
        <v>16.039999999999992</v>
      </c>
      <c r="AI17" s="35">
        <f t="shared" si="11"/>
        <v>20.165714285714284</v>
      </c>
      <c r="AJ17" s="158">
        <v>40.94</v>
      </c>
      <c r="AK17" s="158">
        <v>23.340000000000003</v>
      </c>
      <c r="AL17" s="158">
        <v>26.64</v>
      </c>
      <c r="AM17" s="158">
        <v>23.539999999999992</v>
      </c>
      <c r="AN17" s="158">
        <v>23.049999999999997</v>
      </c>
      <c r="AO17" s="158">
        <v>15.310000000000002</v>
      </c>
      <c r="AP17" s="158">
        <v>17.990000000000009</v>
      </c>
      <c r="AQ17" s="158">
        <v>8.4099999999999966</v>
      </c>
      <c r="AR17" s="158">
        <v>6.3599999999999994</v>
      </c>
      <c r="AS17" s="158">
        <v>9.5799999999999983</v>
      </c>
      <c r="AT17" s="158">
        <v>27.120000000000005</v>
      </c>
      <c r="AU17" s="158">
        <v>27.570000000000007</v>
      </c>
      <c r="AV17" s="158">
        <v>15.650000000000006</v>
      </c>
      <c r="AW17" s="158">
        <v>16.820000000000007</v>
      </c>
      <c r="AX17" s="322">
        <f>AVERAGE(AY17:BL17)</f>
        <v>20.84714285714286</v>
      </c>
      <c r="AY17" s="158">
        <f>100-(AY15+AY16)</f>
        <v>41.67</v>
      </c>
      <c r="AZ17" s="158">
        <f t="shared" ref="AZ17:BL17" si="18">100-(AZ15+AZ16)</f>
        <v>24.08</v>
      </c>
      <c r="BA17" s="158">
        <f t="shared" si="18"/>
        <v>27.379999999999995</v>
      </c>
      <c r="BB17" s="158">
        <f t="shared" si="18"/>
        <v>24.310000000000002</v>
      </c>
      <c r="BC17" s="158">
        <f t="shared" si="18"/>
        <v>23.810000000000002</v>
      </c>
      <c r="BD17" s="158">
        <f t="shared" si="18"/>
        <v>16.049999999999997</v>
      </c>
      <c r="BE17" s="158">
        <f t="shared" si="18"/>
        <v>18.730000000000004</v>
      </c>
      <c r="BF17" s="158">
        <f t="shared" si="18"/>
        <v>9.1500000000000057</v>
      </c>
      <c r="BG17" s="158">
        <f t="shared" si="18"/>
        <v>7.0999999999999943</v>
      </c>
      <c r="BH17" s="158">
        <f t="shared" si="18"/>
        <v>10.320000000000007</v>
      </c>
      <c r="BI17" s="158">
        <f t="shared" si="18"/>
        <v>27.86</v>
      </c>
      <c r="BJ17" s="158">
        <f t="shared" si="18"/>
        <v>28.310000000000002</v>
      </c>
      <c r="BK17" s="158">
        <f t="shared" si="18"/>
        <v>16.370000000000005</v>
      </c>
      <c r="BL17" s="158">
        <f t="shared" si="18"/>
        <v>16.72</v>
      </c>
      <c r="BM17" s="322">
        <f>AVERAGE(BN17:CA17)</f>
        <v>21.267142857142858</v>
      </c>
      <c r="BN17" s="158">
        <v>42.09</v>
      </c>
      <c r="BO17" s="158">
        <v>24.5</v>
      </c>
      <c r="BP17" s="158">
        <v>27.799999999999997</v>
      </c>
      <c r="BQ17" s="158">
        <v>24.72999999999999</v>
      </c>
      <c r="BR17" s="158">
        <v>24.230000000000004</v>
      </c>
      <c r="BS17" s="158">
        <v>16.47</v>
      </c>
      <c r="BT17" s="158">
        <v>19.150000000000006</v>
      </c>
      <c r="BU17" s="158">
        <v>9.5699999999999932</v>
      </c>
      <c r="BV17" s="158">
        <v>7.519999999999996</v>
      </c>
      <c r="BW17" s="158">
        <v>10.740000000000009</v>
      </c>
      <c r="BX17" s="158">
        <v>28.28</v>
      </c>
      <c r="BY17" s="158">
        <v>28.730000000000004</v>
      </c>
      <c r="BZ17" s="158">
        <v>16.790000000000006</v>
      </c>
      <c r="CA17" s="158">
        <v>17.14</v>
      </c>
      <c r="CB17" s="35">
        <f t="shared" si="4"/>
        <v>21.267142857142858</v>
      </c>
      <c r="CD17" s="350">
        <v>10.071428571428571</v>
      </c>
      <c r="CE17" s="350">
        <v>19.357142857142858</v>
      </c>
      <c r="CF17" s="350">
        <v>20.101428571428574</v>
      </c>
      <c r="CG17" s="350">
        <f t="shared" si="12"/>
        <v>20.101428571428574</v>
      </c>
      <c r="CH17" s="350">
        <f t="shared" si="13"/>
        <v>20.84714285714286</v>
      </c>
      <c r="CI17" s="350">
        <f t="shared" si="14"/>
        <v>21.267142857142858</v>
      </c>
      <c r="CJ17" s="350">
        <f t="shared" si="15"/>
        <v>21.267142857142858</v>
      </c>
      <c r="CK17" s="351">
        <f t="shared" si="16"/>
        <v>94.518707597232506</v>
      </c>
      <c r="CL17" s="351">
        <f t="shared" si="17"/>
        <v>100</v>
      </c>
      <c r="CM17" s="289"/>
    </row>
    <row r="18" spans="1:91" s="146" customFormat="1" ht="45">
      <c r="A18" s="78">
        <v>3</v>
      </c>
      <c r="B18" s="287" t="s">
        <v>270</v>
      </c>
      <c r="C18" s="78" t="s">
        <v>616</v>
      </c>
      <c r="D18" s="312">
        <f>'[1]B6 Linh vuc xa hoi'!$K$18/5</f>
        <v>633.4</v>
      </c>
      <c r="E18" s="110">
        <f>SUM(F18:S18)</f>
        <v>762</v>
      </c>
      <c r="F18" s="83">
        <v>25</v>
      </c>
      <c r="G18" s="83">
        <v>45</v>
      </c>
      <c r="H18" s="83">
        <v>42</v>
      </c>
      <c r="I18" s="83">
        <v>25</v>
      </c>
      <c r="J18" s="83">
        <v>65</v>
      </c>
      <c r="K18" s="83">
        <v>50</v>
      </c>
      <c r="L18" s="83">
        <v>78</v>
      </c>
      <c r="M18" s="83">
        <v>45</v>
      </c>
      <c r="N18" s="83">
        <v>50</v>
      </c>
      <c r="O18" s="83">
        <v>74</v>
      </c>
      <c r="P18" s="83">
        <v>76</v>
      </c>
      <c r="Q18" s="83">
        <v>75</v>
      </c>
      <c r="R18" s="83">
        <v>44</v>
      </c>
      <c r="S18" s="83">
        <v>68</v>
      </c>
      <c r="T18" s="323">
        <f>SUM(U18:AH18)</f>
        <v>660</v>
      </c>
      <c r="U18" s="152">
        <v>45</v>
      </c>
      <c r="V18" s="152">
        <v>40</v>
      </c>
      <c r="W18" s="152">
        <v>45</v>
      </c>
      <c r="X18" s="152">
        <v>50</v>
      </c>
      <c r="Y18" s="152">
        <v>50</v>
      </c>
      <c r="Z18" s="152">
        <v>45</v>
      </c>
      <c r="AA18" s="152">
        <v>50</v>
      </c>
      <c r="AB18" s="152">
        <v>45</v>
      </c>
      <c r="AC18" s="152">
        <v>40</v>
      </c>
      <c r="AD18" s="152">
        <v>45</v>
      </c>
      <c r="AE18" s="152">
        <v>55</v>
      </c>
      <c r="AF18" s="152">
        <v>50</v>
      </c>
      <c r="AG18" s="152">
        <v>45</v>
      </c>
      <c r="AH18" s="152">
        <v>55</v>
      </c>
      <c r="AI18" s="323">
        <f>SUM(AJ18:AW18)</f>
        <v>670</v>
      </c>
      <c r="AJ18" s="152">
        <v>50</v>
      </c>
      <c r="AK18" s="152">
        <v>45</v>
      </c>
      <c r="AL18" s="152">
        <v>45</v>
      </c>
      <c r="AM18" s="152">
        <v>50</v>
      </c>
      <c r="AN18" s="152">
        <v>50</v>
      </c>
      <c r="AO18" s="152">
        <v>45</v>
      </c>
      <c r="AP18" s="152">
        <v>50</v>
      </c>
      <c r="AQ18" s="152">
        <v>45</v>
      </c>
      <c r="AR18" s="152">
        <v>40</v>
      </c>
      <c r="AS18" s="152">
        <v>45</v>
      </c>
      <c r="AT18" s="152">
        <v>55</v>
      </c>
      <c r="AU18" s="152">
        <v>50</v>
      </c>
      <c r="AV18" s="152">
        <v>45</v>
      </c>
      <c r="AW18" s="152">
        <v>55</v>
      </c>
      <c r="AX18" s="323">
        <f>SUM(AY18:BL18)</f>
        <v>680</v>
      </c>
      <c r="AY18" s="152">
        <v>50</v>
      </c>
      <c r="AZ18" s="152">
        <v>45</v>
      </c>
      <c r="BA18" s="152">
        <v>50</v>
      </c>
      <c r="BB18" s="152">
        <v>50</v>
      </c>
      <c r="BC18" s="152">
        <v>50</v>
      </c>
      <c r="BD18" s="152">
        <v>45</v>
      </c>
      <c r="BE18" s="152">
        <v>50</v>
      </c>
      <c r="BF18" s="152">
        <v>45</v>
      </c>
      <c r="BG18" s="152">
        <v>40</v>
      </c>
      <c r="BH18" s="152">
        <v>45</v>
      </c>
      <c r="BI18" s="152">
        <v>55</v>
      </c>
      <c r="BJ18" s="152">
        <v>50</v>
      </c>
      <c r="BK18" s="152">
        <v>50</v>
      </c>
      <c r="BL18" s="152">
        <v>55</v>
      </c>
      <c r="BM18" s="323">
        <f>SUM(BN18:CA18)</f>
        <v>690</v>
      </c>
      <c r="BN18" s="152">
        <v>50</v>
      </c>
      <c r="BO18" s="152">
        <v>50</v>
      </c>
      <c r="BP18" s="152">
        <v>50</v>
      </c>
      <c r="BQ18" s="152">
        <v>50</v>
      </c>
      <c r="BR18" s="152">
        <v>50</v>
      </c>
      <c r="BS18" s="152">
        <v>45</v>
      </c>
      <c r="BT18" s="152">
        <v>50</v>
      </c>
      <c r="BU18" s="152">
        <v>45</v>
      </c>
      <c r="BV18" s="152">
        <v>45</v>
      </c>
      <c r="BW18" s="152">
        <v>45</v>
      </c>
      <c r="BX18" s="152">
        <v>55</v>
      </c>
      <c r="BY18" s="152">
        <v>50</v>
      </c>
      <c r="BZ18" s="152">
        <v>50</v>
      </c>
      <c r="CA18" s="152">
        <v>55</v>
      </c>
      <c r="CB18" s="312">
        <f>(BM18+AX18+AI18+T18+E18)/5</f>
        <v>692.4</v>
      </c>
      <c r="CD18" s="349">
        <v>780</v>
      </c>
      <c r="CE18" s="349">
        <v>1012</v>
      </c>
      <c r="CF18" s="349">
        <v>695</v>
      </c>
      <c r="CG18" s="349">
        <f>AVERAGE(CD18:CF18)</f>
        <v>829</v>
      </c>
      <c r="CH18" s="349">
        <f>AX18</f>
        <v>680</v>
      </c>
      <c r="CI18" s="349">
        <f>BM18</f>
        <v>690</v>
      </c>
      <c r="CJ18" s="349">
        <f>(CI18+CH18+CE18+CD18+CF18)/5</f>
        <v>771.4</v>
      </c>
      <c r="CK18" s="351">
        <f t="shared" si="16"/>
        <v>119.72848064702485</v>
      </c>
      <c r="CL18" s="351">
        <f t="shared" si="17"/>
        <v>111.40958983246679</v>
      </c>
      <c r="CM18" s="289"/>
    </row>
    <row r="19" spans="1:91" s="146" customFormat="1" ht="29.25" customHeight="1">
      <c r="A19" s="78">
        <v>4</v>
      </c>
      <c r="B19" s="287" t="s">
        <v>271</v>
      </c>
      <c r="C19" s="78" t="s">
        <v>190</v>
      </c>
      <c r="D19" s="103">
        <f>'[1]B6 Linh vuc xa hoi'!$K$19</f>
        <v>3.8</v>
      </c>
      <c r="E19" s="103">
        <v>3.5</v>
      </c>
      <c r="F19" s="103">
        <v>3.5</v>
      </c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103"/>
      <c r="R19" s="103"/>
      <c r="S19" s="103"/>
      <c r="T19" s="103">
        <f>U19</f>
        <v>3.8</v>
      </c>
      <c r="U19" s="103">
        <v>3.8</v>
      </c>
      <c r="V19" s="103"/>
      <c r="W19" s="103"/>
      <c r="X19" s="103"/>
      <c r="Y19" s="103"/>
      <c r="Z19" s="103"/>
      <c r="AA19" s="103"/>
      <c r="AB19" s="103"/>
      <c r="AC19" s="103"/>
      <c r="AD19" s="103"/>
      <c r="AE19" s="103"/>
      <c r="AF19" s="103"/>
      <c r="AG19" s="103"/>
      <c r="AH19" s="103"/>
      <c r="AI19" s="103">
        <f>AJ19</f>
        <v>3.8</v>
      </c>
      <c r="AJ19" s="103">
        <v>3.8</v>
      </c>
      <c r="AK19" s="103"/>
      <c r="AL19" s="103"/>
      <c r="AM19" s="103"/>
      <c r="AN19" s="103"/>
      <c r="AO19" s="103"/>
      <c r="AP19" s="103"/>
      <c r="AQ19" s="103"/>
      <c r="AR19" s="103"/>
      <c r="AS19" s="103"/>
      <c r="AT19" s="103"/>
      <c r="AU19" s="103"/>
      <c r="AV19" s="103"/>
      <c r="AW19" s="103"/>
      <c r="AX19" s="103">
        <f>AY19</f>
        <v>3.65</v>
      </c>
      <c r="AY19" s="103">
        <v>3.65</v>
      </c>
      <c r="AZ19" s="103"/>
      <c r="BA19" s="103"/>
      <c r="BB19" s="103"/>
      <c r="BC19" s="103"/>
      <c r="BD19" s="103"/>
      <c r="BE19" s="103"/>
      <c r="BF19" s="103"/>
      <c r="BG19" s="103"/>
      <c r="BH19" s="103"/>
      <c r="BI19" s="103"/>
      <c r="BJ19" s="103"/>
      <c r="BK19" s="103"/>
      <c r="BL19" s="103"/>
      <c r="BM19" s="103">
        <f>BN19</f>
        <v>3.65</v>
      </c>
      <c r="BN19" s="103">
        <v>3.65</v>
      </c>
      <c r="BO19" s="103"/>
      <c r="BP19" s="103"/>
      <c r="BQ19" s="103"/>
      <c r="BR19" s="103"/>
      <c r="BS19" s="103"/>
      <c r="BT19" s="103"/>
      <c r="BU19" s="103"/>
      <c r="BV19" s="103"/>
      <c r="BW19" s="103"/>
      <c r="BX19" s="103"/>
      <c r="BY19" s="103"/>
      <c r="BZ19" s="103"/>
      <c r="CA19" s="103"/>
      <c r="CB19" s="103">
        <f t="shared" si="4"/>
        <v>3.65</v>
      </c>
      <c r="CD19" s="350">
        <v>3.8</v>
      </c>
      <c r="CE19" s="350">
        <v>3.8</v>
      </c>
      <c r="CF19" s="350">
        <v>3.8</v>
      </c>
      <c r="CG19" s="350">
        <f t="shared" si="12"/>
        <v>3.8</v>
      </c>
      <c r="CH19" s="351">
        <f>AX19</f>
        <v>3.65</v>
      </c>
      <c r="CI19" s="351">
        <f>BM19</f>
        <v>3.65</v>
      </c>
      <c r="CJ19" s="351">
        <f t="shared" si="15"/>
        <v>3.65</v>
      </c>
      <c r="CK19" s="351">
        <f t="shared" si="16"/>
        <v>104.10958904109589</v>
      </c>
      <c r="CL19" s="351">
        <f t="shared" si="17"/>
        <v>100</v>
      </c>
      <c r="CM19" s="289"/>
    </row>
    <row r="20" spans="1:91" s="11" customFormat="1" ht="27.75" customHeight="1">
      <c r="A20" s="89" t="s">
        <v>272</v>
      </c>
      <c r="B20" s="275" t="s">
        <v>273</v>
      </c>
      <c r="C20" s="89"/>
      <c r="D20" s="90"/>
      <c r="E20" s="90"/>
      <c r="F20" s="90"/>
      <c r="G20" s="90"/>
      <c r="H20" s="90"/>
      <c r="I20" s="90"/>
      <c r="J20" s="90"/>
      <c r="K20" s="90"/>
      <c r="L20" s="90"/>
      <c r="M20" s="90"/>
      <c r="N20" s="90"/>
      <c r="O20" s="90"/>
      <c r="P20" s="90"/>
      <c r="Q20" s="90"/>
      <c r="R20" s="90"/>
      <c r="S20" s="90"/>
      <c r="T20" s="90"/>
      <c r="U20" s="90"/>
      <c r="V20" s="90"/>
      <c r="W20" s="90"/>
      <c r="X20" s="90"/>
      <c r="Y20" s="90"/>
      <c r="Z20" s="90"/>
      <c r="AA20" s="90"/>
      <c r="AB20" s="90"/>
      <c r="AC20" s="90"/>
      <c r="AD20" s="90"/>
      <c r="AE20" s="90"/>
      <c r="AF20" s="90"/>
      <c r="AG20" s="90"/>
      <c r="AH20" s="90"/>
      <c r="AI20" s="90"/>
      <c r="AJ20" s="90"/>
      <c r="AK20" s="90"/>
      <c r="AL20" s="90"/>
      <c r="AM20" s="90"/>
      <c r="AN20" s="90"/>
      <c r="AO20" s="90"/>
      <c r="AP20" s="90"/>
      <c r="AQ20" s="90"/>
      <c r="AR20" s="90"/>
      <c r="AS20" s="90"/>
      <c r="AT20" s="90"/>
      <c r="AU20" s="90"/>
      <c r="AV20" s="90"/>
      <c r="AW20" s="90"/>
      <c r="AX20" s="90"/>
      <c r="AY20" s="90"/>
      <c r="AZ20" s="90"/>
      <c r="BA20" s="90"/>
      <c r="BB20" s="90"/>
      <c r="BC20" s="90"/>
      <c r="BD20" s="90"/>
      <c r="BE20" s="90"/>
      <c r="BF20" s="90"/>
      <c r="BG20" s="90"/>
      <c r="BH20" s="90"/>
      <c r="BI20" s="90"/>
      <c r="BJ20" s="90"/>
      <c r="BK20" s="90"/>
      <c r="BL20" s="90"/>
      <c r="BM20" s="90"/>
      <c r="BN20" s="90"/>
      <c r="BO20" s="90"/>
      <c r="BP20" s="90"/>
      <c r="BQ20" s="90"/>
      <c r="BR20" s="90"/>
      <c r="BS20" s="90"/>
      <c r="BT20" s="90"/>
      <c r="BU20" s="90"/>
      <c r="BV20" s="90"/>
      <c r="BW20" s="90"/>
      <c r="BX20" s="90"/>
      <c r="BY20" s="90"/>
      <c r="BZ20" s="90"/>
      <c r="CA20" s="90"/>
      <c r="CB20" s="90"/>
      <c r="CD20" s="356"/>
      <c r="CE20" s="356"/>
      <c r="CF20" s="356"/>
      <c r="CG20" s="356"/>
      <c r="CH20" s="356"/>
      <c r="CI20" s="356"/>
      <c r="CJ20" s="356"/>
      <c r="CK20" s="207"/>
      <c r="CL20" s="207"/>
      <c r="CM20" s="207"/>
    </row>
    <row r="21" spans="1:91" s="146" customFormat="1" ht="23.25" customHeight="1">
      <c r="A21" s="78">
        <v>1</v>
      </c>
      <c r="B21" s="287" t="s">
        <v>274</v>
      </c>
      <c r="C21" s="78" t="s">
        <v>275</v>
      </c>
      <c r="D21" s="324">
        <f>'[1]B6 Linh vuc xa hoi'!$K$21</f>
        <v>1</v>
      </c>
      <c r="E21" s="83">
        <f>SUM(F21:S21)</f>
        <v>1</v>
      </c>
      <c r="F21" s="83">
        <v>1</v>
      </c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>
        <f>SUM(U21:AH21)</f>
        <v>1</v>
      </c>
      <c r="U21" s="83">
        <v>1</v>
      </c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>
        <f>SUM(AJ21:AW21)</f>
        <v>1</v>
      </c>
      <c r="AJ21" s="83">
        <v>1</v>
      </c>
      <c r="AK21" s="83"/>
      <c r="AL21" s="83"/>
      <c r="AM21" s="83"/>
      <c r="AN21" s="83"/>
      <c r="AO21" s="83"/>
      <c r="AP21" s="83"/>
      <c r="AQ21" s="83"/>
      <c r="AR21" s="83"/>
      <c r="AS21" s="83"/>
      <c r="AT21" s="83"/>
      <c r="AU21" s="83"/>
      <c r="AV21" s="83"/>
      <c r="AW21" s="83"/>
      <c r="AX21" s="83">
        <f>SUM(AY21:BL21)</f>
        <v>1</v>
      </c>
      <c r="AY21" s="83">
        <v>1</v>
      </c>
      <c r="AZ21" s="83"/>
      <c r="BA21" s="83"/>
      <c r="BB21" s="83"/>
      <c r="BC21" s="83"/>
      <c r="BD21" s="83"/>
      <c r="BE21" s="83"/>
      <c r="BF21" s="83"/>
      <c r="BG21" s="83"/>
      <c r="BH21" s="83"/>
      <c r="BI21" s="83"/>
      <c r="BJ21" s="83"/>
      <c r="BK21" s="83"/>
      <c r="BL21" s="83"/>
      <c r="BM21" s="83">
        <f>SUM(BN21:CA21)</f>
        <v>1</v>
      </c>
      <c r="BN21" s="83">
        <v>1</v>
      </c>
      <c r="BO21" s="83"/>
      <c r="BP21" s="83"/>
      <c r="BQ21" s="83"/>
      <c r="BR21" s="83"/>
      <c r="BS21" s="83"/>
      <c r="BT21" s="83"/>
      <c r="BU21" s="83"/>
      <c r="BV21" s="83"/>
      <c r="BW21" s="83"/>
      <c r="BX21" s="83"/>
      <c r="BY21" s="83"/>
      <c r="BZ21" s="83"/>
      <c r="CA21" s="83"/>
      <c r="CB21" s="83">
        <f>BM21</f>
        <v>1</v>
      </c>
      <c r="CC21" s="83">
        <f t="shared" ref="CC21" si="19">BN21</f>
        <v>1</v>
      </c>
      <c r="CD21" s="83">
        <v>1</v>
      </c>
      <c r="CE21" s="83">
        <v>1</v>
      </c>
      <c r="CF21" s="83">
        <v>1</v>
      </c>
      <c r="CG21" s="83">
        <v>1</v>
      </c>
      <c r="CH21" s="83">
        <v>1</v>
      </c>
      <c r="CI21" s="83">
        <v>1</v>
      </c>
      <c r="CJ21" s="83">
        <v>1</v>
      </c>
      <c r="CK21" s="351">
        <f t="shared" ref="CK21" si="20">CG21/CB21%</f>
        <v>100</v>
      </c>
      <c r="CL21" s="351">
        <f t="shared" ref="CL21" si="21">CJ21/CB21%</f>
        <v>100</v>
      </c>
      <c r="CM21" s="289"/>
    </row>
    <row r="22" spans="1:91" s="146" customFormat="1" ht="15" hidden="1">
      <c r="A22" s="78">
        <v>2</v>
      </c>
      <c r="B22" s="287" t="s">
        <v>276</v>
      </c>
      <c r="C22" s="78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  <c r="AS22" s="83"/>
      <c r="AT22" s="83"/>
      <c r="AU22" s="83"/>
      <c r="AV22" s="83"/>
      <c r="AW22" s="83"/>
      <c r="AX22" s="83"/>
      <c r="AY22" s="83"/>
      <c r="AZ22" s="83"/>
      <c r="BA22" s="83"/>
      <c r="BB22" s="83"/>
      <c r="BC22" s="83"/>
      <c r="BD22" s="83"/>
      <c r="BE22" s="83"/>
      <c r="BF22" s="83"/>
      <c r="BG22" s="83"/>
      <c r="BH22" s="83"/>
      <c r="BI22" s="83"/>
      <c r="BJ22" s="83"/>
      <c r="BK22" s="83"/>
      <c r="BL22" s="83"/>
      <c r="BM22" s="83"/>
      <c r="BN22" s="83"/>
      <c r="BO22" s="83"/>
      <c r="BP22" s="83"/>
      <c r="BQ22" s="83"/>
      <c r="BR22" s="83"/>
      <c r="BS22" s="83"/>
      <c r="BT22" s="83"/>
      <c r="BU22" s="83"/>
      <c r="BV22" s="83"/>
      <c r="BW22" s="83"/>
      <c r="BX22" s="83"/>
      <c r="BY22" s="83"/>
      <c r="BZ22" s="83"/>
      <c r="CA22" s="83"/>
      <c r="CB22" s="83"/>
      <c r="CD22" s="349"/>
      <c r="CE22" s="349"/>
      <c r="CF22" s="349"/>
      <c r="CG22" s="349"/>
      <c r="CH22" s="349"/>
      <c r="CI22" s="349"/>
      <c r="CJ22" s="349"/>
      <c r="CK22" s="289"/>
      <c r="CL22" s="289"/>
      <c r="CM22" s="289"/>
    </row>
    <row r="23" spans="1:91" s="146" customFormat="1" ht="15" hidden="1">
      <c r="A23" s="78"/>
      <c r="B23" s="287" t="s">
        <v>277</v>
      </c>
      <c r="C23" s="78" t="s">
        <v>278</v>
      </c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  <c r="AS23" s="83"/>
      <c r="AT23" s="83"/>
      <c r="AU23" s="83"/>
      <c r="AV23" s="83"/>
      <c r="AW23" s="83"/>
      <c r="AX23" s="83"/>
      <c r="AY23" s="83"/>
      <c r="AZ23" s="83"/>
      <c r="BA23" s="83"/>
      <c r="BB23" s="83"/>
      <c r="BC23" s="83"/>
      <c r="BD23" s="83"/>
      <c r="BE23" s="83"/>
      <c r="BF23" s="83"/>
      <c r="BG23" s="83"/>
      <c r="BH23" s="83"/>
      <c r="BI23" s="83"/>
      <c r="BJ23" s="83"/>
      <c r="BK23" s="83"/>
      <c r="BL23" s="83"/>
      <c r="BM23" s="83"/>
      <c r="BN23" s="83"/>
      <c r="BO23" s="83"/>
      <c r="BP23" s="83"/>
      <c r="BQ23" s="83"/>
      <c r="BR23" s="83"/>
      <c r="BS23" s="83"/>
      <c r="BT23" s="83"/>
      <c r="BU23" s="83"/>
      <c r="BV23" s="83"/>
      <c r="BW23" s="83"/>
      <c r="BX23" s="83"/>
      <c r="BY23" s="83"/>
      <c r="BZ23" s="83"/>
      <c r="CA23" s="83"/>
      <c r="CB23" s="83"/>
      <c r="CD23" s="349"/>
      <c r="CE23" s="349"/>
      <c r="CF23" s="349"/>
      <c r="CG23" s="349"/>
      <c r="CH23" s="349"/>
      <c r="CI23" s="349"/>
      <c r="CJ23" s="349"/>
      <c r="CK23" s="289"/>
      <c r="CL23" s="289"/>
      <c r="CM23" s="289"/>
    </row>
    <row r="24" spans="1:91" s="146" customFormat="1" ht="15" hidden="1">
      <c r="A24" s="78"/>
      <c r="B24" s="287" t="s">
        <v>279</v>
      </c>
      <c r="C24" s="78" t="s">
        <v>280</v>
      </c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  <c r="AS24" s="83"/>
      <c r="AT24" s="83"/>
      <c r="AU24" s="83"/>
      <c r="AV24" s="83"/>
      <c r="AW24" s="83"/>
      <c r="AX24" s="83"/>
      <c r="AY24" s="83"/>
      <c r="AZ24" s="83"/>
      <c r="BA24" s="83"/>
      <c r="BB24" s="83"/>
      <c r="BC24" s="83"/>
      <c r="BD24" s="83"/>
      <c r="BE24" s="83"/>
      <c r="BF24" s="83"/>
      <c r="BG24" s="83"/>
      <c r="BH24" s="83"/>
      <c r="BI24" s="83"/>
      <c r="BJ24" s="83"/>
      <c r="BK24" s="83"/>
      <c r="BL24" s="83"/>
      <c r="BM24" s="83"/>
      <c r="BN24" s="83"/>
      <c r="BO24" s="83"/>
      <c r="BP24" s="83"/>
      <c r="BQ24" s="83"/>
      <c r="BR24" s="83"/>
      <c r="BS24" s="83"/>
      <c r="BT24" s="83"/>
      <c r="BU24" s="83"/>
      <c r="BV24" s="83"/>
      <c r="BW24" s="83"/>
      <c r="BX24" s="83"/>
      <c r="BY24" s="83"/>
      <c r="BZ24" s="83"/>
      <c r="CA24" s="83"/>
      <c r="CB24" s="83"/>
      <c r="CD24" s="349"/>
      <c r="CE24" s="349"/>
      <c r="CF24" s="349"/>
      <c r="CG24" s="349"/>
      <c r="CH24" s="349"/>
      <c r="CI24" s="349"/>
      <c r="CJ24" s="349"/>
      <c r="CK24" s="289"/>
      <c r="CL24" s="289"/>
      <c r="CM24" s="289"/>
    </row>
    <row r="25" spans="1:91" s="146" customFormat="1" ht="21" customHeight="1">
      <c r="A25" s="78">
        <v>2</v>
      </c>
      <c r="B25" s="287" t="s">
        <v>281</v>
      </c>
      <c r="C25" s="78"/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  <c r="AS25" s="83"/>
      <c r="AT25" s="83"/>
      <c r="AU25" s="83"/>
      <c r="AV25" s="83"/>
      <c r="AW25" s="83"/>
      <c r="AX25" s="83"/>
      <c r="AY25" s="83"/>
      <c r="AZ25" s="83"/>
      <c r="BA25" s="83"/>
      <c r="BB25" s="83"/>
      <c r="BC25" s="83"/>
      <c r="BD25" s="83"/>
      <c r="BE25" s="83"/>
      <c r="BF25" s="83"/>
      <c r="BG25" s="83"/>
      <c r="BH25" s="83"/>
      <c r="BI25" s="83"/>
      <c r="BJ25" s="83"/>
      <c r="BK25" s="83"/>
      <c r="BL25" s="83"/>
      <c r="BM25" s="83"/>
      <c r="BN25" s="83"/>
      <c r="BO25" s="83"/>
      <c r="BP25" s="83"/>
      <c r="BQ25" s="83"/>
      <c r="BR25" s="83"/>
      <c r="BS25" s="83"/>
      <c r="BT25" s="83"/>
      <c r="BU25" s="83"/>
      <c r="BV25" s="83"/>
      <c r="BW25" s="83"/>
      <c r="BX25" s="83"/>
      <c r="BY25" s="83"/>
      <c r="BZ25" s="83"/>
      <c r="CA25" s="83"/>
      <c r="CB25" s="83"/>
      <c r="CD25" s="349"/>
      <c r="CE25" s="349"/>
      <c r="CF25" s="349"/>
      <c r="CG25" s="349"/>
      <c r="CH25" s="349"/>
      <c r="CI25" s="349"/>
      <c r="CJ25" s="349"/>
      <c r="CK25" s="289"/>
      <c r="CL25" s="289"/>
      <c r="CM25" s="289"/>
    </row>
    <row r="26" spans="1:91" s="146" customFormat="1" ht="21" customHeight="1">
      <c r="A26" s="78"/>
      <c r="B26" s="287" t="s">
        <v>282</v>
      </c>
      <c r="C26" s="78" t="s">
        <v>283</v>
      </c>
      <c r="D26" s="324">
        <f>'[1]B6 Linh vuc xa hoi'!$K$26</f>
        <v>1</v>
      </c>
      <c r="E26" s="83">
        <f>SUM(F26:S26)</f>
        <v>1</v>
      </c>
      <c r="F26" s="83">
        <v>1</v>
      </c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>
        <f>SUM(U26:AH26)</f>
        <v>1</v>
      </c>
      <c r="U26" s="83">
        <v>1</v>
      </c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>
        <f>SUM(AJ26:AW26)</f>
        <v>1</v>
      </c>
      <c r="AJ26" s="83">
        <v>1</v>
      </c>
      <c r="AK26" s="83"/>
      <c r="AL26" s="83"/>
      <c r="AM26" s="83"/>
      <c r="AN26" s="83"/>
      <c r="AO26" s="83"/>
      <c r="AP26" s="83"/>
      <c r="AQ26" s="83"/>
      <c r="AR26" s="83"/>
      <c r="AS26" s="83"/>
      <c r="AT26" s="83"/>
      <c r="AU26" s="83"/>
      <c r="AV26" s="83"/>
      <c r="AW26" s="83"/>
      <c r="AX26" s="83">
        <v>1</v>
      </c>
      <c r="AY26" s="83">
        <v>1</v>
      </c>
      <c r="AZ26" s="83"/>
      <c r="BA26" s="83"/>
      <c r="BB26" s="83"/>
      <c r="BC26" s="83"/>
      <c r="BD26" s="83"/>
      <c r="BE26" s="83"/>
      <c r="BF26" s="83"/>
      <c r="BG26" s="83"/>
      <c r="BH26" s="83"/>
      <c r="BI26" s="83"/>
      <c r="BJ26" s="83"/>
      <c r="BK26" s="83"/>
      <c r="BL26" s="83"/>
      <c r="BM26" s="83">
        <v>1</v>
      </c>
      <c r="BN26" s="83">
        <v>1</v>
      </c>
      <c r="BO26" s="83"/>
      <c r="BP26" s="83"/>
      <c r="BQ26" s="83"/>
      <c r="BR26" s="83"/>
      <c r="BS26" s="83"/>
      <c r="BT26" s="83"/>
      <c r="BU26" s="83"/>
      <c r="BV26" s="83"/>
      <c r="BW26" s="83"/>
      <c r="BX26" s="83"/>
      <c r="BY26" s="83"/>
      <c r="BZ26" s="83"/>
      <c r="CA26" s="83"/>
      <c r="CB26" s="83">
        <f>BM26</f>
        <v>1</v>
      </c>
      <c r="CD26" s="349">
        <v>1</v>
      </c>
      <c r="CE26" s="349">
        <v>1</v>
      </c>
      <c r="CF26" s="349">
        <v>1</v>
      </c>
      <c r="CG26" s="349">
        <v>1</v>
      </c>
      <c r="CH26" s="349">
        <v>1</v>
      </c>
      <c r="CI26" s="349">
        <v>1</v>
      </c>
      <c r="CJ26" s="349">
        <v>1</v>
      </c>
      <c r="CK26" s="351">
        <f t="shared" ref="CK26" si="22">CG26/CB26%</f>
        <v>100</v>
      </c>
      <c r="CL26" s="351">
        <f t="shared" ref="CL26" si="23">CJ26/CB26%</f>
        <v>100</v>
      </c>
      <c r="CM26" s="289"/>
    </row>
    <row r="27" spans="1:91" s="146" customFormat="1" ht="21" customHeight="1">
      <c r="A27" s="78"/>
      <c r="B27" s="287" t="s">
        <v>284</v>
      </c>
      <c r="C27" s="78" t="s">
        <v>283</v>
      </c>
      <c r="D27" s="324">
        <f>'[1]B6 Linh vuc xa hoi'!$K$27</f>
        <v>13</v>
      </c>
      <c r="E27" s="83">
        <f>SUM(F27:S27)</f>
        <v>13</v>
      </c>
      <c r="F27" s="83"/>
      <c r="G27" s="83">
        <v>1</v>
      </c>
      <c r="H27" s="83">
        <v>1</v>
      </c>
      <c r="I27" s="83">
        <v>1</v>
      </c>
      <c r="J27" s="83">
        <v>1</v>
      </c>
      <c r="K27" s="83">
        <v>1</v>
      </c>
      <c r="L27" s="83">
        <v>1</v>
      </c>
      <c r="M27" s="83">
        <v>1</v>
      </c>
      <c r="N27" s="83">
        <v>1</v>
      </c>
      <c r="O27" s="83">
        <v>1</v>
      </c>
      <c r="P27" s="83">
        <v>1</v>
      </c>
      <c r="Q27" s="83">
        <v>1</v>
      </c>
      <c r="R27" s="83">
        <v>1</v>
      </c>
      <c r="S27" s="83">
        <v>1</v>
      </c>
      <c r="T27" s="83">
        <f>SUM(U27:AH27)</f>
        <v>13</v>
      </c>
      <c r="U27" s="83"/>
      <c r="V27" s="83">
        <v>1</v>
      </c>
      <c r="W27" s="83">
        <v>1</v>
      </c>
      <c r="X27" s="83">
        <v>1</v>
      </c>
      <c r="Y27" s="83">
        <v>1</v>
      </c>
      <c r="Z27" s="83">
        <v>1</v>
      </c>
      <c r="AA27" s="83">
        <v>1</v>
      </c>
      <c r="AB27" s="83">
        <v>1</v>
      </c>
      <c r="AC27" s="83">
        <v>1</v>
      </c>
      <c r="AD27" s="83">
        <v>1</v>
      </c>
      <c r="AE27" s="83">
        <v>1</v>
      </c>
      <c r="AF27" s="83">
        <v>1</v>
      </c>
      <c r="AG27" s="83">
        <v>1</v>
      </c>
      <c r="AH27" s="83">
        <v>1</v>
      </c>
      <c r="AI27" s="83">
        <f>SUM(AJ27:AW27)</f>
        <v>13</v>
      </c>
      <c r="AJ27" s="83"/>
      <c r="AK27" s="83">
        <v>1</v>
      </c>
      <c r="AL27" s="83">
        <v>1</v>
      </c>
      <c r="AM27" s="83">
        <v>1</v>
      </c>
      <c r="AN27" s="83">
        <v>1</v>
      </c>
      <c r="AO27" s="83">
        <v>1</v>
      </c>
      <c r="AP27" s="83">
        <v>1</v>
      </c>
      <c r="AQ27" s="83">
        <v>1</v>
      </c>
      <c r="AR27" s="83">
        <v>1</v>
      </c>
      <c r="AS27" s="83">
        <v>1</v>
      </c>
      <c r="AT27" s="83">
        <v>1</v>
      </c>
      <c r="AU27" s="83">
        <v>1</v>
      </c>
      <c r="AV27" s="83">
        <v>1</v>
      </c>
      <c r="AW27" s="83">
        <v>1</v>
      </c>
      <c r="AX27" s="83">
        <f>SUM(AY27:BL27)</f>
        <v>13</v>
      </c>
      <c r="AY27" s="83"/>
      <c r="AZ27" s="83">
        <v>1</v>
      </c>
      <c r="BA27" s="83">
        <v>1</v>
      </c>
      <c r="BB27" s="83">
        <v>1</v>
      </c>
      <c r="BC27" s="83">
        <v>1</v>
      </c>
      <c r="BD27" s="83">
        <v>1</v>
      </c>
      <c r="BE27" s="83">
        <v>1</v>
      </c>
      <c r="BF27" s="83">
        <v>1</v>
      </c>
      <c r="BG27" s="83">
        <v>1</v>
      </c>
      <c r="BH27" s="83">
        <v>1</v>
      </c>
      <c r="BI27" s="83">
        <v>1</v>
      </c>
      <c r="BJ27" s="83">
        <v>1</v>
      </c>
      <c r="BK27" s="83">
        <v>1</v>
      </c>
      <c r="BL27" s="83">
        <v>1</v>
      </c>
      <c r="BM27" s="83">
        <f>SUM(BN27:CA27)</f>
        <v>13</v>
      </c>
      <c r="BN27" s="83"/>
      <c r="BO27" s="83">
        <v>1</v>
      </c>
      <c r="BP27" s="83">
        <v>1</v>
      </c>
      <c r="BQ27" s="83">
        <v>1</v>
      </c>
      <c r="BR27" s="83">
        <v>1</v>
      </c>
      <c r="BS27" s="83">
        <v>1</v>
      </c>
      <c r="BT27" s="83">
        <v>1</v>
      </c>
      <c r="BU27" s="83">
        <v>1</v>
      </c>
      <c r="BV27" s="83">
        <v>1</v>
      </c>
      <c r="BW27" s="83">
        <v>1</v>
      </c>
      <c r="BX27" s="83">
        <v>1</v>
      </c>
      <c r="BY27" s="83">
        <v>1</v>
      </c>
      <c r="BZ27" s="83">
        <v>1</v>
      </c>
      <c r="CA27" s="83">
        <v>1</v>
      </c>
      <c r="CB27" s="83">
        <f>BM27</f>
        <v>13</v>
      </c>
      <c r="CD27" s="83">
        <v>13</v>
      </c>
      <c r="CE27" s="83">
        <v>13</v>
      </c>
      <c r="CF27" s="83">
        <v>13</v>
      </c>
      <c r="CG27" s="83">
        <v>13</v>
      </c>
      <c r="CH27" s="83">
        <v>13</v>
      </c>
      <c r="CI27" s="83">
        <v>13</v>
      </c>
      <c r="CJ27" s="83">
        <v>13</v>
      </c>
      <c r="CK27" s="351">
        <f t="shared" ref="CK27:CK31" si="24">CG27/CB27%</f>
        <v>100</v>
      </c>
      <c r="CL27" s="351">
        <f t="shared" ref="CL27:CL31" si="25">CJ27/CB27%</f>
        <v>100</v>
      </c>
      <c r="CM27" s="289"/>
    </row>
    <row r="28" spans="1:91" s="154" customFormat="1" ht="32.25" customHeight="1">
      <c r="A28" s="78"/>
      <c r="B28" s="287" t="s">
        <v>285</v>
      </c>
      <c r="C28" s="78" t="s">
        <v>283</v>
      </c>
      <c r="D28" s="324">
        <f>'[1]B6 Linh vuc xa hoi'!$K$28</f>
        <v>85</v>
      </c>
      <c r="E28" s="325">
        <f>SUM(F28:S28)</f>
        <v>94</v>
      </c>
      <c r="F28" s="153">
        <v>9</v>
      </c>
      <c r="G28" s="153">
        <v>7</v>
      </c>
      <c r="H28" s="153">
        <v>6</v>
      </c>
      <c r="I28" s="153">
        <v>4</v>
      </c>
      <c r="J28" s="153">
        <v>7</v>
      </c>
      <c r="K28" s="153">
        <v>5</v>
      </c>
      <c r="L28" s="153">
        <v>7</v>
      </c>
      <c r="M28" s="153">
        <v>5</v>
      </c>
      <c r="N28" s="153">
        <v>7</v>
      </c>
      <c r="O28" s="153">
        <v>6</v>
      </c>
      <c r="P28" s="153">
        <v>8</v>
      </c>
      <c r="Q28" s="153">
        <v>9</v>
      </c>
      <c r="R28" s="153">
        <v>8</v>
      </c>
      <c r="S28" s="153">
        <v>6</v>
      </c>
      <c r="T28" s="189">
        <f>SUM(U28:AH28)</f>
        <v>101</v>
      </c>
      <c r="U28" s="153">
        <v>9</v>
      </c>
      <c r="V28" s="153">
        <v>7</v>
      </c>
      <c r="W28" s="153">
        <v>6</v>
      </c>
      <c r="X28" s="153">
        <v>4</v>
      </c>
      <c r="Y28" s="153">
        <v>7</v>
      </c>
      <c r="Z28" s="153">
        <v>5</v>
      </c>
      <c r="AA28" s="153">
        <v>9</v>
      </c>
      <c r="AB28" s="153">
        <v>8</v>
      </c>
      <c r="AC28" s="153">
        <v>7</v>
      </c>
      <c r="AD28" s="153">
        <v>6</v>
      </c>
      <c r="AE28" s="153">
        <v>8</v>
      </c>
      <c r="AF28" s="153">
        <v>9</v>
      </c>
      <c r="AG28" s="153">
        <v>8</v>
      </c>
      <c r="AH28" s="153">
        <v>8</v>
      </c>
      <c r="AI28" s="189">
        <f>SUM(AJ28:AW28)</f>
        <v>106</v>
      </c>
      <c r="AJ28" s="153">
        <v>9</v>
      </c>
      <c r="AK28" s="153">
        <v>7</v>
      </c>
      <c r="AL28" s="153">
        <v>6</v>
      </c>
      <c r="AM28" s="153">
        <v>4</v>
      </c>
      <c r="AN28" s="153">
        <v>7</v>
      </c>
      <c r="AO28" s="153">
        <v>5</v>
      </c>
      <c r="AP28" s="153">
        <v>10</v>
      </c>
      <c r="AQ28" s="153">
        <v>10</v>
      </c>
      <c r="AR28" s="153">
        <v>7</v>
      </c>
      <c r="AS28" s="153">
        <v>6</v>
      </c>
      <c r="AT28" s="153">
        <v>8</v>
      </c>
      <c r="AU28" s="153">
        <v>9</v>
      </c>
      <c r="AV28" s="153">
        <v>8</v>
      </c>
      <c r="AW28" s="153">
        <v>10</v>
      </c>
      <c r="AX28" s="189">
        <f>SUM(AY28:BL28)</f>
        <v>111</v>
      </c>
      <c r="AY28" s="153">
        <v>9</v>
      </c>
      <c r="AZ28" s="153">
        <v>7</v>
      </c>
      <c r="BA28" s="153">
        <v>6</v>
      </c>
      <c r="BB28" s="153">
        <v>4</v>
      </c>
      <c r="BC28" s="153">
        <v>7</v>
      </c>
      <c r="BD28" s="153">
        <v>5</v>
      </c>
      <c r="BE28" s="153">
        <v>12</v>
      </c>
      <c r="BF28" s="153">
        <v>11</v>
      </c>
      <c r="BG28" s="153">
        <v>7</v>
      </c>
      <c r="BH28" s="153">
        <v>6</v>
      </c>
      <c r="BI28" s="153">
        <v>8</v>
      </c>
      <c r="BJ28" s="153">
        <v>9</v>
      </c>
      <c r="BK28" s="153">
        <v>8</v>
      </c>
      <c r="BL28" s="153">
        <v>12</v>
      </c>
      <c r="BM28" s="189">
        <f>SUM(BN28:CA28)</f>
        <v>111</v>
      </c>
      <c r="BN28" s="153">
        <v>9</v>
      </c>
      <c r="BO28" s="153">
        <v>7</v>
      </c>
      <c r="BP28" s="153">
        <v>6</v>
      </c>
      <c r="BQ28" s="153">
        <v>4</v>
      </c>
      <c r="BR28" s="153">
        <v>7</v>
      </c>
      <c r="BS28" s="153">
        <v>5</v>
      </c>
      <c r="BT28" s="153">
        <v>12</v>
      </c>
      <c r="BU28" s="153">
        <v>11</v>
      </c>
      <c r="BV28" s="153">
        <v>7</v>
      </c>
      <c r="BW28" s="153">
        <v>6</v>
      </c>
      <c r="BX28" s="153">
        <v>8</v>
      </c>
      <c r="BY28" s="153">
        <v>9</v>
      </c>
      <c r="BZ28" s="153">
        <v>8</v>
      </c>
      <c r="CA28" s="153">
        <v>12</v>
      </c>
      <c r="CB28" s="189">
        <f>BM28</f>
        <v>111</v>
      </c>
      <c r="CD28" s="349">
        <v>111</v>
      </c>
      <c r="CE28" s="349">
        <v>110</v>
      </c>
      <c r="CF28" s="349">
        <v>110</v>
      </c>
      <c r="CG28" s="349">
        <v>110</v>
      </c>
      <c r="CH28" s="349">
        <v>110</v>
      </c>
      <c r="CI28" s="349">
        <v>110</v>
      </c>
      <c r="CJ28" s="349">
        <v>110</v>
      </c>
      <c r="CK28" s="351">
        <f t="shared" si="24"/>
        <v>99.099099099099092</v>
      </c>
      <c r="CL28" s="351">
        <f t="shared" si="25"/>
        <v>99.099099099099092</v>
      </c>
      <c r="CM28" s="224"/>
    </row>
    <row r="29" spans="1:91" s="146" customFormat="1" ht="27" customHeight="1">
      <c r="A29" s="78">
        <v>3</v>
      </c>
      <c r="B29" s="287" t="s">
        <v>286</v>
      </c>
      <c r="C29" s="78" t="s">
        <v>287</v>
      </c>
      <c r="D29" s="83">
        <f>'[1]B6 Linh vuc xa hoi'!$K$29</f>
        <v>3</v>
      </c>
      <c r="E29" s="83">
        <v>3</v>
      </c>
      <c r="F29" s="8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>
        <v>3</v>
      </c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>
        <v>3</v>
      </c>
      <c r="AJ29" s="83"/>
      <c r="AK29" s="83"/>
      <c r="AL29" s="83"/>
      <c r="AM29" s="83"/>
      <c r="AN29" s="83"/>
      <c r="AO29" s="83"/>
      <c r="AP29" s="83"/>
      <c r="AQ29" s="83"/>
      <c r="AR29" s="83"/>
      <c r="AS29" s="83"/>
      <c r="AT29" s="83"/>
      <c r="AU29" s="83"/>
      <c r="AV29" s="83"/>
      <c r="AW29" s="83"/>
      <c r="AX29" s="83">
        <v>3</v>
      </c>
      <c r="AY29" s="83"/>
      <c r="AZ29" s="83"/>
      <c r="BA29" s="83"/>
      <c r="BB29" s="83"/>
      <c r="BC29" s="83"/>
      <c r="BD29" s="83"/>
      <c r="BE29" s="83"/>
      <c r="BF29" s="83"/>
      <c r="BG29" s="83"/>
      <c r="BH29" s="83"/>
      <c r="BI29" s="83"/>
      <c r="BJ29" s="83"/>
      <c r="BK29" s="83"/>
      <c r="BL29" s="83"/>
      <c r="BM29" s="83">
        <v>3</v>
      </c>
      <c r="BN29" s="83"/>
      <c r="BO29" s="83"/>
      <c r="BP29" s="83"/>
      <c r="BQ29" s="83"/>
      <c r="BR29" s="83"/>
      <c r="BS29" s="83"/>
      <c r="BT29" s="83"/>
      <c r="BU29" s="83"/>
      <c r="BV29" s="83"/>
      <c r="BW29" s="83"/>
      <c r="BX29" s="83"/>
      <c r="BY29" s="83"/>
      <c r="BZ29" s="83"/>
      <c r="CA29" s="83"/>
      <c r="CB29" s="83">
        <v>3</v>
      </c>
      <c r="CD29" s="349">
        <v>3</v>
      </c>
      <c r="CE29" s="349">
        <v>3</v>
      </c>
      <c r="CF29" s="349">
        <v>3</v>
      </c>
      <c r="CG29" s="349">
        <v>3</v>
      </c>
      <c r="CH29" s="349">
        <v>3</v>
      </c>
      <c r="CI29" s="349">
        <v>3</v>
      </c>
      <c r="CJ29" s="349">
        <v>3</v>
      </c>
      <c r="CK29" s="351">
        <f t="shared" si="24"/>
        <v>100</v>
      </c>
      <c r="CL29" s="351">
        <f t="shared" si="25"/>
        <v>100</v>
      </c>
      <c r="CM29" s="289"/>
    </row>
    <row r="30" spans="1:91" s="146" customFormat="1" ht="27" customHeight="1">
      <c r="A30" s="78">
        <v>4</v>
      </c>
      <c r="B30" s="287" t="s">
        <v>288</v>
      </c>
      <c r="C30" s="78" t="s">
        <v>289</v>
      </c>
      <c r="D30" s="324">
        <f>'[1]B6 Linh vuc xa hoi'!$K$30</f>
        <v>1</v>
      </c>
      <c r="E30" s="83">
        <v>1</v>
      </c>
      <c r="F30" s="83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>
        <v>1</v>
      </c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>
        <v>1</v>
      </c>
      <c r="AJ30" s="83"/>
      <c r="AK30" s="83"/>
      <c r="AL30" s="83"/>
      <c r="AM30" s="83"/>
      <c r="AN30" s="83"/>
      <c r="AO30" s="83"/>
      <c r="AP30" s="83"/>
      <c r="AQ30" s="83"/>
      <c r="AR30" s="83"/>
      <c r="AS30" s="83"/>
      <c r="AT30" s="83"/>
      <c r="AU30" s="83"/>
      <c r="AV30" s="83"/>
      <c r="AW30" s="83"/>
      <c r="AX30" s="83">
        <v>1</v>
      </c>
      <c r="AY30" s="83"/>
      <c r="AZ30" s="83"/>
      <c r="BA30" s="83"/>
      <c r="BB30" s="83"/>
      <c r="BC30" s="83"/>
      <c r="BD30" s="83"/>
      <c r="BE30" s="83"/>
      <c r="BF30" s="83"/>
      <c r="BG30" s="83"/>
      <c r="BH30" s="83"/>
      <c r="BI30" s="83"/>
      <c r="BJ30" s="83"/>
      <c r="BK30" s="83"/>
      <c r="BL30" s="83"/>
      <c r="BM30" s="83">
        <v>1</v>
      </c>
      <c r="BN30" s="83"/>
      <c r="BO30" s="83"/>
      <c r="BP30" s="83"/>
      <c r="BQ30" s="83"/>
      <c r="BR30" s="83"/>
      <c r="BS30" s="83"/>
      <c r="BT30" s="83"/>
      <c r="BU30" s="83"/>
      <c r="BV30" s="83"/>
      <c r="BW30" s="83"/>
      <c r="BX30" s="83"/>
      <c r="BY30" s="83"/>
      <c r="BZ30" s="83"/>
      <c r="CA30" s="83"/>
      <c r="CB30" s="83">
        <v>1</v>
      </c>
      <c r="CD30" s="349">
        <v>1</v>
      </c>
      <c r="CE30" s="349">
        <v>1</v>
      </c>
      <c r="CF30" s="349">
        <v>1</v>
      </c>
      <c r="CG30" s="349">
        <v>1</v>
      </c>
      <c r="CH30" s="349">
        <v>1</v>
      </c>
      <c r="CI30" s="349">
        <v>1</v>
      </c>
      <c r="CJ30" s="349">
        <v>1</v>
      </c>
      <c r="CK30" s="351">
        <f t="shared" si="24"/>
        <v>100</v>
      </c>
      <c r="CL30" s="351">
        <f t="shared" si="25"/>
        <v>100</v>
      </c>
      <c r="CM30" s="289"/>
    </row>
    <row r="31" spans="1:91" s="146" customFormat="1" ht="27" customHeight="1">
      <c r="A31" s="78"/>
      <c r="B31" s="287" t="s">
        <v>282</v>
      </c>
      <c r="C31" s="78" t="s">
        <v>289</v>
      </c>
      <c r="D31" s="324">
        <f>'[1]B6 Linh vuc xa hoi'!$K$31</f>
        <v>1</v>
      </c>
      <c r="E31" s="83">
        <v>1</v>
      </c>
      <c r="F31" s="8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>
        <v>1</v>
      </c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>
        <v>1</v>
      </c>
      <c r="AJ31" s="83"/>
      <c r="AK31" s="83"/>
      <c r="AL31" s="83"/>
      <c r="AM31" s="83"/>
      <c r="AN31" s="83"/>
      <c r="AO31" s="83"/>
      <c r="AP31" s="83"/>
      <c r="AQ31" s="83"/>
      <c r="AR31" s="83"/>
      <c r="AS31" s="83"/>
      <c r="AT31" s="83"/>
      <c r="AU31" s="83"/>
      <c r="AV31" s="83"/>
      <c r="AW31" s="83"/>
      <c r="AX31" s="83">
        <v>1</v>
      </c>
      <c r="AY31" s="83"/>
      <c r="AZ31" s="83"/>
      <c r="BA31" s="83"/>
      <c r="BB31" s="83"/>
      <c r="BC31" s="83"/>
      <c r="BD31" s="83"/>
      <c r="BE31" s="83"/>
      <c r="BF31" s="83"/>
      <c r="BG31" s="83"/>
      <c r="BH31" s="83"/>
      <c r="BI31" s="83"/>
      <c r="BJ31" s="83"/>
      <c r="BK31" s="83"/>
      <c r="BL31" s="83"/>
      <c r="BM31" s="83">
        <v>1</v>
      </c>
      <c r="BN31" s="83"/>
      <c r="BO31" s="83"/>
      <c r="BP31" s="83"/>
      <c r="BQ31" s="83"/>
      <c r="BR31" s="83"/>
      <c r="BS31" s="83"/>
      <c r="BT31" s="83"/>
      <c r="BU31" s="83"/>
      <c r="BV31" s="83"/>
      <c r="BW31" s="83"/>
      <c r="BX31" s="83"/>
      <c r="BY31" s="83"/>
      <c r="BZ31" s="83"/>
      <c r="CA31" s="83"/>
      <c r="CB31" s="83">
        <v>1</v>
      </c>
      <c r="CD31" s="349">
        <v>1</v>
      </c>
      <c r="CE31" s="349">
        <v>1</v>
      </c>
      <c r="CF31" s="349">
        <v>1</v>
      </c>
      <c r="CG31" s="349">
        <v>1</v>
      </c>
      <c r="CH31" s="349">
        <v>1</v>
      </c>
      <c r="CI31" s="349">
        <v>1</v>
      </c>
      <c r="CJ31" s="349">
        <v>1</v>
      </c>
      <c r="CK31" s="351">
        <f t="shared" si="24"/>
        <v>100</v>
      </c>
      <c r="CL31" s="351">
        <f t="shared" si="25"/>
        <v>100</v>
      </c>
      <c r="CM31" s="289"/>
    </row>
    <row r="32" spans="1:91" s="146" customFormat="1" ht="43.5" customHeight="1">
      <c r="A32" s="78"/>
      <c r="B32" s="287" t="s">
        <v>284</v>
      </c>
      <c r="C32" s="78" t="s">
        <v>289</v>
      </c>
      <c r="D32" s="83">
        <f>'[1]B6 Linh vuc xa hoi'!$K$32</f>
        <v>0</v>
      </c>
      <c r="E32" s="83">
        <v>0</v>
      </c>
      <c r="F32" s="83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>
        <v>0</v>
      </c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>
        <v>0</v>
      </c>
      <c r="AJ32" s="83"/>
      <c r="AK32" s="83"/>
      <c r="AL32" s="83"/>
      <c r="AM32" s="83"/>
      <c r="AN32" s="83"/>
      <c r="AO32" s="83"/>
      <c r="AP32" s="83"/>
      <c r="AQ32" s="83"/>
      <c r="AR32" s="83"/>
      <c r="AS32" s="83"/>
      <c r="AT32" s="83"/>
      <c r="AU32" s="83"/>
      <c r="AV32" s="83"/>
      <c r="AW32" s="83"/>
      <c r="AX32" s="83">
        <v>0</v>
      </c>
      <c r="AY32" s="83"/>
      <c r="AZ32" s="83"/>
      <c r="BA32" s="83"/>
      <c r="BB32" s="83"/>
      <c r="BC32" s="83"/>
      <c r="BD32" s="83"/>
      <c r="BE32" s="83"/>
      <c r="BF32" s="83"/>
      <c r="BG32" s="83"/>
      <c r="BH32" s="83"/>
      <c r="BI32" s="83"/>
      <c r="BJ32" s="83"/>
      <c r="BK32" s="83"/>
      <c r="BL32" s="83"/>
      <c r="BM32" s="83">
        <v>0</v>
      </c>
      <c r="BN32" s="83"/>
      <c r="BO32" s="83"/>
      <c r="BP32" s="83"/>
      <c r="BQ32" s="83"/>
      <c r="BR32" s="83"/>
      <c r="BS32" s="83"/>
      <c r="BT32" s="83"/>
      <c r="BU32" s="83"/>
      <c r="BV32" s="83"/>
      <c r="BW32" s="83"/>
      <c r="BX32" s="83"/>
      <c r="BY32" s="83"/>
      <c r="BZ32" s="83"/>
      <c r="CA32" s="83"/>
      <c r="CB32" s="83">
        <v>0</v>
      </c>
      <c r="CD32" s="349">
        <v>0</v>
      </c>
      <c r="CE32" s="349">
        <v>0</v>
      </c>
      <c r="CF32" s="349">
        <v>0</v>
      </c>
      <c r="CG32" s="349">
        <v>0</v>
      </c>
      <c r="CH32" s="349">
        <v>0</v>
      </c>
      <c r="CI32" s="349">
        <v>0</v>
      </c>
      <c r="CJ32" s="349">
        <v>0</v>
      </c>
      <c r="CK32" s="289"/>
      <c r="CL32" s="289"/>
      <c r="CM32" s="289"/>
    </row>
    <row r="33" spans="1:91" s="146" customFormat="1" ht="30">
      <c r="A33" s="78">
        <v>5</v>
      </c>
      <c r="B33" s="287" t="s">
        <v>290</v>
      </c>
      <c r="C33" s="78" t="s">
        <v>28</v>
      </c>
      <c r="D33" s="35">
        <v>74.609665427509299</v>
      </c>
      <c r="E33" s="186">
        <f>8455/10705%</f>
        <v>78.981784212984593</v>
      </c>
      <c r="F33" s="326">
        <v>90.2</v>
      </c>
      <c r="G33" s="326">
        <v>86.5</v>
      </c>
      <c r="H33" s="326">
        <v>85.3</v>
      </c>
      <c r="I33" s="326">
        <v>85.5</v>
      </c>
      <c r="J33" s="326">
        <v>89</v>
      </c>
      <c r="K33" s="326">
        <v>94.3</v>
      </c>
      <c r="L33" s="326">
        <v>78.7</v>
      </c>
      <c r="M33" s="326">
        <v>78</v>
      </c>
      <c r="N33" s="326">
        <v>66.7</v>
      </c>
      <c r="O33" s="326">
        <v>77.099999999999994</v>
      </c>
      <c r="P33" s="326">
        <v>87.7</v>
      </c>
      <c r="Q33" s="326">
        <v>88.3</v>
      </c>
      <c r="R33" s="326">
        <v>72.099999999999994</v>
      </c>
      <c r="S33" s="326">
        <v>46.6</v>
      </c>
      <c r="T33" s="186">
        <f>8475/10705%</f>
        <v>79.168612797758058</v>
      </c>
      <c r="U33" s="326">
        <v>90.2</v>
      </c>
      <c r="V33" s="326">
        <v>86.5</v>
      </c>
      <c r="W33" s="326">
        <v>85.3</v>
      </c>
      <c r="X33" s="326">
        <v>85.5</v>
      </c>
      <c r="Y33" s="327">
        <v>89</v>
      </c>
      <c r="Z33" s="326">
        <v>94.3</v>
      </c>
      <c r="AA33" s="326">
        <v>78.7</v>
      </c>
      <c r="AB33" s="326">
        <v>78</v>
      </c>
      <c r="AC33" s="326">
        <v>67.7</v>
      </c>
      <c r="AD33" s="326">
        <v>77.099999999999994</v>
      </c>
      <c r="AE33" s="326">
        <v>87.7</v>
      </c>
      <c r="AF33" s="326">
        <v>88.3</v>
      </c>
      <c r="AG33" s="326">
        <v>72.099999999999994</v>
      </c>
      <c r="AH33" s="326">
        <v>47.3</v>
      </c>
      <c r="AI33" s="186">
        <f>8500/10705%</f>
        <v>79.402148528724894</v>
      </c>
      <c r="AJ33" s="326">
        <v>90.2</v>
      </c>
      <c r="AK33" s="326">
        <v>86.5</v>
      </c>
      <c r="AL33" s="326">
        <v>85.3</v>
      </c>
      <c r="AM33" s="326">
        <v>85.5</v>
      </c>
      <c r="AN33" s="327">
        <v>89</v>
      </c>
      <c r="AO33" s="326">
        <v>94.3</v>
      </c>
      <c r="AP33" s="326">
        <v>78.7</v>
      </c>
      <c r="AQ33" s="326">
        <v>78</v>
      </c>
      <c r="AR33" s="326">
        <v>67.7</v>
      </c>
      <c r="AS33" s="326">
        <v>77.099999999999994</v>
      </c>
      <c r="AT33" s="326">
        <v>87.7</v>
      </c>
      <c r="AU33" s="326">
        <v>88.3</v>
      </c>
      <c r="AV33" s="326">
        <v>72.099999999999994</v>
      </c>
      <c r="AW33" s="326">
        <v>48.5</v>
      </c>
      <c r="AX33" s="186">
        <f>8520/10705%</f>
        <v>79.588977113498373</v>
      </c>
      <c r="AY33" s="326">
        <v>90.2</v>
      </c>
      <c r="AZ33" s="326">
        <v>86.5</v>
      </c>
      <c r="BA33" s="326">
        <v>85.3</v>
      </c>
      <c r="BB33" s="326">
        <v>85.5</v>
      </c>
      <c r="BC33" s="327">
        <v>89</v>
      </c>
      <c r="BD33" s="326">
        <v>94.3</v>
      </c>
      <c r="BE33" s="326">
        <v>78.7</v>
      </c>
      <c r="BF33" s="326">
        <v>78</v>
      </c>
      <c r="BG33" s="326">
        <v>67.7</v>
      </c>
      <c r="BH33" s="326">
        <v>77.099999999999994</v>
      </c>
      <c r="BI33" s="326">
        <v>87.7</v>
      </c>
      <c r="BJ33" s="326">
        <v>88.3</v>
      </c>
      <c r="BK33" s="326">
        <v>72.099999999999994</v>
      </c>
      <c r="BL33" s="326">
        <v>49.7</v>
      </c>
      <c r="BM33" s="186">
        <f>8560/10705%</f>
        <v>79.962634283045304</v>
      </c>
      <c r="BN33" s="326">
        <v>90.2</v>
      </c>
      <c r="BO33" s="326">
        <v>86.5</v>
      </c>
      <c r="BP33" s="326">
        <v>85.3</v>
      </c>
      <c r="BQ33" s="326">
        <v>85.5</v>
      </c>
      <c r="BR33" s="327">
        <v>89</v>
      </c>
      <c r="BS33" s="326">
        <v>94.3</v>
      </c>
      <c r="BT33" s="326">
        <v>78.7</v>
      </c>
      <c r="BU33" s="326">
        <v>78</v>
      </c>
      <c r="BV33" s="326">
        <v>67.7</v>
      </c>
      <c r="BW33" s="326">
        <v>77.099999999999994</v>
      </c>
      <c r="BX33" s="326">
        <v>87.7</v>
      </c>
      <c r="BY33" s="326">
        <v>88.3</v>
      </c>
      <c r="BZ33" s="326">
        <v>72.099999999999994</v>
      </c>
      <c r="CA33" s="326">
        <v>53</v>
      </c>
      <c r="CB33" s="186">
        <f>BM33</f>
        <v>79.962634283045304</v>
      </c>
      <c r="CD33" s="350">
        <v>77.8</v>
      </c>
      <c r="CE33" s="350">
        <v>79.50694755714926</v>
      </c>
      <c r="CF33" s="350">
        <v>80.433322136378905</v>
      </c>
      <c r="CG33" s="350">
        <f>CF33</f>
        <v>80.433322136378905</v>
      </c>
      <c r="CH33" s="350">
        <v>80.599999999999994</v>
      </c>
      <c r="CI33" s="350">
        <v>80.900000000000006</v>
      </c>
      <c r="CJ33" s="350">
        <f>CI33</f>
        <v>80.900000000000006</v>
      </c>
      <c r="CK33" s="351">
        <f t="shared" ref="CK33" si="26">CG33/CB33%</f>
        <v>100.58863475116077</v>
      </c>
      <c r="CL33" s="351">
        <f t="shared" ref="CL33" si="27">CJ33/CB33%</f>
        <v>101.1722546728972</v>
      </c>
      <c r="CM33" s="289"/>
    </row>
    <row r="34" spans="1:91" s="146" customFormat="1" ht="36" customHeight="1">
      <c r="A34" s="78">
        <v>6</v>
      </c>
      <c r="B34" s="287" t="s">
        <v>291</v>
      </c>
      <c r="C34" s="78" t="s">
        <v>28</v>
      </c>
      <c r="D34" s="35">
        <f>'[1]B6 Linh vuc xa hoi'!$K$34</f>
        <v>79.28</v>
      </c>
      <c r="E34" s="186">
        <f>88/111%</f>
        <v>79.279279279279265</v>
      </c>
      <c r="F34" s="328">
        <f>9/9%</f>
        <v>100</v>
      </c>
      <c r="G34" s="328">
        <f>6/7%</f>
        <v>85.714285714285708</v>
      </c>
      <c r="H34" s="328">
        <f>5/6%</f>
        <v>83.333333333333343</v>
      </c>
      <c r="I34" s="328">
        <f>2/4%</f>
        <v>50</v>
      </c>
      <c r="J34" s="328">
        <f>6/7%</f>
        <v>85.714285714285708</v>
      </c>
      <c r="K34" s="328">
        <f>5/5%</f>
        <v>100</v>
      </c>
      <c r="L34" s="328">
        <f>12/12%</f>
        <v>100</v>
      </c>
      <c r="M34" s="328">
        <f>9/11%</f>
        <v>81.818181818181813</v>
      </c>
      <c r="N34" s="328">
        <f>3/7%</f>
        <v>42.857142857142854</v>
      </c>
      <c r="O34" s="328">
        <f>4/6%</f>
        <v>66.666666666666671</v>
      </c>
      <c r="P34" s="328">
        <f>6/8%</f>
        <v>75</v>
      </c>
      <c r="Q34" s="328">
        <f>8/9%</f>
        <v>88.888888888888886</v>
      </c>
      <c r="R34" s="328">
        <f>7/8%</f>
        <v>87.5</v>
      </c>
      <c r="S34" s="328">
        <f>6/12%</f>
        <v>50</v>
      </c>
      <c r="T34" s="186">
        <f>89/111%</f>
        <v>80.180180180180173</v>
      </c>
      <c r="U34" s="153">
        <f>9/9%</f>
        <v>100</v>
      </c>
      <c r="V34" s="153">
        <f>6/7%</f>
        <v>85.714285714285708</v>
      </c>
      <c r="W34" s="153">
        <f>5/6%</f>
        <v>83.333333333333343</v>
      </c>
      <c r="X34" s="153">
        <f>2/4%</f>
        <v>50</v>
      </c>
      <c r="Y34" s="153">
        <f>6/7%</f>
        <v>85.714285714285708</v>
      </c>
      <c r="Z34" s="153">
        <f>5/5%</f>
        <v>100</v>
      </c>
      <c r="AA34" s="153">
        <f>12/12%</f>
        <v>100</v>
      </c>
      <c r="AB34" s="153">
        <f>9/11%</f>
        <v>81.818181818181813</v>
      </c>
      <c r="AC34" s="153">
        <f>4/7%</f>
        <v>57.142857142857139</v>
      </c>
      <c r="AD34" s="153">
        <f>4/6%</f>
        <v>66.666666666666671</v>
      </c>
      <c r="AE34" s="153">
        <f>6/8%</f>
        <v>75</v>
      </c>
      <c r="AF34" s="153">
        <f>8/9%</f>
        <v>88.888888888888886</v>
      </c>
      <c r="AG34" s="153">
        <f>7/8%</f>
        <v>87.5</v>
      </c>
      <c r="AH34" s="153">
        <f>6/12%</f>
        <v>50</v>
      </c>
      <c r="AI34" s="186">
        <f>90/111%</f>
        <v>81.081081081081081</v>
      </c>
      <c r="AJ34" s="329">
        <f>9/9%</f>
        <v>100</v>
      </c>
      <c r="AK34" s="329">
        <f>6/7%</f>
        <v>85.714285714285708</v>
      </c>
      <c r="AL34" s="329">
        <f>5/6%</f>
        <v>83.333333333333343</v>
      </c>
      <c r="AM34" s="329">
        <f>2/4%</f>
        <v>50</v>
      </c>
      <c r="AN34" s="329">
        <f>6/7%</f>
        <v>85.714285714285708</v>
      </c>
      <c r="AO34" s="329">
        <f>5/5%</f>
        <v>100</v>
      </c>
      <c r="AP34" s="329">
        <f>12/12%</f>
        <v>100</v>
      </c>
      <c r="AQ34" s="329">
        <f>9/11%</f>
        <v>81.818181818181813</v>
      </c>
      <c r="AR34" s="329">
        <f>4/7%</f>
        <v>57.142857142857139</v>
      </c>
      <c r="AS34" s="329">
        <f>4/6%</f>
        <v>66.666666666666671</v>
      </c>
      <c r="AT34" s="329">
        <f>6/8%</f>
        <v>75</v>
      </c>
      <c r="AU34" s="329">
        <f>8/9%</f>
        <v>88.888888888888886</v>
      </c>
      <c r="AV34" s="329">
        <f>7/8%</f>
        <v>87.5</v>
      </c>
      <c r="AW34" s="329">
        <f>7/12%</f>
        <v>58.333333333333336</v>
      </c>
      <c r="AX34" s="186">
        <f>91/111%</f>
        <v>81.981981981981974</v>
      </c>
      <c r="AY34" s="153">
        <f>9/9%</f>
        <v>100</v>
      </c>
      <c r="AZ34" s="153">
        <f>6/7%</f>
        <v>85.714285714285708</v>
      </c>
      <c r="BA34" s="153">
        <f>5/6%</f>
        <v>83.333333333333343</v>
      </c>
      <c r="BB34" s="153">
        <f>2/4%</f>
        <v>50</v>
      </c>
      <c r="BC34" s="153">
        <f>6/7%</f>
        <v>85.714285714285708</v>
      </c>
      <c r="BD34" s="153">
        <f>5/5%</f>
        <v>100</v>
      </c>
      <c r="BE34" s="153">
        <f>12/12%</f>
        <v>100</v>
      </c>
      <c r="BF34" s="153">
        <f>9/11%</f>
        <v>81.818181818181813</v>
      </c>
      <c r="BG34" s="153">
        <f>5/7%</f>
        <v>71.428571428571416</v>
      </c>
      <c r="BH34" s="153">
        <f>4/6%</f>
        <v>66.666666666666671</v>
      </c>
      <c r="BI34" s="153">
        <f>6/8%</f>
        <v>75</v>
      </c>
      <c r="BJ34" s="153">
        <f>8/9%</f>
        <v>88.888888888888886</v>
      </c>
      <c r="BK34" s="153">
        <f>7/8%</f>
        <v>87.5</v>
      </c>
      <c r="BL34" s="153">
        <f>7/12%</f>
        <v>58.333333333333336</v>
      </c>
      <c r="BM34" s="186">
        <f>91/111%</f>
        <v>81.981981981981974</v>
      </c>
      <c r="BN34" s="153">
        <f>9/9%</f>
        <v>100</v>
      </c>
      <c r="BO34" s="153">
        <f>6/7%</f>
        <v>85.714285714285708</v>
      </c>
      <c r="BP34" s="153">
        <f>5/6%</f>
        <v>83.333333333333343</v>
      </c>
      <c r="BQ34" s="153">
        <f>2/4%</f>
        <v>50</v>
      </c>
      <c r="BR34" s="153">
        <f>6/7%</f>
        <v>85.714285714285708</v>
      </c>
      <c r="BS34" s="153">
        <f>5/5%</f>
        <v>100</v>
      </c>
      <c r="BT34" s="153">
        <f>12/12%</f>
        <v>100</v>
      </c>
      <c r="BU34" s="153">
        <f>9/11%</f>
        <v>81.818181818181813</v>
      </c>
      <c r="BV34" s="153">
        <f>5/7%</f>
        <v>71.428571428571416</v>
      </c>
      <c r="BW34" s="153">
        <f>4/6%</f>
        <v>66.666666666666671</v>
      </c>
      <c r="BX34" s="153">
        <f>6/8%</f>
        <v>75</v>
      </c>
      <c r="BY34" s="153">
        <f>8/9%</f>
        <v>88.888888888888886</v>
      </c>
      <c r="BZ34" s="153">
        <f>7/8%</f>
        <v>87.5</v>
      </c>
      <c r="CA34" s="153">
        <f>7/12%</f>
        <v>58.333333333333336</v>
      </c>
      <c r="CB34" s="186">
        <f>BM34</f>
        <v>81.981981981981974</v>
      </c>
      <c r="CD34" s="350">
        <v>78.378378378378372</v>
      </c>
      <c r="CE34" s="350">
        <v>79.090909090909093</v>
      </c>
      <c r="CF34" s="350">
        <v>80.909090909090907</v>
      </c>
      <c r="CG34" s="350">
        <f t="shared" ref="CG34:CG35" si="28">CF34</f>
        <v>80.909090909090907</v>
      </c>
      <c r="CH34" s="350">
        <f>AX34</f>
        <v>81.981981981981974</v>
      </c>
      <c r="CI34" s="350">
        <f>CH34</f>
        <v>81.981981981981974</v>
      </c>
      <c r="CJ34" s="350">
        <f t="shared" ref="CJ34:CJ35" si="29">CI34</f>
        <v>81.981981981981974</v>
      </c>
      <c r="CK34" s="351">
        <f t="shared" ref="CK34:CK35" si="30">CG34/CB34%</f>
        <v>98.691308691308691</v>
      </c>
      <c r="CL34" s="351">
        <f t="shared" ref="CL34:CL35" si="31">CJ34/CB34%</f>
        <v>100</v>
      </c>
      <c r="CM34" s="289"/>
    </row>
    <row r="35" spans="1:91" s="146" customFormat="1" ht="42" customHeight="1">
      <c r="A35" s="78">
        <v>7</v>
      </c>
      <c r="B35" s="287" t="s">
        <v>292</v>
      </c>
      <c r="C35" s="78" t="s">
        <v>28</v>
      </c>
      <c r="D35" s="35">
        <f>'[1]B6 Linh vuc xa hoi'!$K$35</f>
        <v>95.934959349593498</v>
      </c>
      <c r="E35" s="35">
        <f>118/123%</f>
        <v>95.934959349593498</v>
      </c>
      <c r="F35" s="35">
        <v>90.740740740740748</v>
      </c>
      <c r="G35" s="35">
        <v>100</v>
      </c>
      <c r="H35" s="35">
        <v>100</v>
      </c>
      <c r="I35" s="35">
        <v>100</v>
      </c>
      <c r="J35" s="35">
        <v>100</v>
      </c>
      <c r="K35" s="35">
        <v>100</v>
      </c>
      <c r="L35" s="35">
        <v>100</v>
      </c>
      <c r="M35" s="35">
        <v>100</v>
      </c>
      <c r="N35" s="35">
        <v>100</v>
      </c>
      <c r="O35" s="35">
        <v>100</v>
      </c>
      <c r="P35" s="35">
        <v>100</v>
      </c>
      <c r="Q35" s="35">
        <v>100</v>
      </c>
      <c r="R35" s="35">
        <v>100</v>
      </c>
      <c r="S35" s="35">
        <v>100</v>
      </c>
      <c r="T35" s="35">
        <f>118/123%</f>
        <v>95.934959349593498</v>
      </c>
      <c r="U35" s="186">
        <v>90.7</v>
      </c>
      <c r="V35" s="186">
        <f>5/5%</f>
        <v>100</v>
      </c>
      <c r="W35" s="186">
        <v>100</v>
      </c>
      <c r="X35" s="186">
        <v>100</v>
      </c>
      <c r="Y35" s="186">
        <v>100</v>
      </c>
      <c r="Z35" s="186">
        <v>100</v>
      </c>
      <c r="AA35" s="186">
        <v>100</v>
      </c>
      <c r="AB35" s="186">
        <v>100</v>
      </c>
      <c r="AC35" s="186">
        <v>100</v>
      </c>
      <c r="AD35" s="186">
        <v>100</v>
      </c>
      <c r="AE35" s="186">
        <v>100</v>
      </c>
      <c r="AF35" s="186">
        <v>100</v>
      </c>
      <c r="AG35" s="186">
        <v>100</v>
      </c>
      <c r="AH35" s="186">
        <v>100</v>
      </c>
      <c r="AI35" s="35">
        <f>119/123%</f>
        <v>96.747967479674799</v>
      </c>
      <c r="AJ35" s="186">
        <f>50/54%</f>
        <v>92.592592592592581</v>
      </c>
      <c r="AK35" s="186">
        <f>5/5%</f>
        <v>100</v>
      </c>
      <c r="AL35" s="186">
        <v>100</v>
      </c>
      <c r="AM35" s="186">
        <v>100</v>
      </c>
      <c r="AN35" s="186">
        <v>100</v>
      </c>
      <c r="AO35" s="186">
        <v>100</v>
      </c>
      <c r="AP35" s="186">
        <v>100</v>
      </c>
      <c r="AQ35" s="186">
        <v>100</v>
      </c>
      <c r="AR35" s="186">
        <v>100</v>
      </c>
      <c r="AS35" s="186">
        <v>100</v>
      </c>
      <c r="AT35" s="186">
        <v>100</v>
      </c>
      <c r="AU35" s="186">
        <v>100</v>
      </c>
      <c r="AV35" s="186">
        <v>100</v>
      </c>
      <c r="AW35" s="186">
        <v>100</v>
      </c>
      <c r="AX35" s="186">
        <f>119/123%</f>
        <v>96.747967479674799</v>
      </c>
      <c r="AY35" s="186">
        <f>50/54%</f>
        <v>92.592592592592581</v>
      </c>
      <c r="AZ35" s="186">
        <f>5/5%</f>
        <v>100</v>
      </c>
      <c r="BA35" s="186">
        <v>100</v>
      </c>
      <c r="BB35" s="186">
        <v>100</v>
      </c>
      <c r="BC35" s="186">
        <v>100</v>
      </c>
      <c r="BD35" s="186">
        <v>100</v>
      </c>
      <c r="BE35" s="186">
        <v>100</v>
      </c>
      <c r="BF35" s="186">
        <v>100</v>
      </c>
      <c r="BG35" s="186">
        <v>100</v>
      </c>
      <c r="BH35" s="186">
        <v>100</v>
      </c>
      <c r="BI35" s="186">
        <v>100</v>
      </c>
      <c r="BJ35" s="186">
        <v>100</v>
      </c>
      <c r="BK35" s="186">
        <v>100</v>
      </c>
      <c r="BL35" s="186">
        <v>100</v>
      </c>
      <c r="BM35" s="35">
        <f>120/123%</f>
        <v>97.560975609756099</v>
      </c>
      <c r="BN35" s="186">
        <f>51/54%</f>
        <v>94.444444444444443</v>
      </c>
      <c r="BO35" s="186">
        <f>5/5%</f>
        <v>100</v>
      </c>
      <c r="BP35" s="186">
        <v>100</v>
      </c>
      <c r="BQ35" s="186">
        <v>100</v>
      </c>
      <c r="BR35" s="186">
        <v>100</v>
      </c>
      <c r="BS35" s="186">
        <v>100</v>
      </c>
      <c r="BT35" s="186">
        <v>100</v>
      </c>
      <c r="BU35" s="186">
        <v>100</v>
      </c>
      <c r="BV35" s="186">
        <v>100</v>
      </c>
      <c r="BW35" s="186">
        <v>100</v>
      </c>
      <c r="BX35" s="186">
        <v>100</v>
      </c>
      <c r="BY35" s="186">
        <v>100</v>
      </c>
      <c r="BZ35" s="186">
        <v>100</v>
      </c>
      <c r="CA35" s="186">
        <v>100</v>
      </c>
      <c r="CB35" s="35">
        <f>BM35</f>
        <v>97.560975609756099</v>
      </c>
      <c r="CD35" s="350">
        <v>95.081967213114751</v>
      </c>
      <c r="CE35" s="350">
        <v>95.934959349593498</v>
      </c>
      <c r="CF35" s="350">
        <v>95.934959349593498</v>
      </c>
      <c r="CG35" s="350">
        <f t="shared" si="28"/>
        <v>95.934959349593498</v>
      </c>
      <c r="CH35" s="350">
        <f>AX35</f>
        <v>96.747967479674799</v>
      </c>
      <c r="CI35" s="350">
        <f>BM35</f>
        <v>97.560975609756099</v>
      </c>
      <c r="CJ35" s="350">
        <f t="shared" si="29"/>
        <v>97.560975609756099</v>
      </c>
      <c r="CK35" s="351">
        <f t="shared" si="30"/>
        <v>98.333333333333343</v>
      </c>
      <c r="CL35" s="351">
        <f t="shared" si="31"/>
        <v>100</v>
      </c>
      <c r="CM35" s="289"/>
    </row>
    <row r="36" spans="1:91" s="11" customFormat="1" ht="33.75" customHeight="1">
      <c r="A36" s="89" t="s">
        <v>293</v>
      </c>
      <c r="B36" s="275" t="s">
        <v>294</v>
      </c>
      <c r="C36" s="89"/>
      <c r="D36" s="90"/>
      <c r="E36" s="90"/>
      <c r="F36" s="90"/>
      <c r="G36" s="90"/>
      <c r="H36" s="90"/>
      <c r="I36" s="90"/>
      <c r="J36" s="90"/>
      <c r="K36" s="90"/>
      <c r="L36" s="90"/>
      <c r="M36" s="90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  <c r="Y36" s="90"/>
      <c r="Z36" s="90"/>
      <c r="AA36" s="90"/>
      <c r="AB36" s="90"/>
      <c r="AC36" s="90"/>
      <c r="AD36" s="90"/>
      <c r="AE36" s="90"/>
      <c r="AF36" s="90"/>
      <c r="AG36" s="90"/>
      <c r="AH36" s="90"/>
      <c r="AI36" s="90"/>
      <c r="AJ36" s="90"/>
      <c r="AK36" s="90"/>
      <c r="AL36" s="90"/>
      <c r="AM36" s="90"/>
      <c r="AN36" s="90"/>
      <c r="AO36" s="90"/>
      <c r="AP36" s="90"/>
      <c r="AQ36" s="90"/>
      <c r="AR36" s="90"/>
      <c r="AS36" s="90"/>
      <c r="AT36" s="90"/>
      <c r="AU36" s="90"/>
      <c r="AV36" s="90"/>
      <c r="AW36" s="90"/>
      <c r="AX36" s="90"/>
      <c r="AY36" s="90"/>
      <c r="AZ36" s="90"/>
      <c r="BA36" s="90"/>
      <c r="BB36" s="90"/>
      <c r="BC36" s="90"/>
      <c r="BD36" s="90"/>
      <c r="BE36" s="90"/>
      <c r="BF36" s="90"/>
      <c r="BG36" s="90"/>
      <c r="BH36" s="90"/>
      <c r="BI36" s="90"/>
      <c r="BJ36" s="90"/>
      <c r="BK36" s="90"/>
      <c r="BL36" s="90"/>
      <c r="BM36" s="90"/>
      <c r="BN36" s="90"/>
      <c r="BO36" s="90"/>
      <c r="BP36" s="90"/>
      <c r="BQ36" s="90"/>
      <c r="BR36" s="90"/>
      <c r="BS36" s="90"/>
      <c r="BT36" s="90"/>
      <c r="BU36" s="90"/>
      <c r="BV36" s="90"/>
      <c r="BW36" s="90"/>
      <c r="BX36" s="90"/>
      <c r="BY36" s="90"/>
      <c r="BZ36" s="90"/>
      <c r="CA36" s="90"/>
      <c r="CB36" s="90"/>
      <c r="CD36" s="356"/>
      <c r="CE36" s="356"/>
      <c r="CF36" s="356"/>
      <c r="CG36" s="356"/>
      <c r="CH36" s="356"/>
      <c r="CI36" s="356"/>
      <c r="CJ36" s="356"/>
      <c r="CK36" s="207"/>
      <c r="CL36" s="207"/>
      <c r="CM36" s="207"/>
    </row>
    <row r="37" spans="1:91" s="146" customFormat="1" ht="42" customHeight="1">
      <c r="A37" s="78">
        <v>1</v>
      </c>
      <c r="B37" s="287" t="s">
        <v>295</v>
      </c>
      <c r="C37" s="78" t="s">
        <v>296</v>
      </c>
      <c r="D37" s="330">
        <f>'[1]B6 Linh vuc xa hoi'!$K$37</f>
        <v>32.012292720404631</v>
      </c>
      <c r="E37" s="330">
        <f>E38</f>
        <v>31.3</v>
      </c>
      <c r="F37" s="331"/>
      <c r="G37" s="330"/>
      <c r="H37" s="330"/>
      <c r="I37" s="330"/>
      <c r="J37" s="330"/>
      <c r="K37" s="330"/>
      <c r="L37" s="330"/>
      <c r="M37" s="330"/>
      <c r="N37" s="330"/>
      <c r="O37" s="330"/>
      <c r="P37" s="330"/>
      <c r="Q37" s="330"/>
      <c r="R37" s="330"/>
      <c r="S37" s="330"/>
      <c r="T37" s="330">
        <f>T38</f>
        <v>32.700000000000003</v>
      </c>
      <c r="U37" s="331"/>
      <c r="V37" s="330"/>
      <c r="W37" s="330"/>
      <c r="X37" s="330"/>
      <c r="Y37" s="330"/>
      <c r="Z37" s="330"/>
      <c r="AA37" s="330"/>
      <c r="AB37" s="330"/>
      <c r="AC37" s="330"/>
      <c r="AD37" s="330"/>
      <c r="AE37" s="330"/>
      <c r="AF37" s="330"/>
      <c r="AG37" s="330"/>
      <c r="AH37" s="330"/>
      <c r="AI37" s="330">
        <f>AI38</f>
        <v>32.1</v>
      </c>
      <c r="AJ37" s="331"/>
      <c r="AK37" s="330"/>
      <c r="AL37" s="330"/>
      <c r="AM37" s="330"/>
      <c r="AN37" s="330"/>
      <c r="AO37" s="330"/>
      <c r="AP37" s="330"/>
      <c r="AQ37" s="330"/>
      <c r="AR37" s="330"/>
      <c r="AS37" s="330"/>
      <c r="AT37" s="330"/>
      <c r="AU37" s="330"/>
      <c r="AV37" s="330"/>
      <c r="AW37" s="330"/>
      <c r="AX37" s="330">
        <f>AX38</f>
        <v>34</v>
      </c>
      <c r="AY37" s="330"/>
      <c r="AZ37" s="330"/>
      <c r="BA37" s="330"/>
      <c r="BB37" s="330"/>
      <c r="BC37" s="330"/>
      <c r="BD37" s="330"/>
      <c r="BE37" s="330"/>
      <c r="BF37" s="330"/>
      <c r="BG37" s="330"/>
      <c r="BH37" s="330"/>
      <c r="BI37" s="330"/>
      <c r="BJ37" s="330"/>
      <c r="BK37" s="330"/>
      <c r="BL37" s="330"/>
      <c r="BM37" s="330">
        <f>BM38</f>
        <v>33.299999999999997</v>
      </c>
      <c r="BN37" s="330"/>
      <c r="BO37" s="330"/>
      <c r="BP37" s="330"/>
      <c r="BQ37" s="330"/>
      <c r="BR37" s="330"/>
      <c r="BS37" s="330"/>
      <c r="BT37" s="330"/>
      <c r="BU37" s="330"/>
      <c r="BV37" s="330"/>
      <c r="BW37" s="330"/>
      <c r="BX37" s="330"/>
      <c r="BY37" s="330"/>
      <c r="BZ37" s="330"/>
      <c r="CA37" s="330"/>
      <c r="CB37" s="330">
        <f>BM37</f>
        <v>33.299999999999997</v>
      </c>
      <c r="CD37" s="350">
        <v>31.3</v>
      </c>
      <c r="CE37" s="350">
        <v>31.25</v>
      </c>
      <c r="CF37" s="350">
        <v>30.7</v>
      </c>
      <c r="CG37" s="350">
        <v>30.7</v>
      </c>
      <c r="CH37" s="350">
        <v>30.190805893245308</v>
      </c>
      <c r="CI37" s="350">
        <v>29.760133325397298</v>
      </c>
      <c r="CJ37" s="350">
        <v>29.76</v>
      </c>
      <c r="CK37" s="351">
        <f t="shared" ref="CK37" si="32">CG37/CB37%</f>
        <v>92.192192192192195</v>
      </c>
      <c r="CL37" s="351">
        <f t="shared" ref="CL37" si="33">CJ37/CB37%</f>
        <v>89.36936936936938</v>
      </c>
      <c r="CM37" s="289"/>
    </row>
    <row r="38" spans="1:91" s="146" customFormat="1" ht="30.75" customHeight="1">
      <c r="A38" s="78">
        <v>2</v>
      </c>
      <c r="B38" s="287" t="s">
        <v>297</v>
      </c>
      <c r="C38" s="78" t="s">
        <v>296</v>
      </c>
      <c r="D38" s="330">
        <f>'[1]B6 Linh vuc xa hoi'!$K$38</f>
        <v>32.012292720404631</v>
      </c>
      <c r="E38" s="330">
        <v>31.3</v>
      </c>
      <c r="F38" s="331"/>
      <c r="G38" s="330"/>
      <c r="H38" s="330"/>
      <c r="I38" s="330"/>
      <c r="J38" s="330"/>
      <c r="K38" s="330"/>
      <c r="L38" s="330"/>
      <c r="M38" s="330"/>
      <c r="N38" s="330"/>
      <c r="O38" s="330"/>
      <c r="P38" s="330"/>
      <c r="Q38" s="330"/>
      <c r="R38" s="330"/>
      <c r="S38" s="330"/>
      <c r="T38" s="330">
        <v>32.700000000000003</v>
      </c>
      <c r="U38" s="331"/>
      <c r="V38" s="330"/>
      <c r="W38" s="330"/>
      <c r="X38" s="330"/>
      <c r="Y38" s="330"/>
      <c r="Z38" s="330"/>
      <c r="AA38" s="330"/>
      <c r="AB38" s="330"/>
      <c r="AC38" s="330"/>
      <c r="AD38" s="330"/>
      <c r="AE38" s="330"/>
      <c r="AF38" s="330"/>
      <c r="AG38" s="330"/>
      <c r="AH38" s="330"/>
      <c r="AI38" s="330">
        <v>32.1</v>
      </c>
      <c r="AJ38" s="331"/>
      <c r="AK38" s="330"/>
      <c r="AL38" s="330"/>
      <c r="AM38" s="330"/>
      <c r="AN38" s="330"/>
      <c r="AO38" s="330"/>
      <c r="AP38" s="330"/>
      <c r="AQ38" s="330"/>
      <c r="AR38" s="330"/>
      <c r="AS38" s="330"/>
      <c r="AT38" s="330"/>
      <c r="AU38" s="330"/>
      <c r="AV38" s="330"/>
      <c r="AW38" s="330"/>
      <c r="AX38" s="330">
        <v>34</v>
      </c>
      <c r="AY38" s="330"/>
      <c r="AZ38" s="330"/>
      <c r="BA38" s="330"/>
      <c r="BB38" s="330"/>
      <c r="BC38" s="330"/>
      <c r="BD38" s="330"/>
      <c r="BE38" s="330"/>
      <c r="BF38" s="330"/>
      <c r="BG38" s="330"/>
      <c r="BH38" s="330"/>
      <c r="BI38" s="330"/>
      <c r="BJ38" s="330"/>
      <c r="BK38" s="330"/>
      <c r="BL38" s="330"/>
      <c r="BM38" s="330">
        <v>33.299999999999997</v>
      </c>
      <c r="BN38" s="330"/>
      <c r="BO38" s="330"/>
      <c r="BP38" s="330"/>
      <c r="BQ38" s="330"/>
      <c r="BR38" s="330"/>
      <c r="BS38" s="330"/>
      <c r="BT38" s="330"/>
      <c r="BU38" s="330"/>
      <c r="BV38" s="330"/>
      <c r="BW38" s="330"/>
      <c r="BX38" s="330"/>
      <c r="BY38" s="330"/>
      <c r="BZ38" s="330"/>
      <c r="CA38" s="330"/>
      <c r="CB38" s="330">
        <f t="shared" ref="CB38:CB48" si="34">BM38</f>
        <v>33.299999999999997</v>
      </c>
      <c r="CD38" s="350">
        <f>CD37</f>
        <v>31.3</v>
      </c>
      <c r="CE38" s="350">
        <f t="shared" ref="CE38:CJ38" si="35">CE37</f>
        <v>31.25</v>
      </c>
      <c r="CF38" s="350">
        <f t="shared" si="35"/>
        <v>30.7</v>
      </c>
      <c r="CG38" s="350">
        <f t="shared" si="35"/>
        <v>30.7</v>
      </c>
      <c r="CH38" s="350">
        <f t="shared" si="35"/>
        <v>30.190805893245308</v>
      </c>
      <c r="CI38" s="350">
        <f t="shared" si="35"/>
        <v>29.760133325397298</v>
      </c>
      <c r="CJ38" s="350">
        <f t="shared" si="35"/>
        <v>29.76</v>
      </c>
      <c r="CK38" s="351">
        <f t="shared" ref="CK38" si="36">CG38/CB38%</f>
        <v>92.192192192192195</v>
      </c>
      <c r="CL38" s="351">
        <f t="shared" ref="CL38" si="37">CJ38/CB38%</f>
        <v>89.36936936936938</v>
      </c>
      <c r="CM38" s="289"/>
    </row>
    <row r="39" spans="1:91" s="146" customFormat="1" ht="30.75" customHeight="1">
      <c r="A39" s="78">
        <v>3</v>
      </c>
      <c r="B39" s="287" t="s">
        <v>298</v>
      </c>
      <c r="C39" s="78" t="s">
        <v>296</v>
      </c>
      <c r="D39" s="330">
        <f>'[1]B6 Linh vuc xa hoi'!$K$39</f>
        <v>0</v>
      </c>
      <c r="E39" s="330">
        <v>0</v>
      </c>
      <c r="F39" s="330"/>
      <c r="G39" s="330"/>
      <c r="H39" s="330"/>
      <c r="I39" s="330"/>
      <c r="J39" s="330"/>
      <c r="K39" s="330"/>
      <c r="L39" s="330"/>
      <c r="M39" s="330"/>
      <c r="N39" s="330"/>
      <c r="O39" s="330"/>
      <c r="P39" s="330"/>
      <c r="Q39" s="330"/>
      <c r="R39" s="330"/>
      <c r="S39" s="330"/>
      <c r="T39" s="330">
        <v>0</v>
      </c>
      <c r="U39" s="330"/>
      <c r="V39" s="330"/>
      <c r="W39" s="330"/>
      <c r="X39" s="330"/>
      <c r="Y39" s="330"/>
      <c r="Z39" s="330"/>
      <c r="AA39" s="330"/>
      <c r="AB39" s="330"/>
      <c r="AC39" s="330"/>
      <c r="AD39" s="330"/>
      <c r="AE39" s="330"/>
      <c r="AF39" s="330"/>
      <c r="AG39" s="330"/>
      <c r="AH39" s="330"/>
      <c r="AI39" s="330">
        <v>0</v>
      </c>
      <c r="AJ39" s="330"/>
      <c r="AK39" s="330"/>
      <c r="AL39" s="330"/>
      <c r="AM39" s="330"/>
      <c r="AN39" s="330"/>
      <c r="AO39" s="330"/>
      <c r="AP39" s="330"/>
      <c r="AQ39" s="330"/>
      <c r="AR39" s="330"/>
      <c r="AS39" s="330"/>
      <c r="AT39" s="330"/>
      <c r="AU39" s="330"/>
      <c r="AV39" s="330"/>
      <c r="AW39" s="330"/>
      <c r="AX39" s="330">
        <v>0</v>
      </c>
      <c r="AY39" s="330"/>
      <c r="AZ39" s="330"/>
      <c r="BA39" s="330"/>
      <c r="BB39" s="330"/>
      <c r="BC39" s="330"/>
      <c r="BD39" s="330"/>
      <c r="BE39" s="330"/>
      <c r="BF39" s="330"/>
      <c r="BG39" s="330"/>
      <c r="BH39" s="330"/>
      <c r="BI39" s="330"/>
      <c r="BJ39" s="330"/>
      <c r="BK39" s="330"/>
      <c r="BL39" s="330"/>
      <c r="BM39" s="330">
        <v>0</v>
      </c>
      <c r="BN39" s="330"/>
      <c r="BO39" s="330"/>
      <c r="BP39" s="330"/>
      <c r="BQ39" s="330"/>
      <c r="BR39" s="330"/>
      <c r="BS39" s="330"/>
      <c r="BT39" s="330"/>
      <c r="BU39" s="330"/>
      <c r="BV39" s="330"/>
      <c r="BW39" s="330"/>
      <c r="BX39" s="330"/>
      <c r="BY39" s="330"/>
      <c r="BZ39" s="330"/>
      <c r="CA39" s="330"/>
      <c r="CB39" s="330">
        <f t="shared" si="34"/>
        <v>0</v>
      </c>
      <c r="CD39" s="349">
        <v>0</v>
      </c>
      <c r="CE39" s="349">
        <v>0</v>
      </c>
      <c r="CF39" s="349">
        <v>0</v>
      </c>
      <c r="CG39" s="349">
        <v>0</v>
      </c>
      <c r="CH39" s="349">
        <v>0</v>
      </c>
      <c r="CI39" s="349">
        <v>0</v>
      </c>
      <c r="CJ39" s="349">
        <v>0</v>
      </c>
      <c r="CK39" s="289"/>
      <c r="CL39" s="289"/>
      <c r="CM39" s="289"/>
    </row>
    <row r="40" spans="1:91" s="146" customFormat="1" ht="30.75" customHeight="1">
      <c r="A40" s="78">
        <v>4</v>
      </c>
      <c r="B40" s="287" t="s">
        <v>299</v>
      </c>
      <c r="C40" s="78" t="s">
        <v>300</v>
      </c>
      <c r="D40" s="35">
        <f>'[1]B6 Linh vuc xa hoi'!$K$40</f>
        <v>7.4695349680944156</v>
      </c>
      <c r="E40" s="35">
        <f>36/4.7</f>
        <v>7.6595744680851059</v>
      </c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>
        <f>37/4.8</f>
        <v>7.7083333333333339</v>
      </c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  <c r="AF40" s="35"/>
      <c r="AG40" s="35"/>
      <c r="AH40" s="35"/>
      <c r="AI40" s="35">
        <f>40/4.9</f>
        <v>8.1632653061224492</v>
      </c>
      <c r="AJ40" s="35"/>
      <c r="AK40" s="35"/>
      <c r="AL40" s="35"/>
      <c r="AM40" s="35"/>
      <c r="AN40" s="35"/>
      <c r="AO40" s="35"/>
      <c r="AP40" s="35"/>
      <c r="AQ40" s="35"/>
      <c r="AR40" s="35"/>
      <c r="AS40" s="35"/>
      <c r="AT40" s="35"/>
      <c r="AU40" s="35"/>
      <c r="AV40" s="35"/>
      <c r="AW40" s="35"/>
      <c r="AX40" s="35">
        <f>45/5</f>
        <v>9</v>
      </c>
      <c r="AY40" s="35"/>
      <c r="AZ40" s="35"/>
      <c r="BA40" s="35"/>
      <c r="BB40" s="35"/>
      <c r="BC40" s="35"/>
      <c r="BD40" s="35"/>
      <c r="BE40" s="35"/>
      <c r="BF40" s="35"/>
      <c r="BG40" s="35"/>
      <c r="BH40" s="35"/>
      <c r="BI40" s="35"/>
      <c r="BJ40" s="35"/>
      <c r="BK40" s="35"/>
      <c r="BL40" s="35"/>
      <c r="BM40" s="35">
        <f>51/5.1</f>
        <v>10</v>
      </c>
      <c r="BN40" s="35"/>
      <c r="BO40" s="35"/>
      <c r="BP40" s="35"/>
      <c r="BQ40" s="35"/>
      <c r="BR40" s="35"/>
      <c r="BS40" s="35"/>
      <c r="BT40" s="35"/>
      <c r="BU40" s="35"/>
      <c r="BV40" s="35"/>
      <c r="BW40" s="35"/>
      <c r="BX40" s="35"/>
      <c r="BY40" s="35"/>
      <c r="BZ40" s="35"/>
      <c r="CA40" s="35"/>
      <c r="CB40" s="35">
        <f t="shared" si="34"/>
        <v>10</v>
      </c>
      <c r="CD40" s="350">
        <v>8.4</v>
      </c>
      <c r="CE40" s="350">
        <v>9.9</v>
      </c>
      <c r="CF40" s="350">
        <v>10.199999999999999</v>
      </c>
      <c r="CG40" s="350">
        <f>CF40</f>
        <v>10.199999999999999</v>
      </c>
      <c r="CH40" s="350">
        <v>10.466146042991708</v>
      </c>
      <c r="CI40" s="350">
        <v>10.713647997143028</v>
      </c>
      <c r="CJ40" s="350">
        <v>10.7</v>
      </c>
      <c r="CK40" s="351">
        <f t="shared" ref="CK40" si="38">CG40/CB40%</f>
        <v>101.99999999999999</v>
      </c>
      <c r="CL40" s="351">
        <f t="shared" ref="CL40" si="39">CJ40/CB40%</f>
        <v>106.99999999999999</v>
      </c>
      <c r="CM40" s="289"/>
    </row>
    <row r="41" spans="1:91" s="146" customFormat="1" ht="45" customHeight="1">
      <c r="A41" s="78">
        <v>5</v>
      </c>
      <c r="B41" s="287" t="s">
        <v>301</v>
      </c>
      <c r="C41" s="78" t="s">
        <v>242</v>
      </c>
      <c r="D41" s="330">
        <f>'[1]B6 Linh vuc xa hoi'!$K$41</f>
        <v>90.1</v>
      </c>
      <c r="E41" s="83">
        <v>150</v>
      </c>
      <c r="F41" s="83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>
        <v>130</v>
      </c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>
        <v>130</v>
      </c>
      <c r="AJ41" s="83"/>
      <c r="AK41" s="83"/>
      <c r="AL41" s="83"/>
      <c r="AM41" s="83"/>
      <c r="AN41" s="83"/>
      <c r="AO41" s="83"/>
      <c r="AP41" s="83"/>
      <c r="AQ41" s="83"/>
      <c r="AR41" s="83"/>
      <c r="AS41" s="83"/>
      <c r="AT41" s="83"/>
      <c r="AU41" s="83"/>
      <c r="AV41" s="83"/>
      <c r="AW41" s="83"/>
      <c r="AX41" s="83">
        <v>130</v>
      </c>
      <c r="AY41" s="83"/>
      <c r="AZ41" s="83"/>
      <c r="BA41" s="83"/>
      <c r="BB41" s="83"/>
      <c r="BC41" s="83"/>
      <c r="BD41" s="83"/>
      <c r="BE41" s="83"/>
      <c r="BF41" s="83"/>
      <c r="BG41" s="83"/>
      <c r="BH41" s="83"/>
      <c r="BI41" s="83"/>
      <c r="BJ41" s="83"/>
      <c r="BK41" s="83"/>
      <c r="BL41" s="83"/>
      <c r="BM41" s="83">
        <v>130</v>
      </c>
      <c r="BN41" s="83"/>
      <c r="BO41" s="83"/>
      <c r="BP41" s="83"/>
      <c r="BQ41" s="83"/>
      <c r="BR41" s="83"/>
      <c r="BS41" s="83"/>
      <c r="BT41" s="83"/>
      <c r="BU41" s="83"/>
      <c r="BV41" s="83"/>
      <c r="BW41" s="83"/>
      <c r="BX41" s="83"/>
      <c r="BY41" s="83"/>
      <c r="BZ41" s="83"/>
      <c r="CA41" s="83"/>
      <c r="CB41" s="83">
        <f t="shared" si="34"/>
        <v>130</v>
      </c>
      <c r="CD41" s="350">
        <v>207.68431983385256</v>
      </c>
      <c r="CE41" s="350">
        <v>97.560975609756099</v>
      </c>
      <c r="CF41" s="349">
        <v>130</v>
      </c>
      <c r="CG41" s="349">
        <v>130</v>
      </c>
      <c r="CH41" s="349">
        <v>130</v>
      </c>
      <c r="CI41" s="349">
        <v>130</v>
      </c>
      <c r="CJ41" s="349">
        <v>130</v>
      </c>
      <c r="CK41" s="351">
        <f t="shared" ref="CK41:CK44" si="40">CG41/CB41%</f>
        <v>100</v>
      </c>
      <c r="CL41" s="351">
        <f t="shared" ref="CL41:CL44" si="41">CJ41/CB41%</f>
        <v>100</v>
      </c>
      <c r="CM41" s="289"/>
    </row>
    <row r="42" spans="1:91" s="146" customFormat="1" ht="30.75" customHeight="1">
      <c r="A42" s="78">
        <v>6</v>
      </c>
      <c r="B42" s="287" t="s">
        <v>302</v>
      </c>
      <c r="C42" s="78" t="s">
        <v>261</v>
      </c>
      <c r="D42" s="35">
        <f>'[1]B6 Linh vuc xa hoi'!$K$42</f>
        <v>40.9</v>
      </c>
      <c r="E42" s="158">
        <v>39.9</v>
      </c>
      <c r="F42" s="158">
        <v>0</v>
      </c>
      <c r="G42" s="158">
        <v>38</v>
      </c>
      <c r="H42" s="158">
        <v>56.82</v>
      </c>
      <c r="I42" s="158">
        <v>19.28</v>
      </c>
      <c r="J42" s="158">
        <v>14.9</v>
      </c>
      <c r="K42" s="158">
        <v>38</v>
      </c>
      <c r="L42" s="158">
        <v>111</v>
      </c>
      <c r="M42" s="158">
        <v>3.8</v>
      </c>
      <c r="N42" s="158">
        <v>136</v>
      </c>
      <c r="O42" s="158">
        <v>17</v>
      </c>
      <c r="P42" s="158">
        <v>14</v>
      </c>
      <c r="Q42" s="158">
        <v>30</v>
      </c>
      <c r="R42" s="158">
        <v>23</v>
      </c>
      <c r="S42" s="158">
        <v>59</v>
      </c>
      <c r="T42" s="158">
        <v>39.5</v>
      </c>
      <c r="U42" s="158">
        <v>0</v>
      </c>
      <c r="V42" s="158">
        <v>38</v>
      </c>
      <c r="W42" s="158">
        <v>56.82</v>
      </c>
      <c r="X42" s="158">
        <v>19.28</v>
      </c>
      <c r="Y42" s="158">
        <v>14.9</v>
      </c>
      <c r="Z42" s="158">
        <v>38</v>
      </c>
      <c r="AA42" s="158">
        <v>110</v>
      </c>
      <c r="AB42" s="158">
        <v>3.8</v>
      </c>
      <c r="AC42" s="158">
        <v>136</v>
      </c>
      <c r="AD42" s="158">
        <v>17</v>
      </c>
      <c r="AE42" s="158">
        <v>14</v>
      </c>
      <c r="AF42" s="158">
        <v>30</v>
      </c>
      <c r="AG42" s="158">
        <v>23</v>
      </c>
      <c r="AH42" s="158">
        <v>59</v>
      </c>
      <c r="AI42" s="158">
        <v>39</v>
      </c>
      <c r="AJ42" s="158">
        <v>2</v>
      </c>
      <c r="AK42" s="158">
        <v>35</v>
      </c>
      <c r="AL42" s="158">
        <v>53</v>
      </c>
      <c r="AM42" s="158">
        <v>16</v>
      </c>
      <c r="AN42" s="158">
        <v>11</v>
      </c>
      <c r="AO42" s="158">
        <v>35</v>
      </c>
      <c r="AP42" s="158">
        <v>110</v>
      </c>
      <c r="AQ42" s="158">
        <v>10</v>
      </c>
      <c r="AR42" s="158">
        <v>120</v>
      </c>
      <c r="AS42" s="158">
        <v>14</v>
      </c>
      <c r="AT42" s="158">
        <v>11</v>
      </c>
      <c r="AU42" s="158">
        <v>27</v>
      </c>
      <c r="AV42" s="158">
        <v>20</v>
      </c>
      <c r="AW42" s="158">
        <v>56</v>
      </c>
      <c r="AX42" s="158">
        <v>38.5</v>
      </c>
      <c r="AY42" s="158">
        <v>1.5</v>
      </c>
      <c r="AZ42" s="158">
        <v>32</v>
      </c>
      <c r="BA42" s="158">
        <v>50</v>
      </c>
      <c r="BB42" s="158">
        <v>14</v>
      </c>
      <c r="BC42" s="158">
        <v>9</v>
      </c>
      <c r="BD42" s="158">
        <v>32</v>
      </c>
      <c r="BE42" s="158">
        <v>105</v>
      </c>
      <c r="BF42" s="158">
        <v>10</v>
      </c>
      <c r="BG42" s="158">
        <v>100</v>
      </c>
      <c r="BH42" s="158">
        <v>14</v>
      </c>
      <c r="BI42" s="158">
        <v>10</v>
      </c>
      <c r="BJ42" s="158">
        <v>25</v>
      </c>
      <c r="BK42" s="158">
        <v>20</v>
      </c>
      <c r="BL42" s="158">
        <v>53</v>
      </c>
      <c r="BM42" s="158">
        <v>38.1</v>
      </c>
      <c r="BN42" s="158">
        <v>1.5</v>
      </c>
      <c r="BO42" s="158">
        <v>30.4</v>
      </c>
      <c r="BP42" s="158">
        <v>48.4</v>
      </c>
      <c r="BQ42" s="158">
        <v>12</v>
      </c>
      <c r="BR42" s="158">
        <v>9</v>
      </c>
      <c r="BS42" s="158">
        <v>30</v>
      </c>
      <c r="BT42" s="158">
        <v>102</v>
      </c>
      <c r="BU42" s="158">
        <v>9</v>
      </c>
      <c r="BV42" s="158">
        <v>97</v>
      </c>
      <c r="BW42" s="158">
        <v>12</v>
      </c>
      <c r="BX42" s="158">
        <v>8</v>
      </c>
      <c r="BY42" s="158">
        <v>22</v>
      </c>
      <c r="BZ42" s="158">
        <v>18</v>
      </c>
      <c r="CA42" s="158">
        <v>51</v>
      </c>
      <c r="CB42" s="158">
        <f t="shared" si="34"/>
        <v>38.1</v>
      </c>
      <c r="CD42" s="350">
        <v>36.799999999999997</v>
      </c>
      <c r="CE42" s="350">
        <v>39.5</v>
      </c>
      <c r="CF42" s="350">
        <v>32</v>
      </c>
      <c r="CG42" s="350">
        <v>32</v>
      </c>
      <c r="CH42" s="350">
        <v>30.8</v>
      </c>
      <c r="CI42" s="350">
        <v>30.2</v>
      </c>
      <c r="CJ42" s="350">
        <v>30.2</v>
      </c>
      <c r="CK42" s="351">
        <f t="shared" si="40"/>
        <v>83.98950131233596</v>
      </c>
      <c r="CL42" s="351">
        <f t="shared" si="41"/>
        <v>79.265091863517057</v>
      </c>
      <c r="CM42" s="289"/>
    </row>
    <row r="43" spans="1:91" s="146" customFormat="1" ht="30.75" customHeight="1">
      <c r="A43" s="78">
        <v>7</v>
      </c>
      <c r="B43" s="287" t="s">
        <v>303</v>
      </c>
      <c r="C43" s="78" t="s">
        <v>261</v>
      </c>
      <c r="D43" s="35">
        <f>'[1]B6 Linh vuc xa hoi'!$K$43</f>
        <v>51</v>
      </c>
      <c r="E43" s="158">
        <f>AVERAGE(F43:S43)</f>
        <v>50.290998672350497</v>
      </c>
      <c r="F43" s="35">
        <v>10</v>
      </c>
      <c r="G43" s="35">
        <v>40</v>
      </c>
      <c r="H43" s="35">
        <v>117.64705882352941</v>
      </c>
      <c r="I43" s="35">
        <v>42.553191489361701</v>
      </c>
      <c r="J43" s="35">
        <v>16.949152542372882</v>
      </c>
      <c r="K43" s="35">
        <v>40</v>
      </c>
      <c r="L43" s="35">
        <v>128.57142857142858</v>
      </c>
      <c r="M43" s="35">
        <v>15.625</v>
      </c>
      <c r="N43" s="35">
        <v>138.46153846153845</v>
      </c>
      <c r="O43" s="35">
        <v>19.23076923076923</v>
      </c>
      <c r="P43" s="35">
        <v>16.666666666666668</v>
      </c>
      <c r="Q43" s="35">
        <v>32.258064516129032</v>
      </c>
      <c r="R43" s="35">
        <v>25</v>
      </c>
      <c r="S43" s="35">
        <v>61.111111111111114</v>
      </c>
      <c r="T43" s="158">
        <f>AVERAGE(U43:AH43)</f>
        <v>48.928571428571431</v>
      </c>
      <c r="U43" s="158">
        <v>9</v>
      </c>
      <c r="V43" s="158">
        <v>39</v>
      </c>
      <c r="W43" s="158">
        <v>116</v>
      </c>
      <c r="X43" s="158">
        <v>41</v>
      </c>
      <c r="Y43" s="158">
        <v>15</v>
      </c>
      <c r="Z43" s="158">
        <v>39</v>
      </c>
      <c r="AA43" s="158">
        <v>127</v>
      </c>
      <c r="AB43" s="158">
        <v>14</v>
      </c>
      <c r="AC43" s="158">
        <v>137</v>
      </c>
      <c r="AD43" s="158">
        <v>18</v>
      </c>
      <c r="AE43" s="158">
        <v>15</v>
      </c>
      <c r="AF43" s="158">
        <v>31</v>
      </c>
      <c r="AG43" s="158">
        <v>24</v>
      </c>
      <c r="AH43" s="158">
        <v>60</v>
      </c>
      <c r="AI43" s="158">
        <f>AVERAGE(AJ43:AW43)</f>
        <v>46.071428571428569</v>
      </c>
      <c r="AJ43" s="158">
        <v>8</v>
      </c>
      <c r="AK43" s="158">
        <v>38</v>
      </c>
      <c r="AL43" s="158">
        <v>90</v>
      </c>
      <c r="AM43" s="158">
        <v>40</v>
      </c>
      <c r="AN43" s="158">
        <v>15</v>
      </c>
      <c r="AO43" s="158">
        <v>39</v>
      </c>
      <c r="AP43" s="158">
        <v>120</v>
      </c>
      <c r="AQ43" s="158">
        <v>14</v>
      </c>
      <c r="AR43" s="158">
        <v>135</v>
      </c>
      <c r="AS43" s="158">
        <v>17</v>
      </c>
      <c r="AT43" s="158">
        <v>15</v>
      </c>
      <c r="AU43" s="158">
        <v>30</v>
      </c>
      <c r="AV43" s="158">
        <v>24</v>
      </c>
      <c r="AW43" s="158">
        <v>60</v>
      </c>
      <c r="AX43" s="158">
        <f>AVERAGE(AY43:BL43)</f>
        <v>45.56428571428571</v>
      </c>
      <c r="AY43" s="158">
        <v>7.5</v>
      </c>
      <c r="AZ43" s="158">
        <v>37.1</v>
      </c>
      <c r="BA43" s="158">
        <v>87</v>
      </c>
      <c r="BB43" s="158">
        <v>39</v>
      </c>
      <c r="BC43" s="158">
        <v>14.8</v>
      </c>
      <c r="BD43" s="158">
        <v>39</v>
      </c>
      <c r="BE43" s="158">
        <v>119.5</v>
      </c>
      <c r="BF43" s="158">
        <v>14</v>
      </c>
      <c r="BG43" s="158">
        <v>134.5</v>
      </c>
      <c r="BH43" s="158">
        <v>17</v>
      </c>
      <c r="BI43" s="158">
        <v>15</v>
      </c>
      <c r="BJ43" s="158">
        <v>30</v>
      </c>
      <c r="BK43" s="158">
        <v>24</v>
      </c>
      <c r="BL43" s="158">
        <v>59.5</v>
      </c>
      <c r="BM43" s="158">
        <f>AVERAGE(BN43:CA43)</f>
        <v>44.928571428571431</v>
      </c>
      <c r="BN43" s="158">
        <v>7</v>
      </c>
      <c r="BO43" s="158">
        <v>36</v>
      </c>
      <c r="BP43" s="158">
        <v>85</v>
      </c>
      <c r="BQ43" s="158">
        <v>37</v>
      </c>
      <c r="BR43" s="158">
        <v>14.6</v>
      </c>
      <c r="BS43" s="158">
        <v>39.4</v>
      </c>
      <c r="BT43" s="158">
        <v>117</v>
      </c>
      <c r="BU43" s="158">
        <v>14</v>
      </c>
      <c r="BV43" s="158">
        <v>134</v>
      </c>
      <c r="BW43" s="158">
        <v>17</v>
      </c>
      <c r="BX43" s="158">
        <v>15</v>
      </c>
      <c r="BY43" s="158">
        <v>30</v>
      </c>
      <c r="BZ43" s="158">
        <v>24</v>
      </c>
      <c r="CA43" s="158">
        <v>59</v>
      </c>
      <c r="CB43" s="158">
        <f t="shared" si="34"/>
        <v>44.928571428571431</v>
      </c>
      <c r="CD43" s="350">
        <v>50.5</v>
      </c>
      <c r="CE43" s="350">
        <v>39.700000000000003</v>
      </c>
      <c r="CF43" s="350">
        <v>36.5</v>
      </c>
      <c r="CG43" s="350">
        <v>36.5</v>
      </c>
      <c r="CH43" s="350">
        <v>35.6</v>
      </c>
      <c r="CI43" s="350">
        <v>35.1</v>
      </c>
      <c r="CJ43" s="350">
        <v>35.1</v>
      </c>
      <c r="CK43" s="351">
        <f t="shared" si="40"/>
        <v>81.240063593004763</v>
      </c>
      <c r="CL43" s="351">
        <f t="shared" si="41"/>
        <v>78.124006359300481</v>
      </c>
      <c r="CM43" s="289"/>
    </row>
    <row r="44" spans="1:91" s="146" customFormat="1" ht="45" customHeight="1">
      <c r="A44" s="78">
        <v>8</v>
      </c>
      <c r="B44" s="287" t="s">
        <v>670</v>
      </c>
      <c r="C44" s="78" t="s">
        <v>190</v>
      </c>
      <c r="D44" s="273">
        <f>'[1]B6 Linh vuc xa hoi'!$K$44</f>
        <v>20.9</v>
      </c>
      <c r="E44" s="273">
        <v>20.100000000000001</v>
      </c>
      <c r="F44" s="273">
        <v>15.9</v>
      </c>
      <c r="G44" s="273">
        <v>15.4</v>
      </c>
      <c r="H44" s="273">
        <v>24.4</v>
      </c>
      <c r="I44" s="273">
        <v>23.9</v>
      </c>
      <c r="J44" s="273">
        <v>19.100000000000001</v>
      </c>
      <c r="K44" s="273">
        <v>20.6</v>
      </c>
      <c r="L44" s="273">
        <v>23.6</v>
      </c>
      <c r="M44" s="273">
        <v>23.69</v>
      </c>
      <c r="N44" s="273">
        <v>23.39</v>
      </c>
      <c r="O44" s="273">
        <v>23.3</v>
      </c>
      <c r="P44" s="273">
        <v>20.399999999999999</v>
      </c>
      <c r="Q44" s="273">
        <v>18.5</v>
      </c>
      <c r="R44" s="273">
        <v>19.2</v>
      </c>
      <c r="S44" s="273">
        <v>22.3</v>
      </c>
      <c r="T44" s="273">
        <v>19.899999999999999</v>
      </c>
      <c r="U44" s="273">
        <v>15.5</v>
      </c>
      <c r="V44" s="273">
        <v>15.7</v>
      </c>
      <c r="W44" s="273">
        <v>23.9</v>
      </c>
      <c r="X44" s="273">
        <v>23.4</v>
      </c>
      <c r="Y44" s="273">
        <v>20</v>
      </c>
      <c r="Z44" s="273">
        <v>19.600000000000001</v>
      </c>
      <c r="AA44" s="273">
        <v>23</v>
      </c>
      <c r="AB44" s="273">
        <v>23.4</v>
      </c>
      <c r="AC44" s="273">
        <v>23.2</v>
      </c>
      <c r="AD44" s="273">
        <v>23.5</v>
      </c>
      <c r="AE44" s="273">
        <v>19</v>
      </c>
      <c r="AF44" s="273">
        <v>18.5</v>
      </c>
      <c r="AG44" s="273">
        <v>18.899999999999999</v>
      </c>
      <c r="AH44" s="273">
        <v>21.1</v>
      </c>
      <c r="AI44" s="273">
        <v>19.600000000000001</v>
      </c>
      <c r="AJ44" s="273">
        <v>13</v>
      </c>
      <c r="AK44" s="273">
        <v>14</v>
      </c>
      <c r="AL44" s="273">
        <v>23</v>
      </c>
      <c r="AM44" s="273">
        <v>22</v>
      </c>
      <c r="AN44" s="273">
        <v>19</v>
      </c>
      <c r="AO44" s="273">
        <v>19</v>
      </c>
      <c r="AP44" s="273">
        <v>22</v>
      </c>
      <c r="AQ44" s="273">
        <v>23</v>
      </c>
      <c r="AR44" s="273">
        <v>22</v>
      </c>
      <c r="AS44" s="273">
        <v>21</v>
      </c>
      <c r="AT44" s="273">
        <v>17</v>
      </c>
      <c r="AU44" s="273">
        <v>17</v>
      </c>
      <c r="AV44" s="273">
        <v>18</v>
      </c>
      <c r="AW44" s="273">
        <v>20</v>
      </c>
      <c r="AX44" s="273">
        <v>19.399999999999999</v>
      </c>
      <c r="AY44" s="273">
        <v>12.6</v>
      </c>
      <c r="AZ44" s="273">
        <v>13</v>
      </c>
      <c r="BA44" s="273">
        <v>22</v>
      </c>
      <c r="BB44" s="273">
        <v>21.4</v>
      </c>
      <c r="BC44" s="273">
        <v>18.5</v>
      </c>
      <c r="BD44" s="273">
        <v>18</v>
      </c>
      <c r="BE44" s="273">
        <v>21.5</v>
      </c>
      <c r="BF44" s="273">
        <v>22.5</v>
      </c>
      <c r="BG44" s="273">
        <v>22</v>
      </c>
      <c r="BH44" s="273">
        <v>21.5</v>
      </c>
      <c r="BI44" s="273">
        <v>16.399999999999999</v>
      </c>
      <c r="BJ44" s="273">
        <v>16.5</v>
      </c>
      <c r="BK44" s="273">
        <v>17.5</v>
      </c>
      <c r="BL44" s="273">
        <v>19.5</v>
      </c>
      <c r="BM44" s="332">
        <v>18</v>
      </c>
      <c r="BN44" s="158">
        <v>11.2</v>
      </c>
      <c r="BO44" s="158">
        <v>12.5</v>
      </c>
      <c r="BP44" s="158">
        <v>21.6</v>
      </c>
      <c r="BQ44" s="158">
        <v>21</v>
      </c>
      <c r="BR44" s="158">
        <v>18</v>
      </c>
      <c r="BS44" s="158">
        <v>17</v>
      </c>
      <c r="BT44" s="158">
        <v>21</v>
      </c>
      <c r="BU44" s="158">
        <v>22</v>
      </c>
      <c r="BV44" s="158">
        <v>21.4</v>
      </c>
      <c r="BW44" s="158">
        <v>21</v>
      </c>
      <c r="BX44" s="158">
        <v>16</v>
      </c>
      <c r="BY44" s="158">
        <v>16</v>
      </c>
      <c r="BZ44" s="158">
        <v>16.5</v>
      </c>
      <c r="CA44" s="158">
        <v>18.100000000000001</v>
      </c>
      <c r="CB44" s="158">
        <f t="shared" si="34"/>
        <v>18</v>
      </c>
      <c r="CD44" s="351">
        <v>20.38</v>
      </c>
      <c r="CE44" s="351">
        <v>19.149999999999999</v>
      </c>
      <c r="CF44" s="351">
        <v>18.7</v>
      </c>
      <c r="CG44" s="351">
        <v>18.7</v>
      </c>
      <c r="CH44" s="351">
        <v>18.5</v>
      </c>
      <c r="CI44" s="351">
        <v>18.3</v>
      </c>
      <c r="CJ44" s="351">
        <v>18.3</v>
      </c>
      <c r="CK44" s="351">
        <f t="shared" si="40"/>
        <v>103.88888888888889</v>
      </c>
      <c r="CL44" s="351">
        <f t="shared" si="41"/>
        <v>101.66666666666667</v>
      </c>
      <c r="CM44" s="289"/>
    </row>
    <row r="45" spans="1:91" s="146" customFormat="1" ht="42" customHeight="1">
      <c r="A45" s="78">
        <v>9</v>
      </c>
      <c r="B45" s="287" t="s">
        <v>304</v>
      </c>
      <c r="C45" s="78" t="s">
        <v>190</v>
      </c>
      <c r="D45" s="158">
        <f>'[1]B6 Linh vuc xa hoi'!$K$45</f>
        <v>71.428571428571431</v>
      </c>
      <c r="E45" s="158">
        <f>SUM(F45:S45)</f>
        <v>71.428571428571402</v>
      </c>
      <c r="F45" s="158">
        <f>1/14*100</f>
        <v>7.1428571428571423</v>
      </c>
      <c r="G45" s="158">
        <f t="shared" ref="G45:L47" si="42">1/14*100</f>
        <v>7.1428571428571423</v>
      </c>
      <c r="H45" s="158">
        <f t="shared" si="42"/>
        <v>7.1428571428571423</v>
      </c>
      <c r="I45" s="158">
        <f t="shared" si="42"/>
        <v>7.1428571428571423</v>
      </c>
      <c r="J45" s="158">
        <f t="shared" si="42"/>
        <v>7.1428571428571423</v>
      </c>
      <c r="K45" s="158">
        <f t="shared" si="42"/>
        <v>7.1428571428571423</v>
      </c>
      <c r="L45" s="158">
        <f t="shared" si="42"/>
        <v>7.1428571428571423</v>
      </c>
      <c r="M45" s="158"/>
      <c r="N45" s="158"/>
      <c r="O45" s="158"/>
      <c r="P45" s="158">
        <f t="shared" ref="P45:R47" si="43">1/14*100</f>
        <v>7.1428571428571423</v>
      </c>
      <c r="Q45" s="158">
        <f t="shared" si="43"/>
        <v>7.1428571428571423</v>
      </c>
      <c r="R45" s="158">
        <f t="shared" si="43"/>
        <v>7.1428571428571423</v>
      </c>
      <c r="S45" s="158"/>
      <c r="T45" s="158">
        <f>SUM(U45:AH45)</f>
        <v>71.428571428571402</v>
      </c>
      <c r="U45" s="158">
        <f>1/14*100</f>
        <v>7.1428571428571423</v>
      </c>
      <c r="V45" s="158">
        <f t="shared" ref="V45:AB47" si="44">1/14*100</f>
        <v>7.1428571428571423</v>
      </c>
      <c r="W45" s="158">
        <f t="shared" si="44"/>
        <v>7.1428571428571423</v>
      </c>
      <c r="X45" s="158">
        <f t="shared" si="44"/>
        <v>7.1428571428571423</v>
      </c>
      <c r="Y45" s="158">
        <f t="shared" si="44"/>
        <v>7.1428571428571423</v>
      </c>
      <c r="Z45" s="158">
        <f t="shared" si="44"/>
        <v>7.1428571428571423</v>
      </c>
      <c r="AA45" s="158">
        <f t="shared" si="44"/>
        <v>7.1428571428571423</v>
      </c>
      <c r="AB45" s="158"/>
      <c r="AC45" s="158"/>
      <c r="AD45" s="158"/>
      <c r="AE45" s="158">
        <f t="shared" ref="AE45:AP47" si="45">1/14*100</f>
        <v>7.1428571428571423</v>
      </c>
      <c r="AF45" s="158">
        <f t="shared" si="45"/>
        <v>7.1428571428571423</v>
      </c>
      <c r="AG45" s="158">
        <f t="shared" si="45"/>
        <v>7.1428571428571423</v>
      </c>
      <c r="AH45" s="158"/>
      <c r="AI45" s="158">
        <f>SUM(AJ45:AW45)</f>
        <v>78.571428571428541</v>
      </c>
      <c r="AJ45" s="158">
        <f t="shared" si="45"/>
        <v>7.1428571428571423</v>
      </c>
      <c r="AK45" s="158">
        <f t="shared" si="45"/>
        <v>7.1428571428571423</v>
      </c>
      <c r="AL45" s="158">
        <f t="shared" si="45"/>
        <v>7.1428571428571423</v>
      </c>
      <c r="AM45" s="158">
        <f t="shared" si="45"/>
        <v>7.1428571428571423</v>
      </c>
      <c r="AN45" s="158">
        <f t="shared" si="45"/>
        <v>7.1428571428571423</v>
      </c>
      <c r="AO45" s="158">
        <f t="shared" si="45"/>
        <v>7.1428571428571423</v>
      </c>
      <c r="AP45" s="158">
        <f t="shared" si="45"/>
        <v>7.1428571428571423</v>
      </c>
      <c r="AQ45" s="158"/>
      <c r="AR45" s="158"/>
      <c r="AS45" s="158"/>
      <c r="AT45" s="158">
        <f t="shared" ref="AT45:AW47" si="46">1/14*100</f>
        <v>7.1428571428571423</v>
      </c>
      <c r="AU45" s="158">
        <f t="shared" si="46"/>
        <v>7.1428571428571423</v>
      </c>
      <c r="AV45" s="158">
        <f t="shared" si="46"/>
        <v>7.1428571428571423</v>
      </c>
      <c r="AW45" s="158">
        <f t="shared" si="46"/>
        <v>7.1428571428571423</v>
      </c>
      <c r="AX45" s="158">
        <f>SUM(AY45:BL45)</f>
        <v>78.571428571428541</v>
      </c>
      <c r="AY45" s="158">
        <f t="shared" ref="AY45:BE47" si="47">1/14*100</f>
        <v>7.1428571428571423</v>
      </c>
      <c r="AZ45" s="158">
        <f t="shared" si="47"/>
        <v>7.1428571428571423</v>
      </c>
      <c r="BA45" s="158">
        <f t="shared" si="47"/>
        <v>7.1428571428571423</v>
      </c>
      <c r="BB45" s="158">
        <f t="shared" si="47"/>
        <v>7.1428571428571423</v>
      </c>
      <c r="BC45" s="158">
        <f t="shared" si="47"/>
        <v>7.1428571428571423</v>
      </c>
      <c r="BD45" s="158">
        <f t="shared" si="47"/>
        <v>7.1428571428571423</v>
      </c>
      <c r="BE45" s="158">
        <f t="shared" si="47"/>
        <v>7.1428571428571423</v>
      </c>
      <c r="BF45" s="158"/>
      <c r="BG45" s="158"/>
      <c r="BH45" s="158"/>
      <c r="BI45" s="158">
        <f t="shared" ref="BI45:BT47" si="48">1/14*100</f>
        <v>7.1428571428571423</v>
      </c>
      <c r="BJ45" s="158">
        <f t="shared" si="48"/>
        <v>7.1428571428571423</v>
      </c>
      <c r="BK45" s="158">
        <f t="shared" si="48"/>
        <v>7.1428571428571423</v>
      </c>
      <c r="BL45" s="158">
        <f t="shared" si="48"/>
        <v>7.1428571428571423</v>
      </c>
      <c r="BM45" s="158">
        <f>SUM(BN45:CA45)</f>
        <v>78.571428571428541</v>
      </c>
      <c r="BN45" s="158">
        <f t="shared" si="48"/>
        <v>7.1428571428571423</v>
      </c>
      <c r="BO45" s="158">
        <f t="shared" si="48"/>
        <v>7.1428571428571423</v>
      </c>
      <c r="BP45" s="158">
        <f t="shared" si="48"/>
        <v>7.1428571428571423</v>
      </c>
      <c r="BQ45" s="158">
        <f t="shared" si="48"/>
        <v>7.1428571428571423</v>
      </c>
      <c r="BR45" s="158">
        <f t="shared" si="48"/>
        <v>7.1428571428571423</v>
      </c>
      <c r="BS45" s="158">
        <f t="shared" si="48"/>
        <v>7.1428571428571423</v>
      </c>
      <c r="BT45" s="158">
        <f t="shared" si="48"/>
        <v>7.1428571428571423</v>
      </c>
      <c r="BU45" s="158"/>
      <c r="BV45" s="158"/>
      <c r="BW45" s="158"/>
      <c r="BX45" s="158">
        <f t="shared" ref="BX45:CA47" si="49">1/14*100</f>
        <v>7.1428571428571423</v>
      </c>
      <c r="BY45" s="158">
        <f t="shared" si="49"/>
        <v>7.1428571428571423</v>
      </c>
      <c r="BZ45" s="158">
        <f t="shared" si="49"/>
        <v>7.1428571428571423</v>
      </c>
      <c r="CA45" s="158">
        <f t="shared" si="49"/>
        <v>7.1428571428571423</v>
      </c>
      <c r="CB45" s="158">
        <f t="shared" si="34"/>
        <v>78.571428571428541</v>
      </c>
      <c r="CD45" s="351">
        <f>10/14*100</f>
        <v>71.428571428571431</v>
      </c>
      <c r="CE45" s="351">
        <f>10/14*100</f>
        <v>71.428571428571431</v>
      </c>
      <c r="CF45" s="351">
        <f>11/14*100</f>
        <v>78.571428571428569</v>
      </c>
      <c r="CG45" s="351">
        <f t="shared" ref="CG45:CJ45" si="50">11/14*100</f>
        <v>78.571428571428569</v>
      </c>
      <c r="CH45" s="351">
        <f t="shared" si="50"/>
        <v>78.571428571428569</v>
      </c>
      <c r="CI45" s="351">
        <f t="shared" si="50"/>
        <v>78.571428571428569</v>
      </c>
      <c r="CJ45" s="351">
        <f t="shared" si="50"/>
        <v>78.571428571428569</v>
      </c>
      <c r="CK45" s="351">
        <f t="shared" ref="CK45:CK48" si="51">CG45/CB45%</f>
        <v>100.00000000000004</v>
      </c>
      <c r="CL45" s="351">
        <f t="shared" ref="CL45:CL48" si="52">CJ45/CB45%</f>
        <v>100.00000000000004</v>
      </c>
      <c r="CM45" s="289"/>
    </row>
    <row r="46" spans="1:91" s="146" customFormat="1" ht="43.5" customHeight="1">
      <c r="A46" s="78">
        <v>10</v>
      </c>
      <c r="B46" s="287" t="s">
        <v>671</v>
      </c>
      <c r="C46" s="78" t="s">
        <v>190</v>
      </c>
      <c r="D46" s="158">
        <f>'[1]B6 Linh vuc xa hoi'!$K$46</f>
        <v>91.636428571428567</v>
      </c>
      <c r="E46" s="158">
        <f>AVERAGE(F46:S46)</f>
        <v>91.842857142857156</v>
      </c>
      <c r="F46" s="158">
        <v>95</v>
      </c>
      <c r="G46" s="158">
        <v>96.23</v>
      </c>
      <c r="H46" s="158">
        <v>93.5</v>
      </c>
      <c r="I46" s="158">
        <v>91.5</v>
      </c>
      <c r="J46" s="158">
        <v>92.45</v>
      </c>
      <c r="K46" s="158">
        <v>93</v>
      </c>
      <c r="L46" s="158">
        <v>92</v>
      </c>
      <c r="M46" s="158">
        <v>89.5</v>
      </c>
      <c r="N46" s="158">
        <v>89.5</v>
      </c>
      <c r="O46" s="158">
        <v>93.12</v>
      </c>
      <c r="P46" s="158">
        <v>84</v>
      </c>
      <c r="Q46" s="158">
        <v>93</v>
      </c>
      <c r="R46" s="158">
        <v>92</v>
      </c>
      <c r="S46" s="158">
        <v>91</v>
      </c>
      <c r="T46" s="158">
        <f>AVERAGE(U46:AH46)</f>
        <v>92.214285714285708</v>
      </c>
      <c r="U46" s="158">
        <v>98</v>
      </c>
      <c r="V46" s="158">
        <v>94</v>
      </c>
      <c r="W46" s="158">
        <v>93</v>
      </c>
      <c r="X46" s="158">
        <v>91.5</v>
      </c>
      <c r="Y46" s="158">
        <v>93.5</v>
      </c>
      <c r="Z46" s="158">
        <v>93.5</v>
      </c>
      <c r="AA46" s="158">
        <v>91.5</v>
      </c>
      <c r="AB46" s="158">
        <v>91</v>
      </c>
      <c r="AC46" s="158">
        <v>93.5</v>
      </c>
      <c r="AD46" s="158">
        <v>84.5</v>
      </c>
      <c r="AE46" s="158">
        <v>93.5</v>
      </c>
      <c r="AF46" s="158">
        <v>91.5</v>
      </c>
      <c r="AG46" s="158">
        <v>94.5</v>
      </c>
      <c r="AH46" s="158">
        <v>87.5</v>
      </c>
      <c r="AI46" s="158">
        <f>AVERAGE(AJ46:AW46)</f>
        <v>93.214285714285708</v>
      </c>
      <c r="AJ46" s="158">
        <v>98</v>
      </c>
      <c r="AK46" s="158">
        <v>95</v>
      </c>
      <c r="AL46" s="158">
        <v>94</v>
      </c>
      <c r="AM46" s="158">
        <v>93</v>
      </c>
      <c r="AN46" s="158">
        <v>94.5</v>
      </c>
      <c r="AO46" s="158">
        <v>94.5</v>
      </c>
      <c r="AP46" s="158">
        <v>93</v>
      </c>
      <c r="AQ46" s="158">
        <v>92</v>
      </c>
      <c r="AR46" s="158">
        <v>95</v>
      </c>
      <c r="AS46" s="158">
        <v>86</v>
      </c>
      <c r="AT46" s="158">
        <v>93.5</v>
      </c>
      <c r="AU46" s="158">
        <v>93</v>
      </c>
      <c r="AV46" s="158">
        <v>94.5</v>
      </c>
      <c r="AW46" s="158">
        <v>89</v>
      </c>
      <c r="AX46" s="158">
        <f>AVERAGE(AY46:BL46)</f>
        <v>94.007142857142867</v>
      </c>
      <c r="AY46" s="158">
        <v>98</v>
      </c>
      <c r="AZ46" s="158">
        <v>95.8</v>
      </c>
      <c r="BA46" s="158">
        <v>94</v>
      </c>
      <c r="BB46" s="158">
        <v>93.9</v>
      </c>
      <c r="BC46" s="158">
        <v>95.8</v>
      </c>
      <c r="BD46" s="158">
        <v>95.7</v>
      </c>
      <c r="BE46" s="158">
        <v>93.7</v>
      </c>
      <c r="BF46" s="158">
        <v>92.8</v>
      </c>
      <c r="BG46" s="158">
        <v>95.7</v>
      </c>
      <c r="BH46" s="158">
        <v>86.8</v>
      </c>
      <c r="BI46" s="158">
        <v>94.7</v>
      </c>
      <c r="BJ46" s="158">
        <v>93.7</v>
      </c>
      <c r="BK46" s="158">
        <v>95.7</v>
      </c>
      <c r="BL46" s="158">
        <v>89.8</v>
      </c>
      <c r="BM46" s="158">
        <f>AVERAGE(BN46:CA46)</f>
        <v>94.771428571428586</v>
      </c>
      <c r="BN46" s="158">
        <v>99</v>
      </c>
      <c r="BO46" s="158">
        <v>97</v>
      </c>
      <c r="BP46" s="158">
        <v>94.5</v>
      </c>
      <c r="BQ46" s="158">
        <v>94.6</v>
      </c>
      <c r="BR46" s="158">
        <v>96.3</v>
      </c>
      <c r="BS46" s="158">
        <v>96.5</v>
      </c>
      <c r="BT46" s="158">
        <v>94.6</v>
      </c>
      <c r="BU46" s="158">
        <v>94</v>
      </c>
      <c r="BV46" s="158">
        <v>96.2</v>
      </c>
      <c r="BW46" s="158">
        <v>89</v>
      </c>
      <c r="BX46" s="158">
        <v>94.7</v>
      </c>
      <c r="BY46" s="158">
        <v>93.7</v>
      </c>
      <c r="BZ46" s="158">
        <v>95.7</v>
      </c>
      <c r="CA46" s="158">
        <v>91</v>
      </c>
      <c r="CB46" s="158">
        <f t="shared" si="34"/>
        <v>94.771428571428586</v>
      </c>
      <c r="CD46" s="351">
        <v>92.03</v>
      </c>
      <c r="CE46" s="351">
        <v>86.86</v>
      </c>
      <c r="CF46" s="351">
        <v>92.36</v>
      </c>
      <c r="CG46" s="351">
        <v>92.36</v>
      </c>
      <c r="CH46" s="351">
        <v>94.01</v>
      </c>
      <c r="CI46" s="351">
        <v>94.77</v>
      </c>
      <c r="CJ46" s="351">
        <v>94.77</v>
      </c>
      <c r="CK46" s="351">
        <f t="shared" si="51"/>
        <v>97.45553210732588</v>
      </c>
      <c r="CL46" s="351">
        <f t="shared" si="52"/>
        <v>99.998492613807642</v>
      </c>
      <c r="CM46" s="289"/>
    </row>
    <row r="47" spans="1:91" s="146" customFormat="1" ht="27.75" customHeight="1">
      <c r="A47" s="78">
        <v>11</v>
      </c>
      <c r="B47" s="287" t="s">
        <v>305</v>
      </c>
      <c r="C47" s="78" t="s">
        <v>190</v>
      </c>
      <c r="D47" s="158">
        <f>'[1]B6 Linh vuc xa hoi'!$K$47</f>
        <v>71.428571428571431</v>
      </c>
      <c r="E47" s="158">
        <f>SUM(F47:S47)</f>
        <v>71.428571428571402</v>
      </c>
      <c r="F47" s="158">
        <f>1/14*100</f>
        <v>7.1428571428571423</v>
      </c>
      <c r="G47" s="158">
        <f t="shared" si="42"/>
        <v>7.1428571428571423</v>
      </c>
      <c r="H47" s="158">
        <f t="shared" si="42"/>
        <v>7.1428571428571423</v>
      </c>
      <c r="I47" s="158">
        <f t="shared" si="42"/>
        <v>7.1428571428571423</v>
      </c>
      <c r="J47" s="158">
        <f t="shared" si="42"/>
        <v>7.1428571428571423</v>
      </c>
      <c r="K47" s="158">
        <f t="shared" si="42"/>
        <v>7.1428571428571423</v>
      </c>
      <c r="L47" s="158">
        <f t="shared" si="42"/>
        <v>7.1428571428571423</v>
      </c>
      <c r="M47" s="158"/>
      <c r="N47" s="158"/>
      <c r="O47" s="158"/>
      <c r="P47" s="158">
        <f t="shared" si="43"/>
        <v>7.1428571428571423</v>
      </c>
      <c r="Q47" s="158">
        <f t="shared" si="43"/>
        <v>7.1428571428571423</v>
      </c>
      <c r="R47" s="158">
        <f t="shared" si="43"/>
        <v>7.1428571428571423</v>
      </c>
      <c r="S47" s="158"/>
      <c r="T47" s="158">
        <f>SUM(U47:AH47)</f>
        <v>71.428571428571402</v>
      </c>
      <c r="U47" s="158"/>
      <c r="V47" s="158">
        <f>1/14*100</f>
        <v>7.1428571428571423</v>
      </c>
      <c r="W47" s="158">
        <f t="shared" si="44"/>
        <v>7.1428571428571423</v>
      </c>
      <c r="X47" s="158">
        <f t="shared" si="44"/>
        <v>7.1428571428571423</v>
      </c>
      <c r="Y47" s="158">
        <f t="shared" si="44"/>
        <v>7.1428571428571423</v>
      </c>
      <c r="Z47" s="158">
        <f t="shared" si="44"/>
        <v>7.1428571428571423</v>
      </c>
      <c r="AA47" s="158">
        <f t="shared" si="44"/>
        <v>7.1428571428571423</v>
      </c>
      <c r="AB47" s="158">
        <f t="shared" si="44"/>
        <v>7.1428571428571423</v>
      </c>
      <c r="AC47" s="158"/>
      <c r="AD47" s="158"/>
      <c r="AE47" s="158"/>
      <c r="AF47" s="158">
        <f t="shared" si="45"/>
        <v>7.1428571428571423</v>
      </c>
      <c r="AG47" s="158">
        <f t="shared" si="45"/>
        <v>7.1428571428571423</v>
      </c>
      <c r="AH47" s="158">
        <f t="shared" si="45"/>
        <v>7.1428571428571423</v>
      </c>
      <c r="AI47" s="158">
        <f>SUM(AJ47:AW47)</f>
        <v>78.571428571428541</v>
      </c>
      <c r="AJ47" s="158">
        <f t="shared" si="45"/>
        <v>7.1428571428571423</v>
      </c>
      <c r="AK47" s="158">
        <f t="shared" si="45"/>
        <v>7.1428571428571423</v>
      </c>
      <c r="AL47" s="158">
        <f t="shared" si="45"/>
        <v>7.1428571428571423</v>
      </c>
      <c r="AM47" s="158">
        <f t="shared" si="45"/>
        <v>7.1428571428571423</v>
      </c>
      <c r="AN47" s="158">
        <f t="shared" si="45"/>
        <v>7.1428571428571423</v>
      </c>
      <c r="AO47" s="158">
        <f t="shared" si="45"/>
        <v>7.1428571428571423</v>
      </c>
      <c r="AP47" s="158">
        <f t="shared" si="45"/>
        <v>7.1428571428571423</v>
      </c>
      <c r="AQ47" s="158"/>
      <c r="AR47" s="158"/>
      <c r="AS47" s="158"/>
      <c r="AT47" s="158">
        <f t="shared" si="46"/>
        <v>7.1428571428571423</v>
      </c>
      <c r="AU47" s="158">
        <f t="shared" si="46"/>
        <v>7.1428571428571423</v>
      </c>
      <c r="AV47" s="158">
        <f t="shared" si="46"/>
        <v>7.1428571428571423</v>
      </c>
      <c r="AW47" s="158">
        <f t="shared" si="46"/>
        <v>7.1428571428571423</v>
      </c>
      <c r="AX47" s="158">
        <f>SUM(AY47:BL47)</f>
        <v>78.571428571428541</v>
      </c>
      <c r="AY47" s="158">
        <f t="shared" si="47"/>
        <v>7.1428571428571423</v>
      </c>
      <c r="AZ47" s="158">
        <f t="shared" si="47"/>
        <v>7.1428571428571423</v>
      </c>
      <c r="BA47" s="158">
        <f t="shared" si="47"/>
        <v>7.1428571428571423</v>
      </c>
      <c r="BB47" s="158">
        <f t="shared" si="47"/>
        <v>7.1428571428571423</v>
      </c>
      <c r="BC47" s="158">
        <f t="shared" si="47"/>
        <v>7.1428571428571423</v>
      </c>
      <c r="BD47" s="158">
        <f t="shared" si="47"/>
        <v>7.1428571428571423</v>
      </c>
      <c r="BE47" s="158">
        <f t="shared" si="47"/>
        <v>7.1428571428571423</v>
      </c>
      <c r="BF47" s="158"/>
      <c r="BG47" s="158"/>
      <c r="BH47" s="158"/>
      <c r="BI47" s="158">
        <f t="shared" si="48"/>
        <v>7.1428571428571423</v>
      </c>
      <c r="BJ47" s="158">
        <f t="shared" si="48"/>
        <v>7.1428571428571423</v>
      </c>
      <c r="BK47" s="158">
        <f t="shared" si="48"/>
        <v>7.1428571428571423</v>
      </c>
      <c r="BL47" s="158">
        <f t="shared" si="48"/>
        <v>7.1428571428571423</v>
      </c>
      <c r="BM47" s="158">
        <f>SUM(BN47:CA47)</f>
        <v>78.571428571428541</v>
      </c>
      <c r="BN47" s="158">
        <f t="shared" si="48"/>
        <v>7.1428571428571423</v>
      </c>
      <c r="BO47" s="158">
        <f t="shared" si="48"/>
        <v>7.1428571428571423</v>
      </c>
      <c r="BP47" s="158">
        <f t="shared" si="48"/>
        <v>7.1428571428571423</v>
      </c>
      <c r="BQ47" s="158">
        <f t="shared" si="48"/>
        <v>7.1428571428571423</v>
      </c>
      <c r="BR47" s="158">
        <f t="shared" si="48"/>
        <v>7.1428571428571423</v>
      </c>
      <c r="BS47" s="158">
        <f t="shared" si="48"/>
        <v>7.1428571428571423</v>
      </c>
      <c r="BT47" s="158">
        <f t="shared" si="48"/>
        <v>7.1428571428571423</v>
      </c>
      <c r="BU47" s="158"/>
      <c r="BV47" s="158"/>
      <c r="BW47" s="158"/>
      <c r="BX47" s="158">
        <f t="shared" si="49"/>
        <v>7.1428571428571423</v>
      </c>
      <c r="BY47" s="158">
        <f t="shared" si="49"/>
        <v>7.1428571428571423</v>
      </c>
      <c r="BZ47" s="158">
        <f t="shared" si="49"/>
        <v>7.1428571428571423</v>
      </c>
      <c r="CA47" s="158">
        <f t="shared" si="49"/>
        <v>7.1428571428571423</v>
      </c>
      <c r="CB47" s="158">
        <f t="shared" si="34"/>
        <v>78.571428571428541</v>
      </c>
      <c r="CD47" s="351">
        <v>71.430000000000007</v>
      </c>
      <c r="CE47" s="351">
        <f>10/14*100</f>
        <v>71.428571428571431</v>
      </c>
      <c r="CF47" s="351">
        <v>78.569999999999993</v>
      </c>
      <c r="CG47" s="351">
        <v>78.569999999999993</v>
      </c>
      <c r="CH47" s="351">
        <v>78.569999999999993</v>
      </c>
      <c r="CI47" s="351">
        <v>78.569999999999993</v>
      </c>
      <c r="CJ47" s="351">
        <v>78.569999999999993</v>
      </c>
      <c r="CK47" s="351">
        <f t="shared" si="51"/>
        <v>99.998181818181848</v>
      </c>
      <c r="CL47" s="351">
        <f t="shared" si="52"/>
        <v>99.998181818181848</v>
      </c>
      <c r="CM47" s="289"/>
    </row>
    <row r="48" spans="1:91" s="146" customFormat="1" ht="27.75" customHeight="1">
      <c r="A48" s="78">
        <v>12</v>
      </c>
      <c r="B48" s="287" t="s">
        <v>306</v>
      </c>
      <c r="C48" s="78" t="s">
        <v>190</v>
      </c>
      <c r="D48" s="158">
        <f>'[1]B6 Linh vuc xa hoi'!$K$48</f>
        <v>96</v>
      </c>
      <c r="E48" s="158">
        <v>96.5</v>
      </c>
      <c r="F48" s="158"/>
      <c r="G48" s="158"/>
      <c r="H48" s="158"/>
      <c r="I48" s="158"/>
      <c r="J48" s="158"/>
      <c r="K48" s="158"/>
      <c r="L48" s="158"/>
      <c r="M48" s="158"/>
      <c r="N48" s="158"/>
      <c r="O48" s="158"/>
      <c r="P48" s="158"/>
      <c r="Q48" s="158"/>
      <c r="R48" s="158"/>
      <c r="S48" s="158"/>
      <c r="T48" s="158">
        <v>97</v>
      </c>
      <c r="U48" s="158"/>
      <c r="V48" s="158"/>
      <c r="W48" s="158"/>
      <c r="X48" s="158"/>
      <c r="Y48" s="158"/>
      <c r="Z48" s="158"/>
      <c r="AA48" s="158"/>
      <c r="AB48" s="158"/>
      <c r="AC48" s="158"/>
      <c r="AD48" s="158"/>
      <c r="AE48" s="158"/>
      <c r="AF48" s="158"/>
      <c r="AG48" s="158"/>
      <c r="AH48" s="158"/>
      <c r="AI48" s="158">
        <v>97.5</v>
      </c>
      <c r="AJ48" s="158"/>
      <c r="AK48" s="158"/>
      <c r="AL48" s="158"/>
      <c r="AM48" s="158"/>
      <c r="AN48" s="158"/>
      <c r="AO48" s="158"/>
      <c r="AP48" s="158"/>
      <c r="AQ48" s="158"/>
      <c r="AR48" s="158"/>
      <c r="AS48" s="158"/>
      <c r="AT48" s="158"/>
      <c r="AU48" s="158"/>
      <c r="AV48" s="158"/>
      <c r="AW48" s="158"/>
      <c r="AX48" s="158">
        <v>98</v>
      </c>
      <c r="AY48" s="158"/>
      <c r="AZ48" s="158"/>
      <c r="BA48" s="158"/>
      <c r="BB48" s="158"/>
      <c r="BC48" s="158"/>
      <c r="BD48" s="158"/>
      <c r="BE48" s="158"/>
      <c r="BF48" s="158"/>
      <c r="BG48" s="158"/>
      <c r="BH48" s="158"/>
      <c r="BI48" s="158"/>
      <c r="BJ48" s="158"/>
      <c r="BK48" s="158"/>
      <c r="BL48" s="158"/>
      <c r="BM48" s="158">
        <v>98.5</v>
      </c>
      <c r="BN48" s="158"/>
      <c r="BO48" s="158"/>
      <c r="BP48" s="158"/>
      <c r="BQ48" s="158"/>
      <c r="BR48" s="158"/>
      <c r="BS48" s="158"/>
      <c r="BT48" s="158"/>
      <c r="BU48" s="158"/>
      <c r="BV48" s="158"/>
      <c r="BW48" s="158"/>
      <c r="BX48" s="158"/>
      <c r="BY48" s="158"/>
      <c r="BZ48" s="158"/>
      <c r="CA48" s="158"/>
      <c r="CB48" s="158">
        <f t="shared" si="34"/>
        <v>98.5</v>
      </c>
      <c r="CD48" s="350">
        <v>94</v>
      </c>
      <c r="CE48" s="350">
        <v>88</v>
      </c>
      <c r="CF48" s="350">
        <v>97.5</v>
      </c>
      <c r="CG48" s="350">
        <v>97.5</v>
      </c>
      <c r="CH48" s="350">
        <v>98</v>
      </c>
      <c r="CI48" s="350">
        <v>98.5</v>
      </c>
      <c r="CJ48" s="350">
        <v>98.5</v>
      </c>
      <c r="CK48" s="351">
        <f t="shared" si="51"/>
        <v>98.984771573604064</v>
      </c>
      <c r="CL48" s="351">
        <f t="shared" si="52"/>
        <v>100</v>
      </c>
      <c r="CM48" s="289"/>
    </row>
    <row r="49" spans="1:91" s="11" customFormat="1" ht="26.25" hidden="1" customHeight="1">
      <c r="A49" s="89" t="s">
        <v>307</v>
      </c>
      <c r="B49" s="275" t="s">
        <v>308</v>
      </c>
      <c r="C49" s="89"/>
      <c r="D49" s="90"/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0"/>
      <c r="AI49" s="90"/>
      <c r="AJ49" s="90"/>
      <c r="AK49" s="90"/>
      <c r="AL49" s="90"/>
      <c r="AM49" s="90"/>
      <c r="AN49" s="90"/>
      <c r="AO49" s="90"/>
      <c r="AP49" s="90"/>
      <c r="AQ49" s="90"/>
      <c r="AR49" s="90"/>
      <c r="AS49" s="90"/>
      <c r="AT49" s="90"/>
      <c r="AU49" s="90"/>
      <c r="AV49" s="90"/>
      <c r="AW49" s="90"/>
      <c r="AX49" s="90"/>
      <c r="AY49" s="90"/>
      <c r="AZ49" s="90"/>
      <c r="BA49" s="90"/>
      <c r="BB49" s="90"/>
      <c r="BC49" s="90"/>
      <c r="BD49" s="90"/>
      <c r="BE49" s="90"/>
      <c r="BF49" s="90"/>
      <c r="BG49" s="90"/>
      <c r="BH49" s="90"/>
      <c r="BI49" s="90"/>
      <c r="BJ49" s="90"/>
      <c r="BK49" s="90"/>
      <c r="BL49" s="90"/>
      <c r="BM49" s="90"/>
      <c r="BN49" s="90"/>
      <c r="BO49" s="90"/>
      <c r="BP49" s="90"/>
      <c r="BQ49" s="90"/>
      <c r="BR49" s="90"/>
      <c r="BS49" s="90"/>
      <c r="BT49" s="90"/>
      <c r="BU49" s="90"/>
      <c r="BV49" s="90"/>
      <c r="BW49" s="90"/>
      <c r="BX49" s="90"/>
      <c r="BY49" s="90"/>
      <c r="BZ49" s="90"/>
      <c r="CA49" s="90"/>
      <c r="CB49" s="90"/>
      <c r="CD49" s="356"/>
      <c r="CE49" s="356"/>
      <c r="CF49" s="356"/>
      <c r="CG49" s="356"/>
      <c r="CH49" s="356"/>
      <c r="CI49" s="356"/>
      <c r="CJ49" s="356"/>
      <c r="CK49" s="207"/>
      <c r="CL49" s="207"/>
      <c r="CM49" s="207"/>
    </row>
    <row r="50" spans="1:91" s="146" customFormat="1" ht="28.5" hidden="1" customHeight="1">
      <c r="A50" s="78">
        <v>1</v>
      </c>
      <c r="B50" s="287" t="s">
        <v>309</v>
      </c>
      <c r="C50" s="78" t="s">
        <v>254</v>
      </c>
      <c r="D50" s="110">
        <f>'[1]B6 Linh vuc xa hoi'!$K$50</f>
        <v>2750</v>
      </c>
      <c r="E50" s="110">
        <v>2779</v>
      </c>
      <c r="F50" s="110"/>
      <c r="G50" s="110"/>
      <c r="H50" s="110"/>
      <c r="I50" s="110"/>
      <c r="J50" s="110"/>
      <c r="K50" s="110"/>
      <c r="L50" s="110"/>
      <c r="M50" s="110"/>
      <c r="N50" s="110"/>
      <c r="O50" s="110"/>
      <c r="P50" s="110"/>
      <c r="Q50" s="110"/>
      <c r="R50" s="110"/>
      <c r="S50" s="110"/>
      <c r="T50" s="110">
        <v>3090</v>
      </c>
      <c r="U50" s="110"/>
      <c r="V50" s="110"/>
      <c r="W50" s="110"/>
      <c r="X50" s="110"/>
      <c r="Y50" s="110"/>
      <c r="Z50" s="110"/>
      <c r="AA50" s="110"/>
      <c r="AB50" s="110"/>
      <c r="AC50" s="110"/>
      <c r="AD50" s="110"/>
      <c r="AE50" s="110"/>
      <c r="AF50" s="110"/>
      <c r="AG50" s="110"/>
      <c r="AH50" s="110"/>
      <c r="AI50" s="110">
        <v>3150</v>
      </c>
      <c r="AJ50" s="110"/>
      <c r="AK50" s="110"/>
      <c r="AL50" s="110"/>
      <c r="AM50" s="110"/>
      <c r="AN50" s="110"/>
      <c r="AO50" s="110"/>
      <c r="AP50" s="110"/>
      <c r="AQ50" s="110"/>
      <c r="AR50" s="110"/>
      <c r="AS50" s="110"/>
      <c r="AT50" s="110"/>
      <c r="AU50" s="110"/>
      <c r="AV50" s="110"/>
      <c r="AW50" s="110"/>
      <c r="AX50" s="110">
        <v>3222</v>
      </c>
      <c r="AY50" s="110"/>
      <c r="AZ50" s="110"/>
      <c r="BA50" s="110"/>
      <c r="BB50" s="110"/>
      <c r="BC50" s="110"/>
      <c r="BD50" s="110"/>
      <c r="BE50" s="110"/>
      <c r="BF50" s="110"/>
      <c r="BG50" s="110"/>
      <c r="BH50" s="110"/>
      <c r="BI50" s="110"/>
      <c r="BJ50" s="110"/>
      <c r="BK50" s="110"/>
      <c r="BL50" s="110"/>
      <c r="BM50" s="110">
        <v>3300</v>
      </c>
      <c r="BN50" s="110"/>
      <c r="BO50" s="110"/>
      <c r="BP50" s="110"/>
      <c r="BQ50" s="110"/>
      <c r="BR50" s="110"/>
      <c r="BS50" s="110"/>
      <c r="BT50" s="110"/>
      <c r="BU50" s="110"/>
      <c r="BV50" s="110"/>
      <c r="BW50" s="110"/>
      <c r="BX50" s="110"/>
      <c r="BY50" s="110"/>
      <c r="BZ50" s="110"/>
      <c r="CA50" s="110"/>
      <c r="CB50" s="110">
        <f>BM50</f>
        <v>3300</v>
      </c>
      <c r="CD50" s="349"/>
      <c r="CE50" s="349"/>
      <c r="CF50" s="349"/>
      <c r="CG50" s="349"/>
      <c r="CH50" s="349"/>
      <c r="CI50" s="349"/>
      <c r="CJ50" s="349"/>
      <c r="CK50" s="289"/>
      <c r="CL50" s="289"/>
      <c r="CM50" s="289"/>
    </row>
    <row r="51" spans="1:91" s="146" customFormat="1" ht="28.5" hidden="1" customHeight="1">
      <c r="A51" s="78">
        <v>2</v>
      </c>
      <c r="B51" s="287" t="s">
        <v>310</v>
      </c>
      <c r="C51" s="78" t="s">
        <v>254</v>
      </c>
      <c r="D51" s="110">
        <f>'[1]B6 Linh vuc xa hoi'!$K$51</f>
        <v>2110</v>
      </c>
      <c r="E51" s="110">
        <v>2338</v>
      </c>
      <c r="F51" s="110"/>
      <c r="G51" s="110"/>
      <c r="H51" s="110"/>
      <c r="I51" s="110"/>
      <c r="J51" s="110"/>
      <c r="K51" s="110"/>
      <c r="L51" s="110"/>
      <c r="M51" s="110"/>
      <c r="N51" s="110"/>
      <c r="O51" s="110"/>
      <c r="P51" s="110"/>
      <c r="Q51" s="110"/>
      <c r="R51" s="110"/>
      <c r="S51" s="110"/>
      <c r="T51" s="110">
        <v>2234</v>
      </c>
      <c r="U51" s="110"/>
      <c r="V51" s="110"/>
      <c r="W51" s="110"/>
      <c r="X51" s="110"/>
      <c r="Y51" s="110"/>
      <c r="Z51" s="110"/>
      <c r="AA51" s="110"/>
      <c r="AB51" s="110"/>
      <c r="AC51" s="110"/>
      <c r="AD51" s="110"/>
      <c r="AE51" s="110"/>
      <c r="AF51" s="110"/>
      <c r="AG51" s="110"/>
      <c r="AH51" s="110"/>
      <c r="AI51" s="110">
        <v>2290</v>
      </c>
      <c r="AJ51" s="110"/>
      <c r="AK51" s="110"/>
      <c r="AL51" s="110"/>
      <c r="AM51" s="110"/>
      <c r="AN51" s="110"/>
      <c r="AO51" s="110"/>
      <c r="AP51" s="110"/>
      <c r="AQ51" s="110"/>
      <c r="AR51" s="110"/>
      <c r="AS51" s="110"/>
      <c r="AT51" s="110"/>
      <c r="AU51" s="110"/>
      <c r="AV51" s="110"/>
      <c r="AW51" s="110"/>
      <c r="AX51" s="110">
        <v>2360</v>
      </c>
      <c r="AY51" s="110"/>
      <c r="AZ51" s="110"/>
      <c r="BA51" s="110"/>
      <c r="BB51" s="110"/>
      <c r="BC51" s="110"/>
      <c r="BD51" s="110"/>
      <c r="BE51" s="110"/>
      <c r="BF51" s="110"/>
      <c r="BG51" s="110"/>
      <c r="BH51" s="110"/>
      <c r="BI51" s="110"/>
      <c r="BJ51" s="110"/>
      <c r="BK51" s="110"/>
      <c r="BL51" s="110"/>
      <c r="BM51" s="110">
        <v>2420</v>
      </c>
      <c r="BN51" s="110"/>
      <c r="BO51" s="110"/>
      <c r="BP51" s="110"/>
      <c r="BQ51" s="110"/>
      <c r="BR51" s="110"/>
      <c r="BS51" s="110"/>
      <c r="BT51" s="110"/>
      <c r="BU51" s="110"/>
      <c r="BV51" s="110"/>
      <c r="BW51" s="110"/>
      <c r="BX51" s="110"/>
      <c r="BY51" s="110"/>
      <c r="BZ51" s="110"/>
      <c r="CA51" s="110"/>
      <c r="CB51" s="110">
        <f>BM51</f>
        <v>2420</v>
      </c>
      <c r="CD51" s="349"/>
      <c r="CE51" s="349"/>
      <c r="CF51" s="349"/>
      <c r="CG51" s="349"/>
      <c r="CH51" s="349"/>
      <c r="CI51" s="349"/>
      <c r="CJ51" s="349"/>
      <c r="CK51" s="289"/>
      <c r="CL51" s="289"/>
      <c r="CM51" s="289"/>
    </row>
    <row r="52" spans="1:91" s="11" customFormat="1" ht="28.5" hidden="1" customHeight="1">
      <c r="A52" s="89" t="s">
        <v>307</v>
      </c>
      <c r="B52" s="275" t="s">
        <v>311</v>
      </c>
      <c r="C52" s="89"/>
      <c r="D52" s="90"/>
      <c r="E52" s="90"/>
      <c r="F52" s="90"/>
      <c r="G52" s="90"/>
      <c r="H52" s="90"/>
      <c r="I52" s="90"/>
      <c r="J52" s="90"/>
      <c r="K52" s="90"/>
      <c r="L52" s="90"/>
      <c r="M52" s="90"/>
      <c r="N52" s="90"/>
      <c r="O52" s="90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90"/>
      <c r="AJ52" s="90"/>
      <c r="AK52" s="90"/>
      <c r="AL52" s="90"/>
      <c r="AM52" s="90"/>
      <c r="AN52" s="90"/>
      <c r="AO52" s="90"/>
      <c r="AP52" s="90"/>
      <c r="AQ52" s="90"/>
      <c r="AR52" s="90"/>
      <c r="AS52" s="90"/>
      <c r="AT52" s="90"/>
      <c r="AU52" s="90"/>
      <c r="AV52" s="90"/>
      <c r="AW52" s="90"/>
      <c r="AX52" s="90"/>
      <c r="AY52" s="90"/>
      <c r="AZ52" s="90"/>
      <c r="BA52" s="90"/>
      <c r="BB52" s="90"/>
      <c r="BC52" s="90"/>
      <c r="BD52" s="90"/>
      <c r="BE52" s="90"/>
      <c r="BF52" s="90"/>
      <c r="BG52" s="90"/>
      <c r="BH52" s="90"/>
      <c r="BI52" s="90"/>
      <c r="BJ52" s="90"/>
      <c r="BK52" s="90"/>
      <c r="BL52" s="90"/>
      <c r="BM52" s="90"/>
      <c r="BN52" s="90"/>
      <c r="BO52" s="90"/>
      <c r="BP52" s="90"/>
      <c r="BQ52" s="90"/>
      <c r="BR52" s="90"/>
      <c r="BS52" s="90"/>
      <c r="BT52" s="90"/>
      <c r="BU52" s="90"/>
      <c r="BV52" s="90"/>
      <c r="BW52" s="90"/>
      <c r="BX52" s="90"/>
      <c r="BY52" s="90"/>
      <c r="BZ52" s="90"/>
      <c r="CA52" s="90"/>
      <c r="CB52" s="90"/>
      <c r="CD52" s="356"/>
      <c r="CE52" s="356"/>
      <c r="CF52" s="356"/>
      <c r="CG52" s="356"/>
      <c r="CH52" s="356"/>
      <c r="CI52" s="356"/>
      <c r="CJ52" s="356"/>
      <c r="CK52" s="207"/>
      <c r="CL52" s="207"/>
      <c r="CM52" s="207"/>
    </row>
    <row r="53" spans="1:91" s="146" customFormat="1" ht="28.5" hidden="1" customHeight="1">
      <c r="A53" s="78"/>
      <c r="B53" s="287" t="s">
        <v>312</v>
      </c>
      <c r="C53" s="78" t="s">
        <v>28</v>
      </c>
      <c r="D53" s="158">
        <f>'[1]B6 Linh vuc xa hoi'!$K$53</f>
        <v>57.142857142857139</v>
      </c>
      <c r="E53" s="158">
        <f>8/14*100</f>
        <v>57.142857142857139</v>
      </c>
      <c r="F53" s="182">
        <v>7.1428571428571423</v>
      </c>
      <c r="G53" s="182">
        <v>7.1428571428571423</v>
      </c>
      <c r="H53" s="182">
        <v>7.1428571428571423</v>
      </c>
      <c r="I53" s="182">
        <v>0</v>
      </c>
      <c r="J53" s="182">
        <v>7.1428571428571423</v>
      </c>
      <c r="K53" s="182">
        <v>7.1428571428571423</v>
      </c>
      <c r="L53" s="182">
        <v>0</v>
      </c>
      <c r="M53" s="182">
        <v>0</v>
      </c>
      <c r="N53" s="182">
        <v>0</v>
      </c>
      <c r="O53" s="182">
        <v>0</v>
      </c>
      <c r="P53" s="182">
        <v>7.1428571428571423</v>
      </c>
      <c r="Q53" s="182">
        <v>7.1428571428571423</v>
      </c>
      <c r="R53" s="182">
        <v>7.1428571428571423</v>
      </c>
      <c r="S53" s="182">
        <v>0</v>
      </c>
      <c r="T53" s="158">
        <f>8/14*100</f>
        <v>57.142857142857139</v>
      </c>
      <c r="U53" s="158"/>
      <c r="V53" s="158"/>
      <c r="W53" s="158"/>
      <c r="X53" s="158"/>
      <c r="Y53" s="158"/>
      <c r="Z53" s="158"/>
      <c r="AA53" s="158"/>
      <c r="AB53" s="158"/>
      <c r="AC53" s="158"/>
      <c r="AD53" s="158"/>
      <c r="AE53" s="158"/>
      <c r="AF53" s="158"/>
      <c r="AG53" s="158"/>
      <c r="AH53" s="158"/>
      <c r="AI53" s="158">
        <f>8/14*100</f>
        <v>57.142857142857139</v>
      </c>
      <c r="AJ53" s="158"/>
      <c r="AK53" s="158"/>
      <c r="AL53" s="158"/>
      <c r="AM53" s="158"/>
      <c r="AN53" s="158"/>
      <c r="AO53" s="158"/>
      <c r="AP53" s="158"/>
      <c r="AQ53" s="158"/>
      <c r="AR53" s="158"/>
      <c r="AS53" s="158"/>
      <c r="AT53" s="158"/>
      <c r="AU53" s="158"/>
      <c r="AV53" s="158"/>
      <c r="AW53" s="158"/>
      <c r="AX53" s="158">
        <f>9/14*100</f>
        <v>64.285714285714292</v>
      </c>
      <c r="AY53" s="158"/>
      <c r="AZ53" s="158"/>
      <c r="BA53" s="158"/>
      <c r="BB53" s="158"/>
      <c r="BC53" s="158"/>
      <c r="BD53" s="158"/>
      <c r="BE53" s="158"/>
      <c r="BF53" s="158"/>
      <c r="BG53" s="158"/>
      <c r="BH53" s="158"/>
      <c r="BI53" s="158"/>
      <c r="BJ53" s="158"/>
      <c r="BK53" s="158"/>
      <c r="BL53" s="158"/>
      <c r="BM53" s="158">
        <f>9/14*100</f>
        <v>64.285714285714292</v>
      </c>
      <c r="BN53" s="158"/>
      <c r="BO53" s="158"/>
      <c r="BP53" s="158"/>
      <c r="BQ53" s="158"/>
      <c r="BR53" s="158"/>
      <c r="BS53" s="158"/>
      <c r="BT53" s="158"/>
      <c r="BU53" s="158"/>
      <c r="BV53" s="158"/>
      <c r="BW53" s="158"/>
      <c r="BX53" s="158"/>
      <c r="BY53" s="158"/>
      <c r="BZ53" s="158"/>
      <c r="CA53" s="158"/>
      <c r="CB53" s="158">
        <f>9/14*100</f>
        <v>64.285714285714292</v>
      </c>
      <c r="CD53" s="349"/>
      <c r="CE53" s="349"/>
      <c r="CF53" s="349"/>
      <c r="CG53" s="349"/>
      <c r="CH53" s="349"/>
      <c r="CI53" s="349"/>
      <c r="CJ53" s="349"/>
      <c r="CK53" s="289"/>
      <c r="CL53" s="289"/>
      <c r="CM53" s="289"/>
    </row>
    <row r="54" spans="1:91">
      <c r="A54" s="5"/>
      <c r="B54" s="22"/>
      <c r="C54" s="5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  <c r="BZ54" s="9"/>
      <c r="CA54" s="9"/>
      <c r="CB54" s="9"/>
      <c r="CD54" s="213"/>
      <c r="CE54" s="213"/>
      <c r="CF54" s="213"/>
      <c r="CG54" s="213"/>
      <c r="CH54" s="213"/>
      <c r="CI54" s="213"/>
      <c r="CJ54" s="213"/>
      <c r="CK54" s="213"/>
      <c r="CL54" s="213"/>
      <c r="CM54" s="213"/>
    </row>
  </sheetData>
  <mergeCells count="13">
    <mergeCell ref="CD4:CJ4"/>
    <mergeCell ref="CK4:CL4"/>
    <mergeCell ref="CM4:CM5"/>
    <mergeCell ref="E4:BM4"/>
    <mergeCell ref="A1:CB1"/>
    <mergeCell ref="A4:A5"/>
    <mergeCell ref="B4:B5"/>
    <mergeCell ref="C4:C5"/>
    <mergeCell ref="D4:D5"/>
    <mergeCell ref="BN4:CA4"/>
    <mergeCell ref="CB4:CB5"/>
    <mergeCell ref="A2:CM2"/>
    <mergeCell ref="A3:CM3"/>
  </mergeCells>
  <pageMargins left="0.38" right="0.3" top="0.74803149606299202" bottom="0.74803149606299202" header="0.31496062992126" footer="0.31496062992126"/>
  <pageSetup paperSize="9" scale="70" orientation="landscape" r:id="rId1"/>
  <headerFooter>
    <oddHeader>Page &amp;P</oddHead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U47"/>
  <sheetViews>
    <sheetView zoomScale="85" zoomScaleNormal="85" workbookViewId="0">
      <pane xSplit="4" ySplit="7" topLeftCell="E8" activePane="bottomRight" state="frozen"/>
      <selection activeCell="CG77" activeCellId="1" sqref="CC77:CE77 CG77"/>
      <selection pane="topRight" activeCell="CG77" activeCellId="1" sqref="CC77:CE77 CG77"/>
      <selection pane="bottomLeft" activeCell="CG77" activeCellId="1" sqref="CC77:CE77 CG77"/>
      <selection pane="bottomRight" activeCell="CG77" activeCellId="1" sqref="CC77:CE77 CG77"/>
    </sheetView>
  </sheetViews>
  <sheetFormatPr defaultRowHeight="15"/>
  <cols>
    <col min="1" max="1" width="4.85546875" style="50" customWidth="1"/>
    <col min="2" max="2" width="29.42578125" style="51" customWidth="1"/>
    <col min="3" max="3" width="7.85546875" style="52" customWidth="1"/>
    <col min="4" max="4" width="12.28515625" style="53" bestFit="1" customWidth="1"/>
    <col min="5" max="5" width="11.85546875" style="54" customWidth="1"/>
    <col min="6" max="6" width="11.85546875" style="25" customWidth="1"/>
    <col min="7" max="7" width="11.42578125" style="25" customWidth="1"/>
    <col min="8" max="13" width="9.85546875" style="65" customWidth="1"/>
    <col min="14" max="14" width="12.140625" style="54" bestFit="1" customWidth="1"/>
    <col min="15" max="15" width="8.42578125" style="65" customWidth="1"/>
    <col min="16" max="16" width="9.7109375" style="65" customWidth="1"/>
    <col min="17" max="17" width="9.5703125" style="65" customWidth="1"/>
    <col min="18" max="18" width="11.7109375" style="65" customWidth="1"/>
    <col min="19" max="19" width="11" style="65" customWidth="1"/>
    <col min="20" max="20" width="13.42578125" style="65" customWidth="1"/>
    <col min="21" max="21" width="0" hidden="1" customWidth="1"/>
  </cols>
  <sheetData>
    <row r="1" spans="1:21" ht="15.75">
      <c r="A1" s="561" t="s">
        <v>313</v>
      </c>
      <c r="B1" s="561"/>
      <c r="C1" s="561"/>
      <c r="D1" s="561"/>
      <c r="E1" s="561"/>
      <c r="F1" s="561"/>
      <c r="G1" s="561"/>
      <c r="H1" s="561"/>
      <c r="I1" s="561"/>
      <c r="J1" s="561"/>
      <c r="K1" s="561"/>
      <c r="L1" s="561"/>
      <c r="M1" s="561"/>
      <c r="N1" s="561"/>
      <c r="O1" s="561"/>
      <c r="P1" s="561"/>
      <c r="Q1" s="561"/>
      <c r="R1" s="561"/>
      <c r="S1" s="561"/>
      <c r="T1" s="561"/>
      <c r="U1" s="561"/>
    </row>
    <row r="2" spans="1:21" ht="20.25" customHeight="1">
      <c r="A2" s="561" t="s">
        <v>314</v>
      </c>
      <c r="B2" s="561"/>
      <c r="C2" s="561"/>
      <c r="D2" s="561"/>
      <c r="E2" s="561"/>
      <c r="F2" s="561"/>
      <c r="G2" s="561"/>
      <c r="H2" s="561"/>
      <c r="I2" s="561"/>
      <c r="J2" s="561"/>
      <c r="K2" s="561"/>
      <c r="L2" s="561"/>
      <c r="M2" s="561"/>
      <c r="N2" s="561"/>
      <c r="O2" s="561"/>
      <c r="P2" s="561"/>
      <c r="Q2" s="561"/>
      <c r="R2" s="561"/>
      <c r="S2" s="561"/>
      <c r="T2" s="561"/>
      <c r="U2" s="561"/>
    </row>
    <row r="3" spans="1:21" ht="19.5" customHeight="1">
      <c r="A3" s="562" t="str">
        <f>'B1 TH'!A3:J3</f>
        <v>(Kèm theo Báo cáo số 545-BC/HU, ngày 02/10/2024 của BTV Huyện ủy)</v>
      </c>
      <c r="B3" s="562"/>
      <c r="C3" s="562"/>
      <c r="D3" s="562"/>
      <c r="E3" s="562"/>
      <c r="F3" s="562"/>
      <c r="G3" s="562"/>
      <c r="H3" s="562"/>
      <c r="I3" s="562"/>
      <c r="J3" s="562"/>
      <c r="K3" s="562"/>
      <c r="L3" s="562"/>
      <c r="M3" s="562"/>
      <c r="N3" s="562"/>
      <c r="O3" s="562"/>
      <c r="P3" s="562"/>
      <c r="Q3" s="562"/>
      <c r="R3" s="562"/>
      <c r="S3" s="562"/>
      <c r="T3" s="562"/>
      <c r="U3" s="562"/>
    </row>
    <row r="4" spans="1:21" s="10" customFormat="1" ht="18.75" customHeight="1">
      <c r="A4" s="560" t="s">
        <v>315</v>
      </c>
      <c r="B4" s="560" t="s">
        <v>316</v>
      </c>
      <c r="C4" s="560" t="s">
        <v>317</v>
      </c>
      <c r="D4" s="536" t="s">
        <v>318</v>
      </c>
      <c r="E4" s="536"/>
      <c r="F4" s="536"/>
      <c r="G4" s="536"/>
      <c r="H4" s="536"/>
      <c r="I4" s="536"/>
      <c r="J4" s="536"/>
      <c r="K4" s="536"/>
      <c r="L4" s="536"/>
      <c r="M4" s="536"/>
      <c r="N4" s="536"/>
      <c r="O4" s="536"/>
      <c r="P4" s="536"/>
      <c r="Q4" s="536"/>
      <c r="R4" s="536"/>
      <c r="S4" s="536"/>
      <c r="T4" s="536"/>
      <c r="U4" s="563" t="s">
        <v>319</v>
      </c>
    </row>
    <row r="5" spans="1:21" s="10" customFormat="1" ht="19.5" customHeight="1">
      <c r="A5" s="560"/>
      <c r="B5" s="560"/>
      <c r="C5" s="560"/>
      <c r="D5" s="564" t="s">
        <v>320</v>
      </c>
      <c r="E5" s="536" t="s">
        <v>179</v>
      </c>
      <c r="F5" s="536"/>
      <c r="G5" s="536"/>
      <c r="H5" s="536"/>
      <c r="I5" s="536"/>
      <c r="J5" s="536"/>
      <c r="K5" s="536"/>
      <c r="L5" s="536"/>
      <c r="M5" s="536"/>
      <c r="N5" s="536"/>
      <c r="O5" s="536"/>
      <c r="P5" s="536"/>
      <c r="Q5" s="536"/>
      <c r="R5" s="536"/>
      <c r="S5" s="536"/>
      <c r="T5" s="536"/>
      <c r="U5" s="563"/>
    </row>
    <row r="6" spans="1:21" s="10" customFormat="1" ht="26.25" customHeight="1">
      <c r="A6" s="560"/>
      <c r="B6" s="560"/>
      <c r="C6" s="560"/>
      <c r="D6" s="564"/>
      <c r="E6" s="560" t="s">
        <v>321</v>
      </c>
      <c r="F6" s="536" t="s">
        <v>322</v>
      </c>
      <c r="G6" s="536"/>
      <c r="H6" s="536"/>
      <c r="I6" s="536"/>
      <c r="J6" s="536"/>
      <c r="K6" s="536"/>
      <c r="L6" s="536"/>
      <c r="M6" s="536"/>
      <c r="N6" s="560" t="s">
        <v>370</v>
      </c>
      <c r="O6" s="560" t="s">
        <v>322</v>
      </c>
      <c r="P6" s="560"/>
      <c r="Q6" s="560"/>
      <c r="R6" s="560"/>
      <c r="S6" s="560"/>
      <c r="T6" s="560"/>
      <c r="U6" s="563"/>
    </row>
    <row r="7" spans="1:21" s="10" customFormat="1" ht="42" customHeight="1">
      <c r="A7" s="560"/>
      <c r="B7" s="560"/>
      <c r="C7" s="560"/>
      <c r="D7" s="564"/>
      <c r="E7" s="560"/>
      <c r="F7" s="26" t="s">
        <v>18</v>
      </c>
      <c r="G7" s="26" t="s">
        <v>19</v>
      </c>
      <c r="H7" s="26" t="s">
        <v>20</v>
      </c>
      <c r="I7" s="26" t="s">
        <v>21</v>
      </c>
      <c r="J7" s="26" t="s">
        <v>22</v>
      </c>
      <c r="K7" s="26" t="s">
        <v>23</v>
      </c>
      <c r="L7" s="26" t="s">
        <v>24</v>
      </c>
      <c r="M7" s="26" t="s">
        <v>25</v>
      </c>
      <c r="N7" s="560"/>
      <c r="O7" s="26" t="s">
        <v>12</v>
      </c>
      <c r="P7" s="26" t="s">
        <v>13</v>
      </c>
      <c r="Q7" s="26" t="s">
        <v>14</v>
      </c>
      <c r="R7" s="26" t="s">
        <v>15</v>
      </c>
      <c r="S7" s="26" t="s">
        <v>16</v>
      </c>
      <c r="T7" s="26" t="s">
        <v>17</v>
      </c>
      <c r="U7" s="563"/>
    </row>
    <row r="8" spans="1:21" s="11" customFormat="1" ht="56.25" customHeight="1">
      <c r="A8" s="36" t="s">
        <v>26</v>
      </c>
      <c r="B8" s="37" t="s">
        <v>323</v>
      </c>
      <c r="C8" s="38"/>
      <c r="D8" s="39"/>
      <c r="E8" s="3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4"/>
    </row>
    <row r="9" spans="1:21" ht="21.75" customHeight="1">
      <c r="A9" s="40" t="s">
        <v>324</v>
      </c>
      <c r="B9" s="41" t="s">
        <v>325</v>
      </c>
      <c r="C9" s="42"/>
      <c r="D9" s="43"/>
      <c r="E9" s="44"/>
      <c r="F9" s="28"/>
      <c r="G9" s="28"/>
      <c r="H9" s="28"/>
      <c r="I9" s="28"/>
      <c r="J9" s="28"/>
      <c r="K9" s="28"/>
      <c r="L9" s="28"/>
      <c r="M9" s="28"/>
      <c r="N9" s="44"/>
      <c r="O9" s="28"/>
      <c r="P9" s="28"/>
      <c r="Q9" s="28"/>
      <c r="R9" s="28"/>
      <c r="S9" s="28"/>
      <c r="T9" s="28"/>
      <c r="U9" s="19"/>
    </row>
    <row r="10" spans="1:21" s="11" customFormat="1" ht="21.75" customHeight="1">
      <c r="A10" s="149">
        <v>1</v>
      </c>
      <c r="B10" s="134" t="s">
        <v>326</v>
      </c>
      <c r="C10" s="150" t="s">
        <v>34</v>
      </c>
      <c r="D10" s="66">
        <f>E10+N10</f>
        <v>17860.002</v>
      </c>
      <c r="E10" s="66">
        <f>SUM(F10:M10)</f>
        <v>10606.853000000001</v>
      </c>
      <c r="F10" s="151">
        <f>'B2'!BT10</f>
        <v>1612</v>
      </c>
      <c r="G10" s="151">
        <f>'B2'!BU10</f>
        <v>989.2</v>
      </c>
      <c r="H10" s="66">
        <f>'B2'!BV10</f>
        <v>1068.153</v>
      </c>
      <c r="I10" s="66">
        <f>'B2'!BW10</f>
        <v>701.35</v>
      </c>
      <c r="J10" s="66">
        <f>'B2'!BX10</f>
        <v>1155.05</v>
      </c>
      <c r="K10" s="66">
        <f>'B2'!BY10</f>
        <v>1197.2</v>
      </c>
      <c r="L10" s="66">
        <f>'B2'!BZ10</f>
        <v>1138.3</v>
      </c>
      <c r="M10" s="66">
        <f>'B2'!CA10</f>
        <v>2745.6</v>
      </c>
      <c r="N10" s="66">
        <f>SUM(O10:T10)</f>
        <v>7253.1489999999994</v>
      </c>
      <c r="O10" s="66">
        <f>'B2'!BN10</f>
        <v>170.65</v>
      </c>
      <c r="P10" s="66">
        <f>'B2'!BO10</f>
        <v>1282.6100000000001</v>
      </c>
      <c r="Q10" s="66">
        <f>'B2'!BP10</f>
        <v>1897.1</v>
      </c>
      <c r="R10" s="66">
        <f>'B2'!BQ10</f>
        <v>1141.8890000000001</v>
      </c>
      <c r="S10" s="66">
        <f>'B2'!BR10</f>
        <v>2227.65</v>
      </c>
      <c r="T10" s="66">
        <f>'B2'!BS10</f>
        <v>533.25</v>
      </c>
      <c r="U10" s="24" t="e">
        <f>[2]BM2!BT10</f>
        <v>#REF!</v>
      </c>
    </row>
    <row r="11" spans="1:21" ht="21.75" customHeight="1">
      <c r="A11" s="40">
        <v>1</v>
      </c>
      <c r="B11" s="41" t="s">
        <v>327</v>
      </c>
      <c r="C11" s="42"/>
      <c r="D11" s="30"/>
      <c r="E11" s="31"/>
      <c r="F11" s="31"/>
      <c r="G11" s="31"/>
      <c r="H11" s="64"/>
      <c r="I11" s="64"/>
      <c r="J11" s="64"/>
      <c r="K11" s="64"/>
      <c r="L11" s="64"/>
      <c r="M11" s="64"/>
      <c r="N11" s="66"/>
      <c r="O11" s="64"/>
      <c r="P11" s="64"/>
      <c r="Q11" s="64"/>
      <c r="R11" s="64"/>
      <c r="S11" s="64"/>
      <c r="T11" s="64"/>
      <c r="U11" s="19"/>
    </row>
    <row r="12" spans="1:21" ht="21.75" customHeight="1">
      <c r="A12" s="40" t="s">
        <v>328</v>
      </c>
      <c r="B12" s="41" t="s">
        <v>329</v>
      </c>
      <c r="C12" s="42" t="s">
        <v>41</v>
      </c>
      <c r="D12" s="33">
        <f t="shared" ref="D12:D44" si="0">E12+N12</f>
        <v>2059.5</v>
      </c>
      <c r="E12" s="33">
        <f t="shared" ref="E12:E36" si="1">SUM(F12:M12)</f>
        <v>1395.5</v>
      </c>
      <c r="F12" s="30">
        <f>'B2'!BT21</f>
        <v>210</v>
      </c>
      <c r="G12" s="30">
        <f>'B2'!BU21</f>
        <v>95</v>
      </c>
      <c r="H12" s="33">
        <f>'B2'!BV21</f>
        <v>77</v>
      </c>
      <c r="I12" s="33">
        <f>'B2'!BW21</f>
        <v>101.5</v>
      </c>
      <c r="J12" s="33">
        <f>'B2'!BX21</f>
        <v>164.5</v>
      </c>
      <c r="K12" s="33">
        <f>'B2'!BY21</f>
        <v>193</v>
      </c>
      <c r="L12" s="33">
        <f>'B2'!BZ21</f>
        <v>144.5</v>
      </c>
      <c r="M12" s="33">
        <f>'B2'!CA21</f>
        <v>410</v>
      </c>
      <c r="N12" s="32">
        <f t="shared" ref="N12:N36" si="2">SUM(O12:T12)</f>
        <v>664</v>
      </c>
      <c r="O12" s="33">
        <f>'B2'!BN21</f>
        <v>19.5</v>
      </c>
      <c r="P12" s="33">
        <f>'B2'!BO21</f>
        <v>102</v>
      </c>
      <c r="Q12" s="33">
        <f>'B2'!BP21</f>
        <v>182</v>
      </c>
      <c r="R12" s="33">
        <f>'B2'!BQ21</f>
        <v>121.5</v>
      </c>
      <c r="S12" s="33">
        <f>'B2'!BR21</f>
        <v>196</v>
      </c>
      <c r="T12" s="33">
        <f>'B2'!BS21</f>
        <v>43</v>
      </c>
      <c r="U12" s="19"/>
    </row>
    <row r="13" spans="1:21" ht="21.75" customHeight="1">
      <c r="A13" s="40"/>
      <c r="B13" s="41" t="s">
        <v>330</v>
      </c>
      <c r="C13" s="42" t="s">
        <v>34</v>
      </c>
      <c r="D13" s="64">
        <f t="shared" si="0"/>
        <v>10705.011999999999</v>
      </c>
      <c r="E13" s="64">
        <f t="shared" si="1"/>
        <v>7102.4229999999998</v>
      </c>
      <c r="F13" s="29">
        <f>'B2'!BT23</f>
        <v>1039.5</v>
      </c>
      <c r="G13" s="29">
        <f>'B2'!BU23</f>
        <v>456.95</v>
      </c>
      <c r="H13" s="64">
        <f>'B2'!BV23</f>
        <v>381.07299999999998</v>
      </c>
      <c r="I13" s="64">
        <f>'B2'!BW23</f>
        <v>497.35</v>
      </c>
      <c r="J13" s="64">
        <f>'B2'!BX23</f>
        <v>871.85</v>
      </c>
      <c r="K13" s="64">
        <f>'B2'!BY23</f>
        <v>1042.2</v>
      </c>
      <c r="L13" s="64">
        <f>'B2'!BZ23</f>
        <v>722.5</v>
      </c>
      <c r="M13" s="64">
        <f>'B2'!CA23</f>
        <v>2091</v>
      </c>
      <c r="N13" s="66">
        <f t="shared" si="2"/>
        <v>3602.5889999999999</v>
      </c>
      <c r="O13" s="64">
        <f>'B2'!BN23</f>
        <v>101.4</v>
      </c>
      <c r="P13" s="64">
        <f>'B2'!BO23</f>
        <v>566.1</v>
      </c>
      <c r="Q13" s="64">
        <f>'B2'!BP23</f>
        <v>1019.2</v>
      </c>
      <c r="R13" s="64">
        <f>'B2'!BQ23</f>
        <v>613.08900000000006</v>
      </c>
      <c r="S13" s="64">
        <f>'B2'!BR23</f>
        <v>1087.8</v>
      </c>
      <c r="T13" s="64">
        <f>'B2'!BS23</f>
        <v>215</v>
      </c>
      <c r="U13" s="19"/>
    </row>
    <row r="14" spans="1:21" ht="21.75" customHeight="1">
      <c r="A14" s="40" t="s">
        <v>331</v>
      </c>
      <c r="B14" s="41" t="s">
        <v>332</v>
      </c>
      <c r="C14" s="42" t="s">
        <v>41</v>
      </c>
      <c r="D14" s="33">
        <f t="shared" si="0"/>
        <v>483.09999999999997</v>
      </c>
      <c r="E14" s="33">
        <f t="shared" si="1"/>
        <v>40.4</v>
      </c>
      <c r="F14" s="30">
        <f>'B2'!BT18</f>
        <v>0</v>
      </c>
      <c r="G14" s="30">
        <f>'B2'!BU18</f>
        <v>0</v>
      </c>
      <c r="H14" s="33">
        <f>'B2'!BV18</f>
        <v>28.4</v>
      </c>
      <c r="I14" s="33">
        <f>'B2'!BW18</f>
        <v>0</v>
      </c>
      <c r="J14" s="33">
        <f>'B2'!BX18</f>
        <v>0</v>
      </c>
      <c r="K14" s="33">
        <f>'B2'!BY18</f>
        <v>0</v>
      </c>
      <c r="L14" s="33">
        <f>'B2'!BZ18</f>
        <v>12</v>
      </c>
      <c r="M14" s="33">
        <f>'B2'!CA18</f>
        <v>0</v>
      </c>
      <c r="N14" s="32">
        <f t="shared" si="2"/>
        <v>442.7</v>
      </c>
      <c r="O14" s="33">
        <f>'B2'!BN18</f>
        <v>5</v>
      </c>
      <c r="P14" s="33">
        <f>'B2'!BO18</f>
        <v>102</v>
      </c>
      <c r="Q14" s="33">
        <f>'B2'!BP18</f>
        <v>100</v>
      </c>
      <c r="R14" s="33">
        <f>'B2'!BQ18</f>
        <v>60</v>
      </c>
      <c r="S14" s="33">
        <f>'B2'!BR18</f>
        <v>169</v>
      </c>
      <c r="T14" s="33">
        <f>'B2'!BS18</f>
        <v>6.7</v>
      </c>
      <c r="U14" s="19"/>
    </row>
    <row r="15" spans="1:21" ht="21.75" customHeight="1">
      <c r="A15" s="40"/>
      <c r="B15" s="41" t="s">
        <v>330</v>
      </c>
      <c r="C15" s="42" t="s">
        <v>34</v>
      </c>
      <c r="D15" s="64">
        <f t="shared" si="0"/>
        <v>2659.39</v>
      </c>
      <c r="E15" s="64">
        <f t="shared" si="1"/>
        <v>200.57999999999998</v>
      </c>
      <c r="F15" s="29">
        <f>'B2'!BT20</f>
        <v>0</v>
      </c>
      <c r="G15" s="29">
        <f>'B2'!BU20</f>
        <v>0</v>
      </c>
      <c r="H15" s="64">
        <f>'B2'!BV20</f>
        <v>140.57999999999998</v>
      </c>
      <c r="I15" s="64">
        <f>'B2'!BW20</f>
        <v>0</v>
      </c>
      <c r="J15" s="64">
        <f>'B2'!BX20</f>
        <v>0</v>
      </c>
      <c r="K15" s="64">
        <f>'B2'!BY20</f>
        <v>0</v>
      </c>
      <c r="L15" s="64">
        <f>'B2'!BZ20</f>
        <v>60</v>
      </c>
      <c r="M15" s="64">
        <f>'B2'!CA20</f>
        <v>0</v>
      </c>
      <c r="N15" s="66">
        <f t="shared" si="2"/>
        <v>2458.81</v>
      </c>
      <c r="O15" s="64">
        <f>'B2'!BN20</f>
        <v>26</v>
      </c>
      <c r="P15" s="64">
        <f>'B2'!BO20</f>
        <v>579.3599999999999</v>
      </c>
      <c r="Q15" s="64">
        <f>'B2'!BP20</f>
        <v>570</v>
      </c>
      <c r="R15" s="64">
        <f>'B2'!BQ20</f>
        <v>312</v>
      </c>
      <c r="S15" s="64">
        <f>'B2'!BR20</f>
        <v>937.95</v>
      </c>
      <c r="T15" s="64">
        <f>'B2'!BS20</f>
        <v>33.5</v>
      </c>
      <c r="U15" s="19"/>
    </row>
    <row r="16" spans="1:21" ht="21.75" customHeight="1">
      <c r="A16" s="40" t="s">
        <v>333</v>
      </c>
      <c r="B16" s="41" t="s">
        <v>334</v>
      </c>
      <c r="C16" s="42" t="s">
        <v>41</v>
      </c>
      <c r="D16" s="33">
        <f t="shared" si="0"/>
        <v>400</v>
      </c>
      <c r="E16" s="33">
        <f t="shared" si="1"/>
        <v>327</v>
      </c>
      <c r="F16" s="30">
        <f>'B2'!BT24</f>
        <v>40</v>
      </c>
      <c r="G16" s="30">
        <f>'B2'!BU24</f>
        <v>75</v>
      </c>
      <c r="H16" s="33">
        <f>'B2'!BV24</f>
        <v>70</v>
      </c>
      <c r="I16" s="33">
        <f>'B2'!BW24</f>
        <v>25</v>
      </c>
      <c r="J16" s="33">
        <f>'B2'!BX24</f>
        <v>0</v>
      </c>
      <c r="K16" s="33">
        <f>'B2'!BY24</f>
        <v>0</v>
      </c>
      <c r="L16" s="33">
        <f>'B2'!BZ24</f>
        <v>39</v>
      </c>
      <c r="M16" s="33">
        <f>'B2'!CA24</f>
        <v>78</v>
      </c>
      <c r="N16" s="32">
        <f t="shared" si="2"/>
        <v>73</v>
      </c>
      <c r="O16" s="33">
        <f>'B2'!BN24</f>
        <v>5</v>
      </c>
      <c r="P16" s="33">
        <f>'B2'!BO24</f>
        <v>0</v>
      </c>
      <c r="Q16" s="33">
        <f>'B2'!BP24</f>
        <v>5</v>
      </c>
      <c r="R16" s="33">
        <f>'B2'!BQ24</f>
        <v>20</v>
      </c>
      <c r="S16" s="33">
        <f>'B2'!BR24</f>
        <v>3</v>
      </c>
      <c r="T16" s="33">
        <f>'B2'!BS24</f>
        <v>40</v>
      </c>
      <c r="U16" s="19"/>
    </row>
    <row r="17" spans="1:21" ht="21.75" customHeight="1">
      <c r="A17" s="40"/>
      <c r="B17" s="41" t="s">
        <v>330</v>
      </c>
      <c r="C17" s="42" t="s">
        <v>34</v>
      </c>
      <c r="D17" s="64">
        <f t="shared" si="0"/>
        <v>487.15</v>
      </c>
      <c r="E17" s="64">
        <f t="shared" si="1"/>
        <v>395.9</v>
      </c>
      <c r="F17" s="29">
        <f>'B2'!BT26</f>
        <v>48</v>
      </c>
      <c r="G17" s="29">
        <f>'B2'!BU26</f>
        <v>90</v>
      </c>
      <c r="H17" s="64">
        <f>'B2'!BV26</f>
        <v>87.5</v>
      </c>
      <c r="I17" s="64">
        <f>'B2'!BW26</f>
        <v>30</v>
      </c>
      <c r="J17" s="64">
        <f>'B2'!BX26</f>
        <v>0</v>
      </c>
      <c r="K17" s="64">
        <f>'B2'!BY26</f>
        <v>0</v>
      </c>
      <c r="L17" s="64">
        <f>'B2'!BZ26</f>
        <v>46.8</v>
      </c>
      <c r="M17" s="64">
        <f>'B2'!CA26</f>
        <v>93.6</v>
      </c>
      <c r="N17" s="66">
        <f t="shared" si="2"/>
        <v>91.25</v>
      </c>
      <c r="O17" s="64">
        <f>'B2'!BN26</f>
        <v>6.25</v>
      </c>
      <c r="P17" s="64">
        <f>'B2'!BO26</f>
        <v>0</v>
      </c>
      <c r="Q17" s="64">
        <f>'B2'!BP26</f>
        <v>6.25</v>
      </c>
      <c r="R17" s="64">
        <f>'B2'!BQ26</f>
        <v>25</v>
      </c>
      <c r="S17" s="64">
        <f>'B2'!BR26</f>
        <v>3.75</v>
      </c>
      <c r="T17" s="64">
        <f>'B2'!BS26</f>
        <v>50</v>
      </c>
      <c r="U17" s="19"/>
    </row>
    <row r="18" spans="1:21" ht="21.75" customHeight="1">
      <c r="A18" s="40" t="s">
        <v>335</v>
      </c>
      <c r="B18" s="41" t="s">
        <v>336</v>
      </c>
      <c r="C18" s="42" t="s">
        <v>41</v>
      </c>
      <c r="D18" s="33">
        <f t="shared" si="0"/>
        <v>1280</v>
      </c>
      <c r="E18" s="33">
        <f t="shared" si="1"/>
        <v>945</v>
      </c>
      <c r="F18" s="30">
        <f>'B2'!BT33</f>
        <v>170</v>
      </c>
      <c r="G18" s="30">
        <f>'B2'!BU33</f>
        <v>145</v>
      </c>
      <c r="H18" s="33">
        <f>'B2'!BV33</f>
        <v>150</v>
      </c>
      <c r="I18" s="33">
        <f>'B2'!BW33</f>
        <v>60</v>
      </c>
      <c r="J18" s="33">
        <f>'B2'!BX33</f>
        <v>90</v>
      </c>
      <c r="K18" s="33">
        <f>'B2'!BY33</f>
        <v>50</v>
      </c>
      <c r="L18" s="33">
        <f>'B2'!BZ33</f>
        <v>100</v>
      </c>
      <c r="M18" s="33">
        <f>'B2'!CA33</f>
        <v>180</v>
      </c>
      <c r="N18" s="32">
        <f t="shared" si="2"/>
        <v>335</v>
      </c>
      <c r="O18" s="33">
        <f>'B2'!BN33</f>
        <v>10</v>
      </c>
      <c r="P18" s="33">
        <f>'B2'!BO33</f>
        <v>40</v>
      </c>
      <c r="Q18" s="33">
        <f>'B2'!BP33</f>
        <v>90</v>
      </c>
      <c r="R18" s="33">
        <f>'B2'!BQ33</f>
        <v>60</v>
      </c>
      <c r="S18" s="33">
        <f>'B2'!BR33</f>
        <v>60</v>
      </c>
      <c r="T18" s="33">
        <f>'B2'!BS33</f>
        <v>75</v>
      </c>
      <c r="U18" s="19"/>
    </row>
    <row r="19" spans="1:21" ht="21.75" customHeight="1">
      <c r="A19" s="40"/>
      <c r="B19" s="41" t="s">
        <v>330</v>
      </c>
      <c r="C19" s="42" t="s">
        <v>34</v>
      </c>
      <c r="D19" s="64">
        <f t="shared" si="0"/>
        <v>3918.5</v>
      </c>
      <c r="E19" s="64">
        <f t="shared" si="1"/>
        <v>2863.25</v>
      </c>
      <c r="F19" s="29">
        <f>'B2'!BT35</f>
        <v>518.5</v>
      </c>
      <c r="G19" s="29">
        <f>'B2'!BU35</f>
        <v>442.25</v>
      </c>
      <c r="H19" s="64">
        <f>'B2'!BV35</f>
        <v>450</v>
      </c>
      <c r="I19" s="64">
        <f>'B2'!BW35</f>
        <v>174</v>
      </c>
      <c r="J19" s="64">
        <f>'B2'!BX35</f>
        <v>274.5</v>
      </c>
      <c r="K19" s="64">
        <f>'B2'!BY35</f>
        <v>155</v>
      </c>
      <c r="L19" s="64">
        <f>'B2'!BZ35</f>
        <v>300</v>
      </c>
      <c r="M19" s="64">
        <f>'B2'!CA35</f>
        <v>549</v>
      </c>
      <c r="N19" s="66">
        <f t="shared" si="2"/>
        <v>1055.25</v>
      </c>
      <c r="O19" s="64">
        <f>'B2'!BN35</f>
        <v>31</v>
      </c>
      <c r="P19" s="64">
        <f>'B2'!BO35</f>
        <v>128</v>
      </c>
      <c r="Q19" s="64">
        <f>'B2'!BP35</f>
        <v>292.5</v>
      </c>
      <c r="R19" s="64">
        <f>'B2'!BQ35</f>
        <v>186</v>
      </c>
      <c r="S19" s="64">
        <f>'B2'!BR35</f>
        <v>189</v>
      </c>
      <c r="T19" s="64">
        <f>'B2'!BS35</f>
        <v>228.75</v>
      </c>
      <c r="U19" s="19">
        <f>[2]BM2!BT35</f>
        <v>32</v>
      </c>
    </row>
    <row r="20" spans="1:21" ht="21.75" customHeight="1">
      <c r="A20" s="40" t="s">
        <v>337</v>
      </c>
      <c r="B20" s="41" t="s">
        <v>338</v>
      </c>
      <c r="C20" s="42"/>
      <c r="D20" s="33">
        <f t="shared" si="0"/>
        <v>30</v>
      </c>
      <c r="E20" s="33">
        <f t="shared" si="1"/>
        <v>15</v>
      </c>
      <c r="F20" s="30">
        <f>'B2'!BT36</f>
        <v>2</v>
      </c>
      <c r="G20" s="30">
        <f>'B2'!BU36</f>
        <v>0</v>
      </c>
      <c r="H20" s="33">
        <f>'B2'!BV36</f>
        <v>3</v>
      </c>
      <c r="I20" s="33">
        <f>'B2'!BW36</f>
        <v>0</v>
      </c>
      <c r="J20" s="33">
        <f>'B2'!BX36</f>
        <v>3</v>
      </c>
      <c r="K20" s="33">
        <f>'B2'!BY36</f>
        <v>0</v>
      </c>
      <c r="L20" s="33">
        <f>'B2'!BZ36</f>
        <v>3</v>
      </c>
      <c r="M20" s="33">
        <f>'B2'!CA36</f>
        <v>4</v>
      </c>
      <c r="N20" s="32">
        <f t="shared" si="2"/>
        <v>15</v>
      </c>
      <c r="O20" s="33">
        <f>'B2'!BN36</f>
        <v>2</v>
      </c>
      <c r="P20" s="33">
        <f>'B2'!BO36</f>
        <v>3</v>
      </c>
      <c r="Q20" s="33">
        <f>'B2'!BP36</f>
        <v>3</v>
      </c>
      <c r="R20" s="33">
        <f>'B2'!BQ36</f>
        <v>2</v>
      </c>
      <c r="S20" s="33">
        <f>'B2'!BR36</f>
        <v>3</v>
      </c>
      <c r="T20" s="33">
        <f>'B2'!BS36</f>
        <v>2</v>
      </c>
      <c r="U20" s="19"/>
    </row>
    <row r="21" spans="1:21" ht="21.75" customHeight="1">
      <c r="A21" s="40"/>
      <c r="B21" s="41" t="s">
        <v>330</v>
      </c>
      <c r="C21" s="42"/>
      <c r="D21" s="64">
        <f t="shared" si="0"/>
        <v>89.95</v>
      </c>
      <c r="E21" s="64">
        <f t="shared" si="1"/>
        <v>44.7</v>
      </c>
      <c r="F21" s="29">
        <f>'B2'!BT38</f>
        <v>6</v>
      </c>
      <c r="G21" s="29">
        <f>'B2'!BU38</f>
        <v>0</v>
      </c>
      <c r="H21" s="64">
        <f>'B2'!BV38</f>
        <v>9</v>
      </c>
      <c r="I21" s="64">
        <f>'B2'!BW38</f>
        <v>0</v>
      </c>
      <c r="J21" s="64">
        <f>'B2'!BX38</f>
        <v>8.6999999999999993</v>
      </c>
      <c r="K21" s="64">
        <f>'B2'!BY38</f>
        <v>0</v>
      </c>
      <c r="L21" s="64">
        <f>'B2'!BZ38</f>
        <v>9</v>
      </c>
      <c r="M21" s="64">
        <f>'B2'!CA38</f>
        <v>12</v>
      </c>
      <c r="N21" s="66">
        <f t="shared" si="2"/>
        <v>45.25</v>
      </c>
      <c r="O21" s="64">
        <f>'B2'!BN38</f>
        <v>6</v>
      </c>
      <c r="P21" s="64">
        <f>'B2'!BO38</f>
        <v>9.15</v>
      </c>
      <c r="Q21" s="64">
        <f>'B2'!BP38</f>
        <v>9.15</v>
      </c>
      <c r="R21" s="64">
        <f>'B2'!BQ38</f>
        <v>5.8</v>
      </c>
      <c r="S21" s="64">
        <f>'B2'!BR38</f>
        <v>9.15</v>
      </c>
      <c r="T21" s="64">
        <f>'B2'!BS38</f>
        <v>6</v>
      </c>
      <c r="U21" s="19">
        <f>[2]BM2!BT38</f>
        <v>26.5</v>
      </c>
    </row>
    <row r="22" spans="1:21" s="11" customFormat="1" ht="21.75" customHeight="1">
      <c r="A22" s="149">
        <v>2</v>
      </c>
      <c r="B22" s="134" t="s">
        <v>339</v>
      </c>
      <c r="C22" s="150"/>
      <c r="D22" s="45"/>
      <c r="E22" s="46"/>
      <c r="F22" s="46"/>
      <c r="G22" s="46"/>
      <c r="H22" s="66"/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24"/>
    </row>
    <row r="23" spans="1:21" ht="21.75" customHeight="1">
      <c r="A23" s="40" t="s">
        <v>38</v>
      </c>
      <c r="B23" s="41" t="s">
        <v>340</v>
      </c>
      <c r="C23" s="42"/>
      <c r="D23" s="30"/>
      <c r="E23" s="31"/>
      <c r="F23" s="31"/>
      <c r="G23" s="31"/>
      <c r="H23" s="64"/>
      <c r="I23" s="64"/>
      <c r="J23" s="64"/>
      <c r="K23" s="64"/>
      <c r="L23" s="64"/>
      <c r="M23" s="64"/>
      <c r="N23" s="66"/>
      <c r="O23" s="64"/>
      <c r="P23" s="64"/>
      <c r="Q23" s="64"/>
      <c r="R23" s="64"/>
      <c r="S23" s="64"/>
      <c r="T23" s="64"/>
      <c r="U23" s="19"/>
    </row>
    <row r="24" spans="1:21" ht="21.75" customHeight="1">
      <c r="A24" s="40"/>
      <c r="B24" s="41" t="s">
        <v>341</v>
      </c>
      <c r="C24" s="42" t="s">
        <v>41</v>
      </c>
      <c r="D24" s="33">
        <f t="shared" si="0"/>
        <v>400.7</v>
      </c>
      <c r="E24" s="31">
        <f t="shared" si="1"/>
        <v>0</v>
      </c>
      <c r="F24" s="31"/>
      <c r="G24" s="31"/>
      <c r="H24" s="64"/>
      <c r="I24" s="64"/>
      <c r="J24" s="64"/>
      <c r="K24" s="64"/>
      <c r="L24" s="64"/>
      <c r="M24" s="64"/>
      <c r="N24" s="32">
        <f t="shared" si="2"/>
        <v>400.7</v>
      </c>
      <c r="O24" s="64"/>
      <c r="P24" s="64"/>
      <c r="Q24" s="64"/>
      <c r="R24" s="64">
        <v>400.7</v>
      </c>
      <c r="S24" s="64"/>
      <c r="T24" s="64"/>
      <c r="U24" s="19"/>
    </row>
    <row r="25" spans="1:21" ht="15.75" hidden="1">
      <c r="A25" s="40"/>
      <c r="B25" s="41" t="s">
        <v>342</v>
      </c>
      <c r="C25" s="42" t="s">
        <v>41</v>
      </c>
      <c r="D25" s="30">
        <f t="shared" si="0"/>
        <v>0</v>
      </c>
      <c r="E25" s="31">
        <f t="shared" si="1"/>
        <v>0</v>
      </c>
      <c r="F25" s="31"/>
      <c r="G25" s="31"/>
      <c r="H25" s="64"/>
      <c r="I25" s="64"/>
      <c r="J25" s="64"/>
      <c r="K25" s="64"/>
      <c r="L25" s="64"/>
      <c r="M25" s="64"/>
      <c r="N25" s="66">
        <f t="shared" si="2"/>
        <v>0</v>
      </c>
      <c r="O25" s="64"/>
      <c r="P25" s="64"/>
      <c r="Q25" s="64"/>
      <c r="R25" s="64"/>
      <c r="S25" s="64"/>
      <c r="T25" s="64"/>
      <c r="U25" s="19"/>
    </row>
    <row r="26" spans="1:21" ht="25.5" hidden="1">
      <c r="A26" s="40"/>
      <c r="B26" s="41" t="s">
        <v>343</v>
      </c>
      <c r="C26" s="42" t="s">
        <v>344</v>
      </c>
      <c r="D26" s="30">
        <f t="shared" si="0"/>
        <v>0</v>
      </c>
      <c r="E26" s="31">
        <f t="shared" si="1"/>
        <v>0</v>
      </c>
      <c r="F26" s="31"/>
      <c r="G26" s="31"/>
      <c r="H26" s="64"/>
      <c r="I26" s="64"/>
      <c r="J26" s="64"/>
      <c r="K26" s="64"/>
      <c r="L26" s="64"/>
      <c r="M26" s="64"/>
      <c r="N26" s="66">
        <f t="shared" si="2"/>
        <v>0</v>
      </c>
      <c r="O26" s="64"/>
      <c r="P26" s="64"/>
      <c r="Q26" s="64"/>
      <c r="R26" s="64"/>
      <c r="S26" s="64"/>
      <c r="T26" s="64"/>
      <c r="U26" s="19" t="s">
        <v>345</v>
      </c>
    </row>
    <row r="27" spans="1:21" ht="25.5" hidden="1">
      <c r="A27" s="40"/>
      <c r="B27" s="41" t="s">
        <v>346</v>
      </c>
      <c r="C27" s="42" t="s">
        <v>254</v>
      </c>
      <c r="D27" s="30">
        <f t="shared" si="0"/>
        <v>0</v>
      </c>
      <c r="E27" s="31">
        <f t="shared" si="1"/>
        <v>0</v>
      </c>
      <c r="F27" s="31"/>
      <c r="G27" s="31"/>
      <c r="H27" s="64"/>
      <c r="I27" s="64"/>
      <c r="J27" s="64"/>
      <c r="K27" s="64"/>
      <c r="L27" s="64"/>
      <c r="M27" s="64"/>
      <c r="N27" s="66">
        <f t="shared" si="2"/>
        <v>0</v>
      </c>
      <c r="O27" s="64"/>
      <c r="P27" s="64"/>
      <c r="Q27" s="64"/>
      <c r="R27" s="64"/>
      <c r="S27" s="64"/>
      <c r="T27" s="64"/>
      <c r="U27" s="19"/>
    </row>
    <row r="28" spans="1:21" ht="15.75" hidden="1">
      <c r="A28" s="40"/>
      <c r="B28" s="41" t="s">
        <v>347</v>
      </c>
      <c r="C28" s="42" t="s">
        <v>348</v>
      </c>
      <c r="D28" s="30">
        <f t="shared" si="0"/>
        <v>0</v>
      </c>
      <c r="E28" s="31">
        <f t="shared" si="1"/>
        <v>0</v>
      </c>
      <c r="F28" s="31"/>
      <c r="G28" s="31"/>
      <c r="H28" s="64"/>
      <c r="I28" s="64"/>
      <c r="J28" s="64"/>
      <c r="K28" s="64"/>
      <c r="L28" s="64"/>
      <c r="M28" s="64"/>
      <c r="N28" s="66">
        <f t="shared" si="2"/>
        <v>0</v>
      </c>
      <c r="O28" s="64"/>
      <c r="P28" s="64"/>
      <c r="Q28" s="64"/>
      <c r="R28" s="64"/>
      <c r="S28" s="64"/>
      <c r="T28" s="64"/>
      <c r="U28" s="19"/>
    </row>
    <row r="29" spans="1:21" ht="15.75" hidden="1">
      <c r="A29" s="40"/>
      <c r="B29" s="41" t="s">
        <v>349</v>
      </c>
      <c r="C29" s="42" t="s">
        <v>350</v>
      </c>
      <c r="D29" s="30">
        <f t="shared" si="0"/>
        <v>0</v>
      </c>
      <c r="E29" s="31">
        <f t="shared" si="1"/>
        <v>0</v>
      </c>
      <c r="F29" s="31"/>
      <c r="G29" s="31"/>
      <c r="H29" s="64"/>
      <c r="I29" s="64"/>
      <c r="J29" s="64"/>
      <c r="K29" s="64"/>
      <c r="L29" s="64"/>
      <c r="M29" s="64"/>
      <c r="N29" s="66">
        <f t="shared" si="2"/>
        <v>0</v>
      </c>
      <c r="O29" s="64"/>
      <c r="P29" s="64"/>
      <c r="Q29" s="64"/>
      <c r="R29" s="64"/>
      <c r="S29" s="64"/>
      <c r="T29" s="64"/>
      <c r="U29" s="19"/>
    </row>
    <row r="30" spans="1:21" s="11" customFormat="1" ht="24.75" customHeight="1">
      <c r="A30" s="149">
        <v>3</v>
      </c>
      <c r="B30" s="134" t="s">
        <v>351</v>
      </c>
      <c r="C30" s="150"/>
      <c r="D30" s="45"/>
      <c r="E30" s="46"/>
      <c r="F30" s="46"/>
      <c r="G30" s="46"/>
      <c r="H30" s="66"/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  <c r="U30" s="24"/>
    </row>
    <row r="31" spans="1:21" ht="24.75" customHeight="1">
      <c r="A31" s="40"/>
      <c r="B31" s="41" t="s">
        <v>352</v>
      </c>
      <c r="C31" s="42" t="s">
        <v>41</v>
      </c>
      <c r="D31" s="33">
        <f t="shared" si="0"/>
        <v>212</v>
      </c>
      <c r="E31" s="33">
        <f t="shared" si="1"/>
        <v>212</v>
      </c>
      <c r="F31" s="30">
        <v>1</v>
      </c>
      <c r="G31" s="30">
        <v>51</v>
      </c>
      <c r="H31" s="33"/>
      <c r="I31" s="33">
        <v>55</v>
      </c>
      <c r="J31" s="33">
        <v>40</v>
      </c>
      <c r="K31" s="33">
        <v>15</v>
      </c>
      <c r="L31" s="33"/>
      <c r="M31" s="33">
        <v>50</v>
      </c>
      <c r="N31" s="32">
        <f t="shared" si="2"/>
        <v>0</v>
      </c>
      <c r="O31" s="33">
        <v>0</v>
      </c>
      <c r="P31" s="33">
        <v>0</v>
      </c>
      <c r="Q31" s="33">
        <v>0</v>
      </c>
      <c r="R31" s="33">
        <v>0</v>
      </c>
      <c r="S31" s="33">
        <v>0</v>
      </c>
      <c r="T31" s="33">
        <v>0</v>
      </c>
      <c r="U31" s="19"/>
    </row>
    <row r="32" spans="1:21" ht="24.75" customHeight="1">
      <c r="A32" s="40"/>
      <c r="B32" s="41" t="s">
        <v>353</v>
      </c>
      <c r="C32" s="42" t="s">
        <v>34</v>
      </c>
      <c r="D32" s="30">
        <f t="shared" si="0"/>
        <v>0</v>
      </c>
      <c r="E32" s="31">
        <f t="shared" si="1"/>
        <v>0</v>
      </c>
      <c r="F32" s="30"/>
      <c r="G32" s="30"/>
      <c r="H32" s="33"/>
      <c r="I32" s="33"/>
      <c r="J32" s="33"/>
      <c r="K32" s="33"/>
      <c r="L32" s="33"/>
      <c r="M32" s="33"/>
      <c r="N32" s="66">
        <f t="shared" si="2"/>
        <v>0</v>
      </c>
      <c r="O32" s="64"/>
      <c r="P32" s="64"/>
      <c r="Q32" s="64"/>
      <c r="R32" s="64"/>
      <c r="S32" s="64"/>
      <c r="T32" s="64"/>
      <c r="U32" s="19"/>
    </row>
    <row r="33" spans="1:21" ht="44.25" customHeight="1">
      <c r="A33" s="40"/>
      <c r="B33" s="41" t="s">
        <v>618</v>
      </c>
      <c r="C33" s="42" t="s">
        <v>41</v>
      </c>
      <c r="D33" s="145">
        <f t="shared" si="0"/>
        <v>4804.0879999999997</v>
      </c>
      <c r="E33" s="159">
        <f t="shared" si="1"/>
        <v>4345.8379999999997</v>
      </c>
      <c r="F33" s="184">
        <v>1013.96</v>
      </c>
      <c r="G33" s="184">
        <v>511.7</v>
      </c>
      <c r="H33" s="159">
        <v>360.98</v>
      </c>
      <c r="I33" s="159">
        <v>719.00199999999995</v>
      </c>
      <c r="J33" s="159">
        <v>297.53999999999996</v>
      </c>
      <c r="K33" s="159">
        <v>1101.336</v>
      </c>
      <c r="L33" s="159">
        <v>216.2</v>
      </c>
      <c r="M33" s="159">
        <v>125.12</v>
      </c>
      <c r="N33" s="185">
        <f t="shared" si="2"/>
        <v>458.25</v>
      </c>
      <c r="O33" s="159">
        <v>27</v>
      </c>
      <c r="P33" s="159"/>
      <c r="Q33" s="159">
        <v>130.97</v>
      </c>
      <c r="R33" s="159">
        <v>52.1</v>
      </c>
      <c r="S33" s="159">
        <v>68.58</v>
      </c>
      <c r="T33" s="159">
        <v>179.60000000000002</v>
      </c>
      <c r="U33" s="19"/>
    </row>
    <row r="34" spans="1:21" ht="22.5" customHeight="1">
      <c r="A34" s="40">
        <v>4</v>
      </c>
      <c r="B34" s="41" t="s">
        <v>354</v>
      </c>
      <c r="C34" s="42"/>
      <c r="D34" s="30"/>
      <c r="E34" s="31"/>
      <c r="F34" s="31"/>
      <c r="G34" s="31"/>
      <c r="H34" s="64"/>
      <c r="I34" s="64"/>
      <c r="J34" s="64"/>
      <c r="K34" s="64"/>
      <c r="L34" s="64"/>
      <c r="M34" s="64"/>
      <c r="N34" s="66">
        <f t="shared" si="2"/>
        <v>0</v>
      </c>
      <c r="O34" s="64"/>
      <c r="P34" s="64"/>
      <c r="Q34" s="64"/>
      <c r="R34" s="64"/>
      <c r="S34" s="64"/>
      <c r="T34" s="64"/>
      <c r="U34" s="19"/>
    </row>
    <row r="35" spans="1:21" ht="22.5" customHeight="1">
      <c r="A35" s="40"/>
      <c r="B35" s="41" t="s">
        <v>355</v>
      </c>
      <c r="C35" s="42" t="s">
        <v>86</v>
      </c>
      <c r="D35" s="64">
        <f t="shared" si="0"/>
        <v>43807</v>
      </c>
      <c r="E35" s="64">
        <f t="shared" si="1"/>
        <v>19384</v>
      </c>
      <c r="F35" s="29">
        <f>'B2'!BT69</f>
        <v>1949</v>
      </c>
      <c r="G35" s="29">
        <f>'B2'!BU69</f>
        <v>1665</v>
      </c>
      <c r="H35" s="29">
        <f>'B2'!BV69</f>
        <v>1285</v>
      </c>
      <c r="I35" s="29">
        <f>'B2'!BW69</f>
        <v>1376</v>
      </c>
      <c r="J35" s="29">
        <f>'B2'!BX69</f>
        <v>2188</v>
      </c>
      <c r="K35" s="29">
        <f>'B2'!BY69</f>
        <v>2209</v>
      </c>
      <c r="L35" s="29">
        <f>'B2'!BZ69</f>
        <v>1675</v>
      </c>
      <c r="M35" s="29">
        <f>'B2'!CA69</f>
        <v>7037</v>
      </c>
      <c r="N35" s="66">
        <f t="shared" si="2"/>
        <v>24423</v>
      </c>
      <c r="O35" s="64">
        <f>'B2'!BN69</f>
        <v>3384</v>
      </c>
      <c r="P35" s="64">
        <f>'B2'!BO69</f>
        <v>4221</v>
      </c>
      <c r="Q35" s="64">
        <f>'B2'!BP69</f>
        <v>7690</v>
      </c>
      <c r="R35" s="64">
        <f>'B2'!BQ69</f>
        <v>1655</v>
      </c>
      <c r="S35" s="64">
        <f>'B2'!BR69</f>
        <v>3975</v>
      </c>
      <c r="T35" s="64">
        <f>'B2'!BS69</f>
        <v>3498</v>
      </c>
      <c r="U35" s="19"/>
    </row>
    <row r="36" spans="1:21" ht="22.5" customHeight="1">
      <c r="A36" s="40"/>
      <c r="B36" s="41" t="s">
        <v>356</v>
      </c>
      <c r="C36" s="42" t="s">
        <v>28</v>
      </c>
      <c r="D36" s="33">
        <f>'B2'!BM73</f>
        <v>4.2080974356534568</v>
      </c>
      <c r="E36" s="33">
        <f t="shared" si="1"/>
        <v>0</v>
      </c>
      <c r="F36" s="31"/>
      <c r="G36" s="31"/>
      <c r="H36" s="64"/>
      <c r="I36" s="64"/>
      <c r="J36" s="64"/>
      <c r="K36" s="64"/>
      <c r="L36" s="64"/>
      <c r="M36" s="64"/>
      <c r="N36" s="66">
        <f t="shared" si="2"/>
        <v>0</v>
      </c>
      <c r="O36" s="64"/>
      <c r="P36" s="64"/>
      <c r="Q36" s="64"/>
      <c r="R36" s="64"/>
      <c r="S36" s="64"/>
      <c r="T36" s="64"/>
      <c r="U36" s="19"/>
    </row>
    <row r="37" spans="1:21" s="21" customFormat="1" ht="22.5" customHeight="1">
      <c r="A37" s="55" t="s">
        <v>357</v>
      </c>
      <c r="B37" s="56" t="s">
        <v>358</v>
      </c>
      <c r="C37" s="57"/>
      <c r="D37" s="147"/>
      <c r="E37" s="148"/>
      <c r="F37" s="59"/>
      <c r="G37" s="59"/>
      <c r="H37" s="64"/>
      <c r="I37" s="64"/>
      <c r="J37" s="64"/>
      <c r="K37" s="64"/>
      <c r="L37" s="64"/>
      <c r="M37" s="64"/>
      <c r="N37" s="66"/>
      <c r="O37" s="64"/>
      <c r="P37" s="64"/>
      <c r="Q37" s="64"/>
      <c r="R37" s="64"/>
      <c r="S37" s="64"/>
      <c r="T37" s="64"/>
      <c r="U37" s="60"/>
    </row>
    <row r="38" spans="1:21" ht="22.5" customHeight="1">
      <c r="A38" s="40">
        <v>1</v>
      </c>
      <c r="B38" s="41" t="s">
        <v>103</v>
      </c>
      <c r="C38" s="42" t="s">
        <v>28</v>
      </c>
      <c r="D38" s="145">
        <f>'B2'!BM83</f>
        <v>66.329623590278359</v>
      </c>
      <c r="E38" s="177">
        <f>E47/E46*100</f>
        <v>67.368197296188086</v>
      </c>
      <c r="F38" s="30">
        <f>'B2'!BT83</f>
        <v>61.198521865792699</v>
      </c>
      <c r="G38" s="30">
        <f>'B2'!BU83</f>
        <v>68.757936771644495</v>
      </c>
      <c r="H38" s="33">
        <f>'B2'!BV83</f>
        <v>54.5686313745544</v>
      </c>
      <c r="I38" s="33">
        <f>'B2'!BW83</f>
        <v>73.591276294622844</v>
      </c>
      <c r="J38" s="33">
        <f>'B2'!BX83</f>
        <v>78.585043777809688</v>
      </c>
      <c r="K38" s="33">
        <f>'B2'!BY83</f>
        <v>82.711754805562933</v>
      </c>
      <c r="L38" s="33">
        <f>'B2'!BZ83</f>
        <v>78.445037208550389</v>
      </c>
      <c r="M38" s="33">
        <f>'B2'!CA83</f>
        <v>56.631524220533514</v>
      </c>
      <c r="N38" s="176">
        <f>N47/N46*100</f>
        <v>63.451974033080127</v>
      </c>
      <c r="O38" s="33">
        <f>'B2'!BN83</f>
        <v>57.887277791431146</v>
      </c>
      <c r="P38" s="33">
        <f>'B2'!BO83</f>
        <v>71.964444804405929</v>
      </c>
      <c r="Q38" s="33">
        <f>'B2'!BP83</f>
        <v>60.059443166661417</v>
      </c>
      <c r="R38" s="33">
        <f>'B2'!BQ83</f>
        <v>46.656588514616409</v>
      </c>
      <c r="S38" s="33">
        <f>'B2'!BR83</f>
        <v>63.630776420466894</v>
      </c>
      <c r="T38" s="33">
        <f>'B2'!BS83</f>
        <v>69.937397506860975</v>
      </c>
      <c r="U38" s="19"/>
    </row>
    <row r="39" spans="1:21" ht="22.5" customHeight="1">
      <c r="A39" s="40">
        <v>2</v>
      </c>
      <c r="B39" s="41" t="s">
        <v>359</v>
      </c>
      <c r="C39" s="42" t="s">
        <v>41</v>
      </c>
      <c r="D39" s="156">
        <f t="shared" si="0"/>
        <v>179949.27</v>
      </c>
      <c r="E39" s="156">
        <f>SUM(F39:M39)</f>
        <v>133996</v>
      </c>
      <c r="F39" s="30">
        <f>'B2'!BT84</f>
        <v>14788.99</v>
      </c>
      <c r="G39" s="30">
        <f>'B2'!BU84</f>
        <v>22762.59</v>
      </c>
      <c r="H39" s="33">
        <f>'B2'!BV84</f>
        <v>8178.79</v>
      </c>
      <c r="I39" s="33">
        <f>'B2'!BW84</f>
        <v>8410.27</v>
      </c>
      <c r="J39" s="33">
        <f>'B2'!BX84</f>
        <v>11091.92</v>
      </c>
      <c r="K39" s="33">
        <f>'B2'!BY84</f>
        <v>9480.6200000000008</v>
      </c>
      <c r="L39" s="33">
        <f>'B2'!BZ84</f>
        <v>30244.079999999998</v>
      </c>
      <c r="M39" s="33">
        <f>'B2'!CA84</f>
        <v>29038.74</v>
      </c>
      <c r="N39" s="156">
        <f t="shared" ref="N39:N44" si="3">SUM(O39:T39)</f>
        <v>45953.27</v>
      </c>
      <c r="O39" s="33">
        <f>'B2'!BN84</f>
        <v>776.28</v>
      </c>
      <c r="P39" s="33">
        <f>'B2'!BO84</f>
        <v>5461.05</v>
      </c>
      <c r="Q39" s="33">
        <f>'B2'!BP84</f>
        <v>5838.92</v>
      </c>
      <c r="R39" s="33">
        <f>'B2'!BQ84</f>
        <v>5179.9399999999996</v>
      </c>
      <c r="S39" s="33">
        <f>'B2'!BR84</f>
        <v>11880.67</v>
      </c>
      <c r="T39" s="33">
        <f>'B2'!BS84</f>
        <v>16816.409999999996</v>
      </c>
      <c r="U39" s="19"/>
    </row>
    <row r="40" spans="1:21" s="21" customFormat="1" ht="22.5" customHeight="1">
      <c r="A40" s="55" t="s">
        <v>360</v>
      </c>
      <c r="B40" s="56" t="s">
        <v>361</v>
      </c>
      <c r="C40" s="57"/>
      <c r="D40" s="58"/>
      <c r="E40" s="59"/>
      <c r="F40" s="59"/>
      <c r="G40" s="59"/>
      <c r="H40" s="64"/>
      <c r="I40" s="64"/>
      <c r="J40" s="64"/>
      <c r="K40" s="64"/>
      <c r="L40" s="64"/>
      <c r="M40" s="64"/>
      <c r="N40" s="66">
        <f t="shared" si="3"/>
        <v>0</v>
      </c>
      <c r="O40" s="64"/>
      <c r="P40" s="64"/>
      <c r="Q40" s="64"/>
      <c r="R40" s="64"/>
      <c r="S40" s="64"/>
      <c r="T40" s="64"/>
      <c r="U40" s="60"/>
    </row>
    <row r="41" spans="1:21" ht="22.5" customHeight="1">
      <c r="A41" s="40">
        <v>1</v>
      </c>
      <c r="B41" s="41" t="s">
        <v>362</v>
      </c>
      <c r="C41" s="42" t="s">
        <v>41</v>
      </c>
      <c r="D41" s="32">
        <f t="shared" si="0"/>
        <v>55.01</v>
      </c>
      <c r="E41" s="32">
        <f>SUM(F41:M41)</f>
        <v>1.99</v>
      </c>
      <c r="F41" s="30">
        <v>0.04</v>
      </c>
      <c r="G41" s="30">
        <v>0.8</v>
      </c>
      <c r="H41" s="33">
        <v>0.7</v>
      </c>
      <c r="I41" s="33">
        <v>0</v>
      </c>
      <c r="J41" s="33">
        <v>0.45</v>
      </c>
      <c r="K41" s="33">
        <v>0</v>
      </c>
      <c r="L41" s="33">
        <v>0</v>
      </c>
      <c r="M41" s="33">
        <v>0</v>
      </c>
      <c r="N41" s="32">
        <f t="shared" si="3"/>
        <v>53.019999999999996</v>
      </c>
      <c r="O41" s="33">
        <v>15</v>
      </c>
      <c r="P41" s="33">
        <v>15.52</v>
      </c>
      <c r="Q41" s="33">
        <v>9</v>
      </c>
      <c r="R41" s="33">
        <v>1</v>
      </c>
      <c r="S41" s="33">
        <v>10</v>
      </c>
      <c r="T41" s="33">
        <v>2.5</v>
      </c>
      <c r="U41" s="19"/>
    </row>
    <row r="42" spans="1:21" ht="36" customHeight="1">
      <c r="A42" s="40"/>
      <c r="B42" s="41" t="s">
        <v>363</v>
      </c>
      <c r="C42" s="42" t="s">
        <v>41</v>
      </c>
      <c r="D42" s="45">
        <f t="shared" si="0"/>
        <v>0</v>
      </c>
      <c r="E42" s="46">
        <f>SUM(F42:M42)</f>
        <v>0</v>
      </c>
      <c r="F42" s="30"/>
      <c r="G42" s="30"/>
      <c r="H42" s="33"/>
      <c r="I42" s="33"/>
      <c r="J42" s="33"/>
      <c r="K42" s="33"/>
      <c r="L42" s="33"/>
      <c r="M42" s="33"/>
      <c r="N42" s="32">
        <f t="shared" si="3"/>
        <v>0</v>
      </c>
      <c r="O42" s="33"/>
      <c r="P42" s="33"/>
      <c r="Q42" s="33"/>
      <c r="R42" s="33"/>
      <c r="S42" s="33"/>
      <c r="T42" s="33"/>
      <c r="U42" s="19"/>
    </row>
    <row r="43" spans="1:21" ht="27" customHeight="1">
      <c r="A43" s="40">
        <v>2</v>
      </c>
      <c r="B43" s="41" t="s">
        <v>364</v>
      </c>
      <c r="C43" s="42" t="s">
        <v>34</v>
      </c>
      <c r="D43" s="32">
        <f t="shared" si="0"/>
        <v>209.70599999999996</v>
      </c>
      <c r="E43" s="32">
        <f>SUM(F43:M43)</f>
        <v>11.456</v>
      </c>
      <c r="F43" s="30">
        <v>2.1560000000000001</v>
      </c>
      <c r="G43" s="30">
        <v>2.12</v>
      </c>
      <c r="H43" s="33">
        <v>2.98</v>
      </c>
      <c r="I43" s="33">
        <v>0</v>
      </c>
      <c r="J43" s="33">
        <v>1.7</v>
      </c>
      <c r="K43" s="33">
        <v>0</v>
      </c>
      <c r="L43" s="33">
        <v>1.5</v>
      </c>
      <c r="M43" s="33">
        <v>1</v>
      </c>
      <c r="N43" s="32">
        <f t="shared" si="3"/>
        <v>198.24999999999997</v>
      </c>
      <c r="O43" s="33">
        <v>40.700000000000003</v>
      </c>
      <c r="P43" s="33">
        <v>22.659999999999997</v>
      </c>
      <c r="Q43" s="33">
        <v>16.5</v>
      </c>
      <c r="R43" s="33">
        <v>16.899999999999999</v>
      </c>
      <c r="S43" s="33">
        <v>31.7</v>
      </c>
      <c r="T43" s="33">
        <v>69.789999999999992</v>
      </c>
      <c r="U43" s="19"/>
    </row>
    <row r="44" spans="1:21" ht="39" customHeight="1">
      <c r="A44" s="47"/>
      <c r="B44" s="48" t="s">
        <v>365</v>
      </c>
      <c r="C44" s="49" t="s">
        <v>34</v>
      </c>
      <c r="D44" s="61">
        <f t="shared" si="0"/>
        <v>0</v>
      </c>
      <c r="E44" s="62">
        <f>SUM(F44:M44)</f>
        <v>0</v>
      </c>
      <c r="F44" s="63"/>
      <c r="G44" s="63"/>
      <c r="H44" s="63"/>
      <c r="I44" s="63"/>
      <c r="J44" s="63"/>
      <c r="K44" s="63"/>
      <c r="L44" s="63"/>
      <c r="M44" s="63"/>
      <c r="N44" s="63">
        <f t="shared" si="3"/>
        <v>0</v>
      </c>
      <c r="O44" s="63"/>
      <c r="P44" s="63"/>
      <c r="Q44" s="63"/>
      <c r="R44" s="63"/>
      <c r="S44" s="63"/>
      <c r="T44" s="63"/>
      <c r="U44" s="19"/>
    </row>
    <row r="46" spans="1:21" hidden="1">
      <c r="D46" s="67" t="s">
        <v>371</v>
      </c>
      <c r="E46" s="68">
        <f>SUM(F46:M46)</f>
        <v>196877.6</v>
      </c>
      <c r="F46" s="69">
        <v>24165.62</v>
      </c>
      <c r="G46" s="69">
        <v>33105.39</v>
      </c>
      <c r="H46" s="70">
        <v>13493.13</v>
      </c>
      <c r="I46" s="70">
        <v>11375.87</v>
      </c>
      <c r="J46" s="70">
        <v>13933.99</v>
      </c>
      <c r="K46" s="70">
        <v>11289.01</v>
      </c>
      <c r="L46" s="70">
        <v>38351.440000000002</v>
      </c>
      <c r="M46" s="70">
        <v>51163.15</v>
      </c>
      <c r="N46" s="68">
        <f>SUM(O46:T46)</f>
        <v>71056.56</v>
      </c>
      <c r="O46" s="70">
        <v>1220.68</v>
      </c>
      <c r="P46" s="70">
        <v>7408.22</v>
      </c>
      <c r="Q46" s="70">
        <v>9521.73</v>
      </c>
      <c r="R46" s="70">
        <v>10782.41</v>
      </c>
      <c r="S46" s="70">
        <v>18402.419999999998</v>
      </c>
      <c r="T46" s="70">
        <v>23721.1</v>
      </c>
    </row>
    <row r="47" spans="1:21" hidden="1">
      <c r="D47" s="53" t="s">
        <v>639</v>
      </c>
      <c r="E47" s="157">
        <f>SUM(F47:M47)</f>
        <v>132632.88999999998</v>
      </c>
      <c r="F47" s="25">
        <f>'B2'!BT85+'B2'!BT90+'B2'!BT97</f>
        <v>14788.99</v>
      </c>
      <c r="G47" s="154">
        <f>'B2'!BU85+'B2'!BU90+'B2'!BU97</f>
        <v>22762.59</v>
      </c>
      <c r="H47" s="154">
        <f>'B2'!BV85+'B2'!BV90+'B2'!BV97</f>
        <v>7363</v>
      </c>
      <c r="I47" s="154">
        <f>'B2'!BW85+'B2'!BW90+'B2'!BW97</f>
        <v>8371.67</v>
      </c>
      <c r="J47" s="154">
        <f>'B2'!BX85+'B2'!BX90+'B2'!BX97</f>
        <v>10950.04</v>
      </c>
      <c r="K47" s="154">
        <f>'B2'!BY85+'B2'!BY90+'B2'!BY97</f>
        <v>9337.33</v>
      </c>
      <c r="L47" s="154">
        <f>'B2'!BZ85+'B2'!BZ90+'B2'!BZ97</f>
        <v>30084.769999999997</v>
      </c>
      <c r="M47" s="154">
        <f>'B2'!CA85+'B2'!CA90+'B2'!CA97</f>
        <v>28974.5</v>
      </c>
      <c r="N47" s="157">
        <f>SUM(O47:T47)</f>
        <v>45086.79</v>
      </c>
      <c r="O47" s="65">
        <f>'B2'!BN85+'B2'!BN90+'B2'!BN97</f>
        <v>706.63</v>
      </c>
      <c r="P47" s="155">
        <f>'B2'!BO85+'B2'!BO90+'B2'!BO97</f>
        <v>5331.27</v>
      </c>
      <c r="Q47" s="155">
        <f>'B2'!BP85+'B2'!BP90+'B2'!BP97</f>
        <v>5718.68</v>
      </c>
      <c r="R47" s="155">
        <f>'B2'!BQ85+'B2'!BQ90+'B2'!BQ97</f>
        <v>5030.7</v>
      </c>
      <c r="S47" s="155">
        <f>'B2'!BR85+'B2'!BR90+'B2'!BR97</f>
        <v>11709.59</v>
      </c>
      <c r="T47" s="155">
        <f>'B2'!BS85+'B2'!BS90+'B2'!BS97</f>
        <v>16589.919999999998</v>
      </c>
    </row>
  </sheetData>
  <mergeCells count="14">
    <mergeCell ref="E6:E7"/>
    <mergeCell ref="F6:M6"/>
    <mergeCell ref="N6:N7"/>
    <mergeCell ref="O6:T6"/>
    <mergeCell ref="A1:U1"/>
    <mergeCell ref="A2:U2"/>
    <mergeCell ref="A3:U3"/>
    <mergeCell ref="A4:A7"/>
    <mergeCell ref="B4:B7"/>
    <mergeCell ref="C4:C7"/>
    <mergeCell ref="D4:T4"/>
    <mergeCell ref="U4:U7"/>
    <mergeCell ref="D5:D7"/>
    <mergeCell ref="E5:T5"/>
  </mergeCells>
  <pageMargins left="0.41" right="0.27" top="0.74803149606299202" bottom="0.74803149606299202" header="0.31496062992126" footer="0.31496062992126"/>
  <pageSetup paperSize="9" scale="60" orientation="landscape" r:id="rId1"/>
  <headerFooter>
    <oddHeader>Page &amp;P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T30"/>
  <sheetViews>
    <sheetView topLeftCell="A4" zoomScale="85" zoomScaleNormal="85" workbookViewId="0">
      <selection activeCell="CG77" activeCellId="1" sqref="CC77:CE77 CG77"/>
    </sheetView>
  </sheetViews>
  <sheetFormatPr defaultRowHeight="15"/>
  <cols>
    <col min="1" max="1" width="4.140625" style="74" customWidth="1"/>
    <col min="2" max="2" width="33.28515625" style="73" customWidth="1"/>
    <col min="3" max="3" width="7.5703125" style="74" customWidth="1"/>
    <col min="4" max="4" width="9" style="73" customWidth="1"/>
    <col min="5" max="9" width="8.5703125" style="73" customWidth="1"/>
    <col min="10" max="10" width="10.85546875" style="73" customWidth="1"/>
  </cols>
  <sheetData>
    <row r="1" spans="1:20" ht="15" customHeight="1">
      <c r="A1" s="566" t="s">
        <v>665</v>
      </c>
      <c r="B1" s="566"/>
      <c r="C1" s="566"/>
      <c r="D1" s="566"/>
      <c r="E1" s="566"/>
      <c r="F1" s="566"/>
      <c r="G1" s="566"/>
      <c r="H1" s="566"/>
      <c r="I1" s="566"/>
      <c r="J1" s="566"/>
    </row>
    <row r="2" spans="1:20" ht="15" customHeight="1">
      <c r="A2" s="566" t="s">
        <v>373</v>
      </c>
      <c r="B2" s="566"/>
      <c r="C2" s="566"/>
      <c r="D2" s="566"/>
      <c r="E2" s="566"/>
      <c r="F2" s="566"/>
      <c r="G2" s="566"/>
      <c r="H2" s="566"/>
      <c r="I2" s="566"/>
      <c r="J2" s="566"/>
      <c r="K2" s="566"/>
      <c r="L2" s="566"/>
      <c r="M2" s="566"/>
      <c r="N2" s="566"/>
      <c r="O2" s="566"/>
      <c r="P2" s="566"/>
      <c r="Q2" s="566"/>
      <c r="R2" s="566"/>
      <c r="S2" s="566"/>
      <c r="T2" s="566"/>
    </row>
    <row r="3" spans="1:20" ht="15" customHeight="1">
      <c r="A3" s="567" t="str">
        <f>'B1 TH'!A3:J3</f>
        <v>(Kèm theo Báo cáo số 545-BC/HU, ngày 02/10/2024 của BTV Huyện ủy)</v>
      </c>
      <c r="B3" s="567"/>
      <c r="C3" s="567"/>
      <c r="D3" s="567"/>
      <c r="E3" s="567"/>
      <c r="F3" s="567"/>
      <c r="G3" s="567"/>
      <c r="H3" s="567"/>
      <c r="I3" s="567"/>
      <c r="J3" s="567"/>
      <c r="K3" s="567"/>
      <c r="L3" s="567"/>
      <c r="M3" s="567"/>
      <c r="N3" s="567"/>
      <c r="O3" s="567"/>
      <c r="P3" s="567"/>
      <c r="Q3" s="567"/>
      <c r="R3" s="567"/>
      <c r="S3" s="567"/>
      <c r="T3" s="567"/>
    </row>
    <row r="4" spans="1:20" ht="30.75" customHeight="1">
      <c r="G4" s="565" t="s">
        <v>374</v>
      </c>
      <c r="H4" s="565"/>
      <c r="I4" s="565"/>
      <c r="J4" s="565"/>
    </row>
    <row r="5" spans="1:20" s="146" customFormat="1">
      <c r="A5" s="539" t="s">
        <v>1</v>
      </c>
      <c r="B5" s="539" t="s">
        <v>375</v>
      </c>
      <c r="C5" s="539" t="s">
        <v>3</v>
      </c>
      <c r="D5" s="539" t="str">
        <f>'[3]Biểu 1'!D4</f>
        <v>Thực hiện 2016-2020</v>
      </c>
      <c r="E5" s="546" t="s">
        <v>652</v>
      </c>
      <c r="F5" s="547"/>
      <c r="G5" s="547"/>
      <c r="H5" s="547"/>
      <c r="I5" s="548"/>
      <c r="J5" s="539" t="str">
        <f>'[3]Biểu 1'!J4</f>
        <v>Mục tiêu kế hoạch 5 năm 2021-2025</v>
      </c>
      <c r="K5" s="549" t="s">
        <v>653</v>
      </c>
      <c r="L5" s="550"/>
      <c r="M5" s="550"/>
      <c r="N5" s="550"/>
      <c r="O5" s="550"/>
      <c r="P5" s="550"/>
      <c r="Q5" s="551"/>
      <c r="R5" s="552" t="s">
        <v>661</v>
      </c>
      <c r="S5" s="553"/>
      <c r="T5" s="543" t="s">
        <v>319</v>
      </c>
    </row>
    <row r="6" spans="1:20" s="146" customFormat="1" ht="57" customHeight="1">
      <c r="A6" s="540"/>
      <c r="B6" s="540"/>
      <c r="C6" s="540"/>
      <c r="D6" s="540"/>
      <c r="E6" s="237" t="str">
        <f>'[3]Biểu 1'!E4</f>
        <v>KH 2021</v>
      </c>
      <c r="F6" s="237" t="str">
        <f>'[3]Biểu 1'!F4</f>
        <v>KH 2022</v>
      </c>
      <c r="G6" s="237" t="str">
        <f>'[3]Biểu 1'!G4</f>
        <v>KH 2023</v>
      </c>
      <c r="H6" s="237" t="str">
        <f>'[3]Biểu 1'!H4</f>
        <v>KH 2024</v>
      </c>
      <c r="I6" s="237" t="str">
        <f>'[3]Biểu 1'!I4</f>
        <v>KH 2025</v>
      </c>
      <c r="J6" s="540"/>
      <c r="K6" s="237" t="s">
        <v>654</v>
      </c>
      <c r="L6" s="237" t="s">
        <v>655</v>
      </c>
      <c r="M6" s="237" t="s">
        <v>656</v>
      </c>
      <c r="N6" s="237" t="s">
        <v>657</v>
      </c>
      <c r="O6" s="237" t="s">
        <v>658</v>
      </c>
      <c r="P6" s="237" t="s">
        <v>659</v>
      </c>
      <c r="Q6" s="201" t="s">
        <v>660</v>
      </c>
      <c r="R6" s="195" t="s">
        <v>662</v>
      </c>
      <c r="S6" s="195" t="s">
        <v>663</v>
      </c>
      <c r="T6" s="544"/>
    </row>
    <row r="7" spans="1:20" s="11" customFormat="1" ht="28.5">
      <c r="A7" s="91"/>
      <c r="B7" s="92" t="s">
        <v>376</v>
      </c>
      <c r="C7" s="91" t="s">
        <v>31</v>
      </c>
      <c r="D7" s="93">
        <f>[1]B8!$K$6</f>
        <v>762</v>
      </c>
      <c r="E7" s="93">
        <f t="shared" ref="E7:J7" si="0">E13+E16+E19+E28</f>
        <v>194.5</v>
      </c>
      <c r="F7" s="93">
        <f t="shared" si="0"/>
        <v>215</v>
      </c>
      <c r="G7" s="93">
        <f t="shared" si="0"/>
        <v>220.5</v>
      </c>
      <c r="H7" s="93">
        <f t="shared" si="0"/>
        <v>226</v>
      </c>
      <c r="I7" s="93">
        <f t="shared" si="0"/>
        <v>236.5</v>
      </c>
      <c r="J7" s="93">
        <f t="shared" si="0"/>
        <v>1092.5</v>
      </c>
      <c r="K7" s="211"/>
      <c r="L7" s="211"/>
      <c r="M7" s="211"/>
      <c r="N7" s="211"/>
      <c r="O7" s="211"/>
      <c r="P7" s="211"/>
      <c r="Q7" s="211"/>
      <c r="R7" s="211"/>
      <c r="S7" s="211"/>
      <c r="T7" s="211"/>
    </row>
    <row r="8" spans="1:20" s="146" customFormat="1" ht="30" hidden="1">
      <c r="A8" s="78"/>
      <c r="B8" s="77" t="s">
        <v>377</v>
      </c>
      <c r="C8" s="78" t="s">
        <v>190</v>
      </c>
      <c r="D8" s="35"/>
      <c r="E8" s="35"/>
      <c r="F8" s="35"/>
      <c r="G8" s="35"/>
      <c r="H8" s="35"/>
      <c r="I8" s="35"/>
      <c r="J8" s="35"/>
      <c r="K8" s="289"/>
      <c r="L8" s="289"/>
      <c r="M8" s="289"/>
      <c r="N8" s="289"/>
      <c r="O8" s="289"/>
      <c r="P8" s="289"/>
      <c r="Q8" s="289"/>
      <c r="R8" s="289"/>
      <c r="S8" s="289"/>
      <c r="T8" s="289"/>
    </row>
    <row r="9" spans="1:20" s="146" customFormat="1" hidden="1">
      <c r="A9" s="78"/>
      <c r="B9" s="77" t="s">
        <v>378</v>
      </c>
      <c r="C9" s="78" t="s">
        <v>190</v>
      </c>
      <c r="D9" s="35"/>
      <c r="E9" s="35"/>
      <c r="F9" s="35"/>
      <c r="G9" s="35"/>
      <c r="H9" s="35"/>
      <c r="I9" s="35"/>
      <c r="J9" s="35"/>
      <c r="K9" s="289"/>
      <c r="L9" s="289"/>
      <c r="M9" s="289"/>
      <c r="N9" s="289"/>
      <c r="O9" s="289"/>
      <c r="P9" s="289"/>
      <c r="Q9" s="289"/>
      <c r="R9" s="289"/>
      <c r="S9" s="289"/>
      <c r="T9" s="289"/>
    </row>
    <row r="10" spans="1:20" s="146" customFormat="1" ht="30" hidden="1">
      <c r="A10" s="78"/>
      <c r="B10" s="77" t="s">
        <v>379</v>
      </c>
      <c r="C10" s="78"/>
      <c r="D10" s="35"/>
      <c r="E10" s="35"/>
      <c r="F10" s="35"/>
      <c r="G10" s="35"/>
      <c r="H10" s="35"/>
      <c r="I10" s="35"/>
      <c r="J10" s="35"/>
      <c r="K10" s="289"/>
      <c r="L10" s="289"/>
      <c r="M10" s="289"/>
      <c r="N10" s="289"/>
      <c r="O10" s="289"/>
      <c r="P10" s="289"/>
      <c r="Q10" s="289"/>
      <c r="R10" s="289"/>
      <c r="S10" s="289"/>
      <c r="T10" s="289"/>
    </row>
    <row r="11" spans="1:20" s="146" customFormat="1" ht="30" hidden="1">
      <c r="A11" s="78"/>
      <c r="B11" s="77" t="s">
        <v>379</v>
      </c>
      <c r="C11" s="78" t="s">
        <v>190</v>
      </c>
      <c r="D11" s="35"/>
      <c r="E11" s="35"/>
      <c r="F11" s="35"/>
      <c r="G11" s="35"/>
      <c r="H11" s="35"/>
      <c r="I11" s="35"/>
      <c r="J11" s="35"/>
      <c r="K11" s="289"/>
      <c r="L11" s="289"/>
      <c r="M11" s="289"/>
      <c r="N11" s="289"/>
      <c r="O11" s="289"/>
      <c r="P11" s="289"/>
      <c r="Q11" s="289"/>
      <c r="R11" s="289"/>
      <c r="S11" s="289"/>
      <c r="T11" s="289"/>
    </row>
    <row r="12" spans="1:20" s="146" customFormat="1" hidden="1">
      <c r="A12" s="78"/>
      <c r="B12" s="77" t="s">
        <v>378</v>
      </c>
      <c r="C12" s="78" t="s">
        <v>190</v>
      </c>
      <c r="D12" s="35"/>
      <c r="E12" s="35"/>
      <c r="F12" s="35"/>
      <c r="G12" s="35"/>
      <c r="H12" s="35"/>
      <c r="I12" s="35"/>
      <c r="J12" s="35"/>
      <c r="K12" s="289"/>
      <c r="L12" s="289"/>
      <c r="M12" s="289"/>
      <c r="N12" s="289"/>
      <c r="O12" s="289"/>
      <c r="P12" s="289"/>
      <c r="Q12" s="289"/>
      <c r="R12" s="289"/>
      <c r="S12" s="289"/>
      <c r="T12" s="289"/>
    </row>
    <row r="13" spans="1:20" s="14" customFormat="1" ht="35.25" customHeight="1">
      <c r="A13" s="89">
        <v>1</v>
      </c>
      <c r="B13" s="90" t="s">
        <v>380</v>
      </c>
      <c r="C13" s="89" t="s">
        <v>31</v>
      </c>
      <c r="D13" s="34">
        <f>[1]B8!$K$12</f>
        <v>761</v>
      </c>
      <c r="E13" s="34">
        <v>190</v>
      </c>
      <c r="F13" s="34">
        <v>210</v>
      </c>
      <c r="G13" s="34">
        <v>215</v>
      </c>
      <c r="H13" s="34">
        <v>220</v>
      </c>
      <c r="I13" s="34">
        <v>230</v>
      </c>
      <c r="J13" s="34">
        <f>SUM(E13:I13)</f>
        <v>1065</v>
      </c>
      <c r="K13" s="209"/>
      <c r="L13" s="209"/>
      <c r="M13" s="209"/>
      <c r="N13" s="209"/>
      <c r="O13" s="209"/>
      <c r="P13" s="209"/>
      <c r="Q13" s="209"/>
      <c r="R13" s="209"/>
      <c r="S13" s="209"/>
      <c r="T13" s="209"/>
    </row>
    <row r="14" spans="1:20" s="17" customFormat="1" ht="29.25" customHeight="1">
      <c r="A14" s="85"/>
      <c r="B14" s="86" t="s">
        <v>381</v>
      </c>
      <c r="C14" s="85" t="s">
        <v>190</v>
      </c>
      <c r="D14" s="96">
        <f>[1]B8!$K$13</f>
        <v>99.868766404199476</v>
      </c>
      <c r="E14" s="96">
        <f>E13/E7%</f>
        <v>97.686375321336754</v>
      </c>
      <c r="F14" s="96">
        <f t="shared" ref="F14:J14" si="1">F13/F7%</f>
        <v>97.674418604651166</v>
      </c>
      <c r="G14" s="96">
        <f t="shared" si="1"/>
        <v>97.505668934240362</v>
      </c>
      <c r="H14" s="96">
        <f t="shared" si="1"/>
        <v>97.345132743362839</v>
      </c>
      <c r="I14" s="96">
        <f t="shared" si="1"/>
        <v>97.251585623678636</v>
      </c>
      <c r="J14" s="96">
        <f t="shared" si="1"/>
        <v>97.482837528604108</v>
      </c>
      <c r="K14" s="215"/>
      <c r="L14" s="215"/>
      <c r="M14" s="215"/>
      <c r="N14" s="215"/>
      <c r="O14" s="215"/>
      <c r="P14" s="215"/>
      <c r="Q14" s="215"/>
      <c r="R14" s="215"/>
      <c r="S14" s="215"/>
      <c r="T14" s="215"/>
    </row>
    <row r="15" spans="1:20" s="17" customFormat="1" ht="29.25" customHeight="1">
      <c r="A15" s="85"/>
      <c r="B15" s="86" t="s">
        <v>378</v>
      </c>
      <c r="C15" s="85" t="s">
        <v>190</v>
      </c>
      <c r="D15" s="97"/>
      <c r="E15" s="97"/>
      <c r="F15" s="97"/>
      <c r="G15" s="97"/>
      <c r="H15" s="97"/>
      <c r="I15" s="97"/>
      <c r="J15" s="97"/>
      <c r="K15" s="215"/>
      <c r="L15" s="215"/>
      <c r="M15" s="215"/>
      <c r="N15" s="215"/>
      <c r="O15" s="215"/>
      <c r="P15" s="215"/>
      <c r="Q15" s="215"/>
      <c r="R15" s="215"/>
      <c r="S15" s="215"/>
      <c r="T15" s="215"/>
    </row>
    <row r="16" spans="1:20" s="14" customFormat="1" ht="31.5" customHeight="1">
      <c r="A16" s="89">
        <v>2</v>
      </c>
      <c r="B16" s="90" t="s">
        <v>382</v>
      </c>
      <c r="C16" s="89" t="s">
        <v>31</v>
      </c>
      <c r="D16" s="98">
        <f>[1]B8!$K$15</f>
        <v>1</v>
      </c>
      <c r="E16" s="98">
        <v>4.5</v>
      </c>
      <c r="F16" s="98">
        <v>5</v>
      </c>
      <c r="G16" s="98">
        <v>5.5</v>
      </c>
      <c r="H16" s="98">
        <v>6</v>
      </c>
      <c r="I16" s="98">
        <v>6.5</v>
      </c>
      <c r="J16" s="98">
        <f>SUM(E16:I16)</f>
        <v>27.5</v>
      </c>
      <c r="K16" s="209"/>
      <c r="L16" s="209"/>
      <c r="M16" s="209"/>
      <c r="N16" s="209"/>
      <c r="O16" s="209"/>
      <c r="P16" s="209"/>
      <c r="Q16" s="209"/>
      <c r="R16" s="209"/>
      <c r="S16" s="209"/>
      <c r="T16" s="209"/>
    </row>
    <row r="17" spans="1:20" s="17" customFormat="1" ht="27.75" customHeight="1">
      <c r="A17" s="85"/>
      <c r="B17" s="86" t="s">
        <v>381</v>
      </c>
      <c r="C17" s="85" t="s">
        <v>190</v>
      </c>
      <c r="D17" s="96">
        <f>D16/D7%</f>
        <v>0.13123359580052493</v>
      </c>
      <c r="E17" s="96">
        <f t="shared" ref="E17:J17" si="2">E16/E7%</f>
        <v>2.3136246786632388</v>
      </c>
      <c r="F17" s="96">
        <f t="shared" si="2"/>
        <v>2.3255813953488373</v>
      </c>
      <c r="G17" s="96">
        <f t="shared" si="2"/>
        <v>2.4943310657596371</v>
      </c>
      <c r="H17" s="96">
        <f t="shared" si="2"/>
        <v>2.6548672566371683</v>
      </c>
      <c r="I17" s="96">
        <f t="shared" si="2"/>
        <v>2.7484143763213527</v>
      </c>
      <c r="J17" s="96">
        <f t="shared" si="2"/>
        <v>2.5171624713958809</v>
      </c>
      <c r="K17" s="215"/>
      <c r="L17" s="215"/>
      <c r="M17" s="215"/>
      <c r="N17" s="215"/>
      <c r="O17" s="215"/>
      <c r="P17" s="215"/>
      <c r="Q17" s="215"/>
      <c r="R17" s="215"/>
      <c r="S17" s="215"/>
      <c r="T17" s="215"/>
    </row>
    <row r="18" spans="1:20" s="17" customFormat="1" ht="27.75" customHeight="1">
      <c r="A18" s="85"/>
      <c r="B18" s="86" t="s">
        <v>378</v>
      </c>
      <c r="C18" s="85" t="s">
        <v>190</v>
      </c>
      <c r="D18" s="97"/>
      <c r="E18" s="97"/>
      <c r="F18" s="97"/>
      <c r="G18" s="97"/>
      <c r="H18" s="97"/>
      <c r="I18" s="97"/>
      <c r="J18" s="97"/>
      <c r="K18" s="215"/>
      <c r="L18" s="215"/>
      <c r="M18" s="215"/>
      <c r="N18" s="215"/>
      <c r="O18" s="215"/>
      <c r="P18" s="215"/>
      <c r="Q18" s="215"/>
      <c r="R18" s="215"/>
      <c r="S18" s="215"/>
      <c r="T18" s="215"/>
    </row>
    <row r="19" spans="1:20" s="14" customFormat="1" ht="31.5" customHeight="1">
      <c r="A19" s="89">
        <v>3</v>
      </c>
      <c r="B19" s="90" t="s">
        <v>383</v>
      </c>
      <c r="C19" s="89" t="s">
        <v>31</v>
      </c>
      <c r="D19" s="98">
        <f>[1]B8!$K$18</f>
        <v>0</v>
      </c>
      <c r="E19" s="98">
        <v>0</v>
      </c>
      <c r="F19" s="98">
        <v>0</v>
      </c>
      <c r="G19" s="98">
        <v>0</v>
      </c>
      <c r="H19" s="98">
        <v>0</v>
      </c>
      <c r="I19" s="98">
        <v>0</v>
      </c>
      <c r="J19" s="98">
        <v>0</v>
      </c>
      <c r="K19" s="209"/>
      <c r="L19" s="209"/>
      <c r="M19" s="209"/>
      <c r="N19" s="209"/>
      <c r="O19" s="209"/>
      <c r="P19" s="209"/>
      <c r="Q19" s="209"/>
      <c r="R19" s="209"/>
      <c r="S19" s="209"/>
      <c r="T19" s="209"/>
    </row>
    <row r="20" spans="1:20" s="17" customFormat="1" ht="29.25" customHeight="1">
      <c r="A20" s="85"/>
      <c r="B20" s="86" t="s">
        <v>381</v>
      </c>
      <c r="C20" s="85" t="s">
        <v>190</v>
      </c>
      <c r="D20" s="97"/>
      <c r="E20" s="97"/>
      <c r="F20" s="97"/>
      <c r="G20" s="97"/>
      <c r="H20" s="97"/>
      <c r="I20" s="97"/>
      <c r="J20" s="97"/>
      <c r="K20" s="215"/>
      <c r="L20" s="215"/>
      <c r="M20" s="215"/>
      <c r="N20" s="215"/>
      <c r="O20" s="215"/>
      <c r="P20" s="215"/>
      <c r="Q20" s="215"/>
      <c r="R20" s="215"/>
      <c r="S20" s="215"/>
      <c r="T20" s="215"/>
    </row>
    <row r="21" spans="1:20" s="17" customFormat="1" ht="29.25" customHeight="1">
      <c r="A21" s="85"/>
      <c r="B21" s="86" t="s">
        <v>378</v>
      </c>
      <c r="C21" s="85" t="s">
        <v>190</v>
      </c>
      <c r="D21" s="97"/>
      <c r="E21" s="97"/>
      <c r="F21" s="97"/>
      <c r="G21" s="97"/>
      <c r="H21" s="97"/>
      <c r="I21" s="97"/>
      <c r="J21" s="97"/>
      <c r="K21" s="215"/>
      <c r="L21" s="215"/>
      <c r="M21" s="215"/>
      <c r="N21" s="215"/>
      <c r="O21" s="215"/>
      <c r="P21" s="215"/>
      <c r="Q21" s="215"/>
      <c r="R21" s="215"/>
      <c r="S21" s="215"/>
      <c r="T21" s="215"/>
    </row>
    <row r="22" spans="1:20" s="14" customFormat="1" ht="28.5" hidden="1">
      <c r="A22" s="89">
        <v>4</v>
      </c>
      <c r="B22" s="90" t="s">
        <v>384</v>
      </c>
      <c r="C22" s="89" t="s">
        <v>31</v>
      </c>
      <c r="D22" s="98"/>
      <c r="E22" s="98"/>
      <c r="F22" s="98"/>
      <c r="G22" s="98"/>
      <c r="H22" s="98"/>
      <c r="I22" s="98"/>
      <c r="J22" s="98"/>
      <c r="K22" s="209"/>
      <c r="L22" s="209"/>
      <c r="M22" s="209"/>
      <c r="N22" s="209"/>
      <c r="O22" s="209"/>
      <c r="P22" s="209"/>
      <c r="Q22" s="209"/>
      <c r="R22" s="209"/>
      <c r="S22" s="209"/>
      <c r="T22" s="209"/>
    </row>
    <row r="23" spans="1:20" s="17" customFormat="1" hidden="1">
      <c r="A23" s="85"/>
      <c r="B23" s="86" t="s">
        <v>381</v>
      </c>
      <c r="C23" s="85" t="s">
        <v>190</v>
      </c>
      <c r="D23" s="97"/>
      <c r="E23" s="97"/>
      <c r="F23" s="97"/>
      <c r="G23" s="97"/>
      <c r="H23" s="97"/>
      <c r="I23" s="97"/>
      <c r="J23" s="97"/>
      <c r="K23" s="215"/>
      <c r="L23" s="215"/>
      <c r="M23" s="215"/>
      <c r="N23" s="215"/>
      <c r="O23" s="215"/>
      <c r="P23" s="215"/>
      <c r="Q23" s="215"/>
      <c r="R23" s="215"/>
      <c r="S23" s="215"/>
      <c r="T23" s="215"/>
    </row>
    <row r="24" spans="1:20" s="17" customFormat="1" hidden="1">
      <c r="A24" s="85"/>
      <c r="B24" s="86" t="s">
        <v>378</v>
      </c>
      <c r="C24" s="85" t="s">
        <v>190</v>
      </c>
      <c r="D24" s="97"/>
      <c r="E24" s="97"/>
      <c r="F24" s="97"/>
      <c r="G24" s="97"/>
      <c r="H24" s="97"/>
      <c r="I24" s="97"/>
      <c r="J24" s="97"/>
      <c r="K24" s="215"/>
      <c r="L24" s="215"/>
      <c r="M24" s="215"/>
      <c r="N24" s="215"/>
      <c r="O24" s="215"/>
      <c r="P24" s="215"/>
      <c r="Q24" s="215"/>
      <c r="R24" s="215"/>
      <c r="S24" s="215"/>
      <c r="T24" s="215"/>
    </row>
    <row r="25" spans="1:20" s="14" customFormat="1" ht="28.5" hidden="1">
      <c r="A25" s="89">
        <v>5</v>
      </c>
      <c r="B25" s="90" t="s">
        <v>385</v>
      </c>
      <c r="C25" s="89" t="s">
        <v>31</v>
      </c>
      <c r="D25" s="98"/>
      <c r="E25" s="98"/>
      <c r="F25" s="98"/>
      <c r="G25" s="98"/>
      <c r="H25" s="98"/>
      <c r="I25" s="98"/>
      <c r="J25" s="98"/>
      <c r="K25" s="209"/>
      <c r="L25" s="209"/>
      <c r="M25" s="209"/>
      <c r="N25" s="209"/>
      <c r="O25" s="209"/>
      <c r="P25" s="209"/>
      <c r="Q25" s="209"/>
      <c r="R25" s="209"/>
      <c r="S25" s="209"/>
      <c r="T25" s="209"/>
    </row>
    <row r="26" spans="1:20" s="17" customFormat="1" hidden="1">
      <c r="A26" s="85"/>
      <c r="B26" s="86" t="s">
        <v>381</v>
      </c>
      <c r="C26" s="85" t="s">
        <v>190</v>
      </c>
      <c r="D26" s="97"/>
      <c r="E26" s="97"/>
      <c r="F26" s="97"/>
      <c r="G26" s="97"/>
      <c r="H26" s="97"/>
      <c r="I26" s="97"/>
      <c r="J26" s="97"/>
      <c r="K26" s="215"/>
      <c r="L26" s="215"/>
      <c r="M26" s="215"/>
      <c r="N26" s="215"/>
      <c r="O26" s="215"/>
      <c r="P26" s="215"/>
      <c r="Q26" s="215"/>
      <c r="R26" s="215"/>
      <c r="S26" s="215"/>
      <c r="T26" s="215"/>
    </row>
    <row r="27" spans="1:20" s="17" customFormat="1" hidden="1">
      <c r="A27" s="85"/>
      <c r="B27" s="86" t="s">
        <v>378</v>
      </c>
      <c r="C27" s="85" t="s">
        <v>190</v>
      </c>
      <c r="D27" s="97"/>
      <c r="E27" s="97"/>
      <c r="F27" s="97"/>
      <c r="G27" s="97"/>
      <c r="H27" s="97"/>
      <c r="I27" s="97"/>
      <c r="J27" s="97"/>
      <c r="K27" s="215"/>
      <c r="L27" s="215"/>
      <c r="M27" s="215"/>
      <c r="N27" s="215"/>
      <c r="O27" s="215"/>
      <c r="P27" s="215"/>
      <c r="Q27" s="215"/>
      <c r="R27" s="215"/>
      <c r="S27" s="215"/>
      <c r="T27" s="215"/>
    </row>
    <row r="28" spans="1:20" s="14" customFormat="1" ht="30.75">
      <c r="A28" s="89">
        <v>4</v>
      </c>
      <c r="B28" s="90" t="s">
        <v>669</v>
      </c>
      <c r="C28" s="89" t="s">
        <v>31</v>
      </c>
      <c r="D28" s="98">
        <f>[1]B8!$K$27</f>
        <v>0</v>
      </c>
      <c r="E28" s="98">
        <v>0</v>
      </c>
      <c r="F28" s="98">
        <v>0</v>
      </c>
      <c r="G28" s="98">
        <v>0</v>
      </c>
      <c r="H28" s="98">
        <v>0</v>
      </c>
      <c r="I28" s="98">
        <v>0</v>
      </c>
      <c r="J28" s="98">
        <v>0</v>
      </c>
      <c r="K28" s="209"/>
      <c r="L28" s="209"/>
      <c r="M28" s="209"/>
      <c r="N28" s="209"/>
      <c r="O28" s="209"/>
      <c r="P28" s="209"/>
      <c r="Q28" s="209"/>
      <c r="R28" s="209"/>
      <c r="S28" s="209"/>
      <c r="T28" s="209"/>
    </row>
    <row r="29" spans="1:20" s="17" customFormat="1" ht="25.5" customHeight="1">
      <c r="A29" s="85"/>
      <c r="B29" s="86" t="s">
        <v>381</v>
      </c>
      <c r="C29" s="85" t="s">
        <v>190</v>
      </c>
      <c r="D29" s="97"/>
      <c r="E29" s="97"/>
      <c r="F29" s="97"/>
      <c r="G29" s="97"/>
      <c r="H29" s="97"/>
      <c r="I29" s="97"/>
      <c r="J29" s="97"/>
      <c r="K29" s="215"/>
      <c r="L29" s="215"/>
      <c r="M29" s="215"/>
      <c r="N29" s="215"/>
      <c r="O29" s="215"/>
      <c r="P29" s="215"/>
      <c r="Q29" s="215"/>
      <c r="R29" s="215"/>
      <c r="S29" s="215"/>
      <c r="T29" s="215"/>
    </row>
    <row r="30" spans="1:20" s="17" customFormat="1" ht="25.5" customHeight="1">
      <c r="A30" s="87"/>
      <c r="B30" s="88" t="s">
        <v>378</v>
      </c>
      <c r="C30" s="87" t="s">
        <v>190</v>
      </c>
      <c r="D30" s="88"/>
      <c r="E30" s="88"/>
      <c r="F30" s="88"/>
      <c r="G30" s="88"/>
      <c r="H30" s="88"/>
      <c r="I30" s="88"/>
      <c r="J30" s="88"/>
      <c r="K30" s="216"/>
      <c r="L30" s="216"/>
      <c r="M30" s="216"/>
      <c r="N30" s="216"/>
      <c r="O30" s="216"/>
      <c r="P30" s="216"/>
      <c r="Q30" s="216"/>
      <c r="R30" s="216"/>
      <c r="S30" s="216"/>
      <c r="T30" s="216"/>
    </row>
  </sheetData>
  <mergeCells count="13">
    <mergeCell ref="G4:J4"/>
    <mergeCell ref="A1:J1"/>
    <mergeCell ref="J5:J6"/>
    <mergeCell ref="A2:T2"/>
    <mergeCell ref="A3:T3"/>
    <mergeCell ref="K5:Q5"/>
    <mergeCell ref="R5:S5"/>
    <mergeCell ref="T5:T6"/>
    <mergeCell ref="A5:A6"/>
    <mergeCell ref="B5:B6"/>
    <mergeCell ref="C5:C6"/>
    <mergeCell ref="D5:D6"/>
    <mergeCell ref="E5:I5"/>
  </mergeCells>
  <pageMargins left="0.31" right="0.2" top="0.75" bottom="0.75" header="0.3" footer="0.3"/>
  <pageSetup paperSize="9" scale="70" orientation="landscape" r:id="rId1"/>
  <headerFooter>
    <oddHeader>Page &amp;P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I53"/>
  <sheetViews>
    <sheetView zoomScale="85" zoomScaleNormal="85" workbookViewId="0">
      <pane xSplit="8" ySplit="16" topLeftCell="I44" activePane="bottomRight" state="frozen"/>
      <selection activeCell="CG77" activeCellId="1" sqref="CC77:CE77 CG77"/>
      <selection pane="topRight" activeCell="CG77" activeCellId="1" sqref="CC77:CE77 CG77"/>
      <selection pane="bottomLeft" activeCell="CG77" activeCellId="1" sqref="CC77:CE77 CG77"/>
      <selection pane="bottomRight" activeCell="CG77" activeCellId="1" sqref="CC77:CE77 CG77"/>
    </sheetView>
  </sheetViews>
  <sheetFormatPr defaultRowHeight="15"/>
  <cols>
    <col min="1" max="1" width="6.42578125" style="74" customWidth="1"/>
    <col min="2" max="2" width="35.85546875" style="73" customWidth="1"/>
    <col min="3" max="3" width="13.42578125" style="73" customWidth="1"/>
    <col min="4" max="8" width="11.5703125" style="73" customWidth="1"/>
    <col min="9" max="9" width="20" style="73" customWidth="1"/>
  </cols>
  <sheetData>
    <row r="1" spans="1:9" ht="15" customHeight="1">
      <c r="A1" s="570" t="s">
        <v>386</v>
      </c>
      <c r="B1" s="570"/>
      <c r="C1" s="570"/>
      <c r="D1" s="570"/>
      <c r="E1" s="570"/>
      <c r="F1" s="570"/>
      <c r="G1" s="570"/>
      <c r="H1" s="570"/>
      <c r="I1" s="570"/>
    </row>
    <row r="2" spans="1:9" ht="39.75" customHeight="1">
      <c r="A2" s="554" t="s">
        <v>387</v>
      </c>
      <c r="B2" s="554"/>
      <c r="C2" s="554"/>
      <c r="D2" s="554"/>
      <c r="E2" s="554"/>
      <c r="F2" s="554"/>
      <c r="G2" s="554"/>
      <c r="H2" s="554"/>
      <c r="I2" s="554"/>
    </row>
    <row r="3" spans="1:9" ht="18.75" customHeight="1">
      <c r="A3" s="568" t="str">
        <f>'B1 TH'!A3:J3</f>
        <v>(Kèm theo Báo cáo số 545-BC/HU, ngày 02/10/2024 của BTV Huyện ủy)</v>
      </c>
      <c r="B3" s="568"/>
      <c r="C3" s="568"/>
      <c r="D3" s="568"/>
      <c r="E3" s="568"/>
      <c r="F3" s="568"/>
      <c r="G3" s="568"/>
      <c r="H3" s="568"/>
      <c r="I3" s="568"/>
    </row>
    <row r="4" spans="1:9" ht="21" customHeight="1">
      <c r="G4" s="569" t="s">
        <v>388</v>
      </c>
      <c r="H4" s="569"/>
      <c r="I4" s="569"/>
    </row>
    <row r="5" spans="1:9" ht="28.5">
      <c r="A5" s="15" t="s">
        <v>1</v>
      </c>
      <c r="B5" s="15" t="s">
        <v>389</v>
      </c>
      <c r="C5" s="15" t="str">
        <f>'[3]Biểu 1'!D4</f>
        <v>Thực hiện 2016-2020</v>
      </c>
      <c r="D5" s="15" t="str">
        <f>'[3]Biểu 1'!E4</f>
        <v>KH 2021</v>
      </c>
      <c r="E5" s="15" t="str">
        <f>'[3]Biểu 1'!F4</f>
        <v>KH 2022</v>
      </c>
      <c r="F5" s="15" t="str">
        <f>'[3]Biểu 1'!G4</f>
        <v>KH 2023</v>
      </c>
      <c r="G5" s="15" t="str">
        <f>'[3]Biểu 1'!H4</f>
        <v>KH 2024</v>
      </c>
      <c r="H5" s="15" t="str">
        <f>'[3]Biểu 1'!I4</f>
        <v>KH 2025</v>
      </c>
      <c r="I5" s="15" t="str">
        <f>'[3]Biểu 1'!J4</f>
        <v>Mục tiêu kế hoạch 5 năm 2021-2025</v>
      </c>
    </row>
    <row r="6" spans="1:9" s="14" customFormat="1" ht="24.75" customHeight="1">
      <c r="A6" s="91"/>
      <c r="B6" s="106" t="s">
        <v>376</v>
      </c>
      <c r="C6" s="93">
        <f>[1]B9!$J$16</f>
        <v>762</v>
      </c>
      <c r="D6" s="93">
        <f t="shared" ref="D6:H6" si="0">D17+D29</f>
        <v>188</v>
      </c>
      <c r="E6" s="93">
        <f t="shared" si="0"/>
        <v>204.5</v>
      </c>
      <c r="F6" s="93">
        <f t="shared" si="0"/>
        <v>218</v>
      </c>
      <c r="G6" s="93">
        <f t="shared" si="0"/>
        <v>233</v>
      </c>
      <c r="H6" s="93">
        <f t="shared" si="0"/>
        <v>249</v>
      </c>
      <c r="I6" s="93">
        <f>SUM(D6:H6)</f>
        <v>1092.5</v>
      </c>
    </row>
    <row r="7" spans="1:9" s="11" customFormat="1" hidden="1">
      <c r="A7" s="89" t="s">
        <v>219</v>
      </c>
      <c r="B7" s="95" t="s">
        <v>390</v>
      </c>
      <c r="C7" s="34"/>
      <c r="D7" s="34"/>
      <c r="E7" s="34"/>
      <c r="F7" s="34"/>
      <c r="G7" s="34"/>
      <c r="H7" s="34"/>
      <c r="I7" s="34">
        <f t="shared" ref="I7:I17" si="1">SUM(D7:H7)</f>
        <v>0</v>
      </c>
    </row>
    <row r="8" spans="1:9" s="11" customFormat="1" ht="43.5" hidden="1">
      <c r="A8" s="89"/>
      <c r="B8" s="95" t="s">
        <v>391</v>
      </c>
      <c r="C8" s="34"/>
      <c r="D8" s="34"/>
      <c r="E8" s="34"/>
      <c r="F8" s="34"/>
      <c r="G8" s="34"/>
      <c r="H8" s="34"/>
      <c r="I8" s="34">
        <f t="shared" si="1"/>
        <v>0</v>
      </c>
    </row>
    <row r="9" spans="1:9" s="11" customFormat="1" ht="43.5" hidden="1">
      <c r="A9" s="89"/>
      <c r="B9" s="95" t="s">
        <v>392</v>
      </c>
      <c r="C9" s="34"/>
      <c r="D9" s="34"/>
      <c r="E9" s="34"/>
      <c r="F9" s="34"/>
      <c r="G9" s="34"/>
      <c r="H9" s="34"/>
      <c r="I9" s="34">
        <f t="shared" si="1"/>
        <v>0</v>
      </c>
    </row>
    <row r="10" spans="1:9" s="11" customFormat="1" ht="29.25" hidden="1">
      <c r="A10" s="89"/>
      <c r="B10" s="95" t="s">
        <v>393</v>
      </c>
      <c r="C10" s="34"/>
      <c r="D10" s="34"/>
      <c r="E10" s="34"/>
      <c r="F10" s="34"/>
      <c r="G10" s="34"/>
      <c r="H10" s="34"/>
      <c r="I10" s="34">
        <f t="shared" si="1"/>
        <v>0</v>
      </c>
    </row>
    <row r="11" spans="1:9" s="11" customFormat="1" hidden="1">
      <c r="A11" s="89"/>
      <c r="B11" s="95" t="s">
        <v>394</v>
      </c>
      <c r="C11" s="34"/>
      <c r="D11" s="34"/>
      <c r="E11" s="34"/>
      <c r="F11" s="34"/>
      <c r="G11" s="34"/>
      <c r="H11" s="34"/>
      <c r="I11" s="34">
        <f t="shared" si="1"/>
        <v>0</v>
      </c>
    </row>
    <row r="12" spans="1:9" s="11" customFormat="1" ht="29.25" hidden="1">
      <c r="A12" s="89"/>
      <c r="B12" s="95" t="s">
        <v>395</v>
      </c>
      <c r="C12" s="34"/>
      <c r="D12" s="34"/>
      <c r="E12" s="34"/>
      <c r="F12" s="34"/>
      <c r="G12" s="34"/>
      <c r="H12" s="34"/>
      <c r="I12" s="34">
        <f t="shared" si="1"/>
        <v>0</v>
      </c>
    </row>
    <row r="13" spans="1:9" s="11" customFormat="1" ht="72" hidden="1">
      <c r="A13" s="89"/>
      <c r="B13" s="95" t="s">
        <v>396</v>
      </c>
      <c r="C13" s="34"/>
      <c r="D13" s="34"/>
      <c r="E13" s="34"/>
      <c r="F13" s="34"/>
      <c r="G13" s="34"/>
      <c r="H13" s="34"/>
      <c r="I13" s="34">
        <f t="shared" si="1"/>
        <v>0</v>
      </c>
    </row>
    <row r="14" spans="1:9" s="11" customFormat="1" hidden="1">
      <c r="A14" s="89"/>
      <c r="B14" s="95" t="s">
        <v>397</v>
      </c>
      <c r="C14" s="34"/>
      <c r="D14" s="34"/>
      <c r="E14" s="34"/>
      <c r="F14" s="34"/>
      <c r="G14" s="34"/>
      <c r="H14" s="34"/>
      <c r="I14" s="34">
        <f t="shared" si="1"/>
        <v>0</v>
      </c>
    </row>
    <row r="15" spans="1:9" s="11" customFormat="1" hidden="1">
      <c r="A15" s="89"/>
      <c r="B15" s="95" t="s">
        <v>398</v>
      </c>
      <c r="C15" s="34"/>
      <c r="D15" s="34"/>
      <c r="E15" s="34"/>
      <c r="F15" s="34"/>
      <c r="G15" s="34"/>
      <c r="H15" s="34"/>
      <c r="I15" s="34">
        <f t="shared" si="1"/>
        <v>0</v>
      </c>
    </row>
    <row r="16" spans="1:9" s="11" customFormat="1" hidden="1">
      <c r="A16" s="89"/>
      <c r="B16" s="95" t="s">
        <v>376</v>
      </c>
      <c r="C16" s="34"/>
      <c r="D16" s="34"/>
      <c r="E16" s="34"/>
      <c r="F16" s="34"/>
      <c r="G16" s="34"/>
      <c r="H16" s="34"/>
      <c r="I16" s="34">
        <f t="shared" si="1"/>
        <v>0</v>
      </c>
    </row>
    <row r="17" spans="1:9" s="11" customFormat="1" ht="24.75" customHeight="1">
      <c r="A17" s="89" t="s">
        <v>26</v>
      </c>
      <c r="B17" s="95" t="s">
        <v>399</v>
      </c>
      <c r="C17" s="34">
        <f>[1]B9!$J$17</f>
        <v>447.59999999999997</v>
      </c>
      <c r="D17" s="34">
        <f>+D19+D21+D23+D25</f>
        <v>110</v>
      </c>
      <c r="E17" s="34">
        <f>+E19+E21+E23+E25</f>
        <v>117</v>
      </c>
      <c r="F17" s="34">
        <f>+F19+F21+F23+F25</f>
        <v>123</v>
      </c>
      <c r="G17" s="34">
        <f>+G19+G21+G23+G25</f>
        <v>129</v>
      </c>
      <c r="H17" s="34">
        <f>+H19+H21+H23+H25</f>
        <v>135</v>
      </c>
      <c r="I17" s="34">
        <f t="shared" si="1"/>
        <v>614</v>
      </c>
    </row>
    <row r="18" spans="1:9" s="16" customFormat="1" ht="24.75" customHeight="1">
      <c r="A18" s="85"/>
      <c r="B18" s="94" t="s">
        <v>400</v>
      </c>
      <c r="C18" s="96">
        <f>[1]B9!$J$18</f>
        <v>58.740157480314956</v>
      </c>
      <c r="D18" s="96">
        <f>D17/D6%</f>
        <v>58.51063829787234</v>
      </c>
      <c r="E18" s="96">
        <f t="shared" ref="E18:I18" si="2">E17/E6%</f>
        <v>57.212713936430319</v>
      </c>
      <c r="F18" s="96">
        <f t="shared" si="2"/>
        <v>56.422018348623851</v>
      </c>
      <c r="G18" s="96">
        <f t="shared" si="2"/>
        <v>55.36480686695279</v>
      </c>
      <c r="H18" s="96">
        <f t="shared" si="2"/>
        <v>54.21686746987951</v>
      </c>
      <c r="I18" s="96">
        <f t="shared" si="2"/>
        <v>56.201372997711665</v>
      </c>
    </row>
    <row r="19" spans="1:9" ht="24.75" customHeight="1">
      <c r="A19" s="78">
        <v>1</v>
      </c>
      <c r="B19" s="77" t="s">
        <v>401</v>
      </c>
      <c r="C19" s="103" t="e">
        <f>[1]B9!$J$19</f>
        <v>#REF!</v>
      </c>
      <c r="D19" s="103">
        <v>0</v>
      </c>
      <c r="E19" s="103">
        <v>0</v>
      </c>
      <c r="F19" s="103">
        <v>0</v>
      </c>
      <c r="G19" s="103">
        <v>0</v>
      </c>
      <c r="H19" s="103">
        <v>0</v>
      </c>
      <c r="I19" s="103"/>
    </row>
    <row r="20" spans="1:9" s="16" customFormat="1" ht="24.75" customHeight="1">
      <c r="A20" s="85"/>
      <c r="B20" s="94" t="s">
        <v>400</v>
      </c>
      <c r="C20" s="97"/>
      <c r="D20" s="97"/>
      <c r="E20" s="97"/>
      <c r="F20" s="97"/>
      <c r="G20" s="97"/>
      <c r="H20" s="97"/>
      <c r="I20" s="97"/>
    </row>
    <row r="21" spans="1:9" ht="24.75" customHeight="1">
      <c r="A21" s="78">
        <f>+A19+1</f>
        <v>2</v>
      </c>
      <c r="B21" s="77" t="s">
        <v>402</v>
      </c>
      <c r="C21" s="103">
        <f>[1]B9!$J$21</f>
        <v>54.9</v>
      </c>
      <c r="D21" s="103">
        <v>10</v>
      </c>
      <c r="E21" s="103">
        <v>12</v>
      </c>
      <c r="F21" s="103">
        <v>13</v>
      </c>
      <c r="G21" s="103">
        <v>14</v>
      </c>
      <c r="H21" s="103">
        <v>15</v>
      </c>
      <c r="I21" s="103">
        <f>SUM(D21:H21)</f>
        <v>64</v>
      </c>
    </row>
    <row r="22" spans="1:9" s="16" customFormat="1" ht="24.75" customHeight="1">
      <c r="A22" s="85"/>
      <c r="B22" s="94" t="s">
        <v>400</v>
      </c>
      <c r="C22" s="183">
        <f>[1]B9!$J$22</f>
        <v>7.2047244094488194</v>
      </c>
      <c r="D22" s="183">
        <f>D21/D6%</f>
        <v>5.3191489361702127</v>
      </c>
      <c r="E22" s="183">
        <f t="shared" ref="E22:I22" si="3">E21/E6%</f>
        <v>5.8679706601466997</v>
      </c>
      <c r="F22" s="183">
        <f t="shared" si="3"/>
        <v>5.9633027522935773</v>
      </c>
      <c r="G22" s="183">
        <f t="shared" si="3"/>
        <v>6.0085836909871242</v>
      </c>
      <c r="H22" s="183">
        <f t="shared" si="3"/>
        <v>6.0240963855421681</v>
      </c>
      <c r="I22" s="183">
        <f t="shared" si="3"/>
        <v>5.8581235697940501</v>
      </c>
    </row>
    <row r="23" spans="1:9" ht="24.75" customHeight="1">
      <c r="A23" s="78">
        <f>+A21+1</f>
        <v>3</v>
      </c>
      <c r="B23" s="77" t="s">
        <v>403</v>
      </c>
      <c r="C23" s="103">
        <f>[1]B9!$J$23</f>
        <v>392.7</v>
      </c>
      <c r="D23" s="103">
        <v>100</v>
      </c>
      <c r="E23" s="103">
        <v>105</v>
      </c>
      <c r="F23" s="103">
        <v>110</v>
      </c>
      <c r="G23" s="103">
        <v>115</v>
      </c>
      <c r="H23" s="103">
        <v>120</v>
      </c>
      <c r="I23" s="103">
        <f>SUM(D23:H23)</f>
        <v>550</v>
      </c>
    </row>
    <row r="24" spans="1:9" s="16" customFormat="1" ht="24.75" customHeight="1">
      <c r="A24" s="85"/>
      <c r="B24" s="94" t="s">
        <v>400</v>
      </c>
      <c r="C24" s="183">
        <f>[1]B9!$J$24</f>
        <v>51.535433070866141</v>
      </c>
      <c r="D24" s="183">
        <f>D23/D6%</f>
        <v>53.191489361702132</v>
      </c>
      <c r="E24" s="183">
        <f t="shared" ref="E24:I24" si="4">E23/E6%</f>
        <v>51.344743276283623</v>
      </c>
      <c r="F24" s="183">
        <f t="shared" si="4"/>
        <v>50.458715596330272</v>
      </c>
      <c r="G24" s="183">
        <f t="shared" si="4"/>
        <v>49.356223175965667</v>
      </c>
      <c r="H24" s="183">
        <f t="shared" si="4"/>
        <v>48.192771084337345</v>
      </c>
      <c r="I24" s="183">
        <f t="shared" si="4"/>
        <v>50.34324942791762</v>
      </c>
    </row>
    <row r="25" spans="1:9" ht="24.75" customHeight="1">
      <c r="A25" s="78">
        <f>+A23+1</f>
        <v>4</v>
      </c>
      <c r="B25" s="77" t="s">
        <v>404</v>
      </c>
      <c r="C25" s="103">
        <v>0</v>
      </c>
      <c r="D25" s="103"/>
      <c r="E25" s="103"/>
      <c r="F25" s="103"/>
      <c r="G25" s="103"/>
      <c r="H25" s="103"/>
      <c r="I25" s="103"/>
    </row>
    <row r="26" spans="1:9" s="16" customFormat="1" ht="24.75" customHeight="1">
      <c r="A26" s="85"/>
      <c r="B26" s="94" t="s">
        <v>400</v>
      </c>
      <c r="C26" s="97"/>
      <c r="D26" s="97"/>
      <c r="E26" s="97"/>
      <c r="F26" s="97"/>
      <c r="G26" s="97"/>
      <c r="H26" s="97"/>
      <c r="I26" s="97"/>
    </row>
    <row r="27" spans="1:9" hidden="1">
      <c r="A27" s="78">
        <f>+A25+1</f>
        <v>5</v>
      </c>
      <c r="B27" s="77" t="s">
        <v>405</v>
      </c>
      <c r="C27" s="103"/>
      <c r="D27" s="103"/>
      <c r="E27" s="103"/>
      <c r="F27" s="103"/>
      <c r="G27" s="103"/>
      <c r="H27" s="103"/>
      <c r="I27" s="103"/>
    </row>
    <row r="28" spans="1:9" hidden="1">
      <c r="A28" s="78"/>
      <c r="B28" s="77" t="s">
        <v>400</v>
      </c>
      <c r="C28" s="103"/>
      <c r="D28" s="103"/>
      <c r="E28" s="103"/>
      <c r="F28" s="103"/>
      <c r="G28" s="103"/>
      <c r="H28" s="103"/>
      <c r="I28" s="103"/>
    </row>
    <row r="29" spans="1:9" s="11" customFormat="1" ht="21" customHeight="1">
      <c r="A29" s="89" t="s">
        <v>29</v>
      </c>
      <c r="B29" s="95" t="s">
        <v>406</v>
      </c>
      <c r="C29" s="98">
        <f>[1]B9!$J$29</f>
        <v>314.39999999999998</v>
      </c>
      <c r="D29" s="98">
        <f>+D31+D33+D35+D37+D39+D41+D43+D45+D47</f>
        <v>78</v>
      </c>
      <c r="E29" s="98">
        <f>+E31+E33+E35+E37+E39+E41+E43+E45+E47</f>
        <v>87.5</v>
      </c>
      <c r="F29" s="98">
        <f>+F31+F33+F35+F37+F39+F41+F43+F45+F47</f>
        <v>95</v>
      </c>
      <c r="G29" s="98">
        <f>+G31+G33+G35+G37+G39+G41+G43+G45+G47</f>
        <v>104</v>
      </c>
      <c r="H29" s="98">
        <f>+H31+H33+H35+H37+H39+H41+H43+H45+H47</f>
        <v>114</v>
      </c>
      <c r="I29" s="98">
        <f>SUM(D29:H29)</f>
        <v>478.5</v>
      </c>
    </row>
    <row r="30" spans="1:9" s="16" customFormat="1" ht="21" customHeight="1">
      <c r="A30" s="85"/>
      <c r="B30" s="94" t="s">
        <v>400</v>
      </c>
      <c r="C30" s="96">
        <f>[1]B9!$J$30</f>
        <v>41.259842519685037</v>
      </c>
      <c r="D30" s="96">
        <f>D29/D6%</f>
        <v>41.48936170212766</v>
      </c>
      <c r="E30" s="96">
        <f t="shared" ref="E30:I30" si="5">E29/E6%</f>
        <v>42.787286063569681</v>
      </c>
      <c r="F30" s="96">
        <f t="shared" si="5"/>
        <v>43.577981651376142</v>
      </c>
      <c r="G30" s="96">
        <f t="shared" si="5"/>
        <v>44.63519313304721</v>
      </c>
      <c r="H30" s="96">
        <f t="shared" si="5"/>
        <v>45.783132530120476</v>
      </c>
      <c r="I30" s="96">
        <f t="shared" si="5"/>
        <v>43.798627002288328</v>
      </c>
    </row>
    <row r="31" spans="1:9" ht="21" customHeight="1">
      <c r="A31" s="78">
        <v>5</v>
      </c>
      <c r="B31" s="77" t="s">
        <v>407</v>
      </c>
      <c r="C31" s="103">
        <f>[1]B9!$J$31</f>
        <v>33.5</v>
      </c>
      <c r="D31" s="103">
        <v>4</v>
      </c>
      <c r="E31" s="103">
        <v>5</v>
      </c>
      <c r="F31" s="103">
        <v>6</v>
      </c>
      <c r="G31" s="103">
        <v>7</v>
      </c>
      <c r="H31" s="103">
        <v>8</v>
      </c>
      <c r="I31" s="103">
        <f>SUM(D31:H31)</f>
        <v>30</v>
      </c>
    </row>
    <row r="32" spans="1:9" s="16" customFormat="1" ht="21" customHeight="1">
      <c r="A32" s="85"/>
      <c r="B32" s="94" t="s">
        <v>400</v>
      </c>
      <c r="C32" s="96">
        <f>[1]B9!$J$32</f>
        <v>4.3963254593175858</v>
      </c>
      <c r="D32" s="96">
        <f>D31/D6</f>
        <v>2.1276595744680851E-2</v>
      </c>
      <c r="E32" s="96">
        <f t="shared" ref="E32:H32" si="6">E31/E6</f>
        <v>2.4449877750611249E-2</v>
      </c>
      <c r="F32" s="96">
        <f t="shared" si="6"/>
        <v>2.7522935779816515E-2</v>
      </c>
      <c r="G32" s="96">
        <f t="shared" si="6"/>
        <v>3.0042918454935622E-2</v>
      </c>
      <c r="H32" s="96">
        <f t="shared" si="6"/>
        <v>3.2128514056224897E-2</v>
      </c>
      <c r="I32" s="96">
        <f>I31/I6</f>
        <v>2.7459954233409609E-2</v>
      </c>
    </row>
    <row r="33" spans="1:9" ht="21" customHeight="1">
      <c r="A33" s="78">
        <f>+A31+1</f>
        <v>6</v>
      </c>
      <c r="B33" s="77" t="s">
        <v>408</v>
      </c>
      <c r="C33" s="103" t="e">
        <f>[1]B9!$J$33</f>
        <v>#REF!</v>
      </c>
      <c r="D33" s="103"/>
      <c r="E33" s="103"/>
      <c r="F33" s="103"/>
      <c r="G33" s="103"/>
      <c r="H33" s="103"/>
      <c r="I33" s="103"/>
    </row>
    <row r="34" spans="1:9" s="16" customFormat="1" ht="21" customHeight="1">
      <c r="A34" s="85"/>
      <c r="B34" s="94" t="s">
        <v>400</v>
      </c>
      <c r="C34" s="97"/>
      <c r="D34" s="97"/>
      <c r="E34" s="97"/>
      <c r="F34" s="97"/>
      <c r="G34" s="97"/>
      <c r="H34" s="97"/>
      <c r="I34" s="97"/>
    </row>
    <row r="35" spans="1:9" ht="21" customHeight="1">
      <c r="A35" s="78">
        <f>+A33+1</f>
        <v>7</v>
      </c>
      <c r="B35" s="77" t="s">
        <v>409</v>
      </c>
      <c r="C35" s="103" t="e">
        <f>[1]B9!$J$35</f>
        <v>#REF!</v>
      </c>
      <c r="D35" s="103"/>
      <c r="E35" s="103"/>
      <c r="F35" s="103"/>
      <c r="G35" s="103"/>
      <c r="H35" s="103"/>
      <c r="I35" s="103"/>
    </row>
    <row r="36" spans="1:9" s="16" customFormat="1" ht="21" customHeight="1">
      <c r="A36" s="85"/>
      <c r="B36" s="94" t="s">
        <v>400</v>
      </c>
      <c r="C36" s="97"/>
      <c r="D36" s="97"/>
      <c r="E36" s="97"/>
      <c r="F36" s="97"/>
      <c r="G36" s="97"/>
      <c r="H36" s="97"/>
      <c r="I36" s="97"/>
    </row>
    <row r="37" spans="1:9" ht="21" customHeight="1">
      <c r="A37" s="78">
        <f>+A35+1</f>
        <v>8</v>
      </c>
      <c r="B37" s="77" t="s">
        <v>410</v>
      </c>
      <c r="C37" s="103">
        <f>[1]B9!$J$37</f>
        <v>91</v>
      </c>
      <c r="D37" s="103">
        <v>30</v>
      </c>
      <c r="E37" s="103">
        <v>33</v>
      </c>
      <c r="F37" s="103">
        <v>35</v>
      </c>
      <c r="G37" s="103">
        <v>37</v>
      </c>
      <c r="H37" s="103">
        <v>40</v>
      </c>
      <c r="I37" s="103">
        <f>SUM(D37:H37)</f>
        <v>175</v>
      </c>
    </row>
    <row r="38" spans="1:9" s="16" customFormat="1" ht="21" customHeight="1">
      <c r="A38" s="85"/>
      <c r="B38" s="94" t="s">
        <v>400</v>
      </c>
      <c r="C38" s="96">
        <f>[1]B9!$J$38</f>
        <v>11.94225721784777</v>
      </c>
      <c r="D38" s="96">
        <f>D37/D6%</f>
        <v>15.957446808510639</v>
      </c>
      <c r="E38" s="96">
        <f t="shared" ref="E38:I38" si="7">E37/E6%</f>
        <v>16.136919315403425</v>
      </c>
      <c r="F38" s="96">
        <f t="shared" si="7"/>
        <v>16.055045871559631</v>
      </c>
      <c r="G38" s="96">
        <f t="shared" si="7"/>
        <v>15.879828326180258</v>
      </c>
      <c r="H38" s="96">
        <f t="shared" si="7"/>
        <v>16.064257028112447</v>
      </c>
      <c r="I38" s="96">
        <f t="shared" si="7"/>
        <v>16.018306636155604</v>
      </c>
    </row>
    <row r="39" spans="1:9" ht="21" customHeight="1">
      <c r="A39" s="78">
        <f>+A37+1</f>
        <v>9</v>
      </c>
      <c r="B39" s="77" t="s">
        <v>411</v>
      </c>
      <c r="C39" s="103" t="e">
        <f>[1]B9!$J$39</f>
        <v>#REF!</v>
      </c>
      <c r="D39" s="103"/>
      <c r="E39" s="103"/>
      <c r="F39" s="103"/>
      <c r="G39" s="103"/>
      <c r="H39" s="103"/>
      <c r="I39" s="103"/>
    </row>
    <row r="40" spans="1:9" s="16" customFormat="1" ht="21" customHeight="1">
      <c r="A40" s="85"/>
      <c r="B40" s="94" t="s">
        <v>400</v>
      </c>
      <c r="C40" s="97"/>
      <c r="D40" s="97"/>
      <c r="E40" s="97"/>
      <c r="F40" s="97"/>
      <c r="G40" s="97"/>
      <c r="H40" s="97"/>
      <c r="I40" s="97"/>
    </row>
    <row r="41" spans="1:9" ht="21" customHeight="1">
      <c r="A41" s="78">
        <f>+A39+1</f>
        <v>10</v>
      </c>
      <c r="B41" s="77" t="s">
        <v>412</v>
      </c>
      <c r="C41" s="103">
        <f>[1]B9!$J$41</f>
        <v>6</v>
      </c>
      <c r="D41" s="103"/>
      <c r="E41" s="103"/>
      <c r="F41" s="103"/>
      <c r="G41" s="103"/>
      <c r="H41" s="103"/>
      <c r="I41" s="103"/>
    </row>
    <row r="42" spans="1:9" s="16" customFormat="1" ht="21" customHeight="1">
      <c r="A42" s="85"/>
      <c r="B42" s="94" t="s">
        <v>400</v>
      </c>
      <c r="C42" s="96">
        <f>[1]B9!$J$42</f>
        <v>0.78740157480314954</v>
      </c>
      <c r="D42" s="97"/>
      <c r="E42" s="97"/>
      <c r="F42" s="97"/>
      <c r="G42" s="97"/>
      <c r="H42" s="97"/>
      <c r="I42" s="97"/>
    </row>
    <row r="43" spans="1:9" ht="21" customHeight="1">
      <c r="A43" s="78">
        <v>12</v>
      </c>
      <c r="B43" s="77" t="s">
        <v>413</v>
      </c>
      <c r="C43" s="103">
        <f>[1]B9!$J$43</f>
        <v>8.07</v>
      </c>
      <c r="D43" s="103">
        <v>2</v>
      </c>
      <c r="E43" s="103">
        <v>3</v>
      </c>
      <c r="F43" s="103">
        <v>4</v>
      </c>
      <c r="G43" s="103">
        <v>5</v>
      </c>
      <c r="H43" s="103">
        <v>6</v>
      </c>
      <c r="I43" s="103">
        <f>SUM(D43:H43)</f>
        <v>20</v>
      </c>
    </row>
    <row r="44" spans="1:9" s="16" customFormat="1" ht="21" customHeight="1">
      <c r="A44" s="85"/>
      <c r="B44" s="94" t="s">
        <v>400</v>
      </c>
      <c r="C44" s="96">
        <f>[1]B9!$J$44</f>
        <v>1.0590551181102363</v>
      </c>
      <c r="D44" s="96">
        <f>D43/D6%</f>
        <v>1.0638297872340425</v>
      </c>
      <c r="E44" s="96">
        <f t="shared" ref="E44:I44" si="8">E43/E6%</f>
        <v>1.4669926650366749</v>
      </c>
      <c r="F44" s="96">
        <f t="shared" si="8"/>
        <v>1.8348623853211008</v>
      </c>
      <c r="G44" s="96">
        <f t="shared" si="8"/>
        <v>2.1459227467811157</v>
      </c>
      <c r="H44" s="96">
        <f t="shared" si="8"/>
        <v>2.4096385542168672</v>
      </c>
      <c r="I44" s="96">
        <f t="shared" si="8"/>
        <v>1.8306636155606406</v>
      </c>
    </row>
    <row r="45" spans="1:9" ht="21" customHeight="1">
      <c r="A45" s="78">
        <v>13</v>
      </c>
      <c r="B45" s="77" t="s">
        <v>414</v>
      </c>
      <c r="C45" s="103" t="e">
        <f>[1]B9!$J$45</f>
        <v>#REF!</v>
      </c>
      <c r="D45" s="103"/>
      <c r="E45" s="103"/>
      <c r="F45" s="103"/>
      <c r="G45" s="103"/>
      <c r="H45" s="103"/>
      <c r="I45" s="103"/>
    </row>
    <row r="46" spans="1:9" s="16" customFormat="1" ht="21" customHeight="1">
      <c r="A46" s="85"/>
      <c r="B46" s="94" t="s">
        <v>400</v>
      </c>
      <c r="C46" s="97"/>
      <c r="D46" s="97"/>
      <c r="E46" s="97"/>
      <c r="F46" s="97"/>
      <c r="G46" s="97"/>
      <c r="H46" s="97"/>
      <c r="I46" s="97"/>
    </row>
    <row r="47" spans="1:9" ht="21" customHeight="1">
      <c r="A47" s="78">
        <f>+A45+1</f>
        <v>14</v>
      </c>
      <c r="B47" s="77" t="s">
        <v>415</v>
      </c>
      <c r="C47" s="103">
        <f>[1]B9!$J$47</f>
        <v>175.82999999999998</v>
      </c>
      <c r="D47" s="103">
        <v>42</v>
      </c>
      <c r="E47" s="103">
        <v>46.5</v>
      </c>
      <c r="F47" s="103">
        <v>50</v>
      </c>
      <c r="G47" s="103">
        <v>55</v>
      </c>
      <c r="H47" s="103">
        <v>60</v>
      </c>
      <c r="I47" s="103">
        <f>SUM(D47:H47)</f>
        <v>253.5</v>
      </c>
    </row>
    <row r="48" spans="1:9" s="16" customFormat="1" ht="21" customHeight="1">
      <c r="A48" s="85"/>
      <c r="B48" s="94" t="s">
        <v>400</v>
      </c>
      <c r="C48" s="96">
        <f>[1]B9!$J$48</f>
        <v>23.074803149606296</v>
      </c>
      <c r="D48" s="96">
        <f>D47/D6%</f>
        <v>22.340425531914896</v>
      </c>
      <c r="E48" s="96">
        <f t="shared" ref="E48:I48" si="9">E47/E6%</f>
        <v>22.73838630806846</v>
      </c>
      <c r="F48" s="96">
        <f t="shared" si="9"/>
        <v>22.935779816513758</v>
      </c>
      <c r="G48" s="96">
        <f t="shared" si="9"/>
        <v>23.605150214592275</v>
      </c>
      <c r="H48" s="96">
        <f t="shared" si="9"/>
        <v>24.096385542168672</v>
      </c>
      <c r="I48" s="96">
        <f t="shared" si="9"/>
        <v>23.203661327231121</v>
      </c>
    </row>
    <row r="49" spans="1:9" s="11" customFormat="1" ht="21" customHeight="1">
      <c r="A49" s="89" t="s">
        <v>95</v>
      </c>
      <c r="B49" s="95" t="s">
        <v>416</v>
      </c>
      <c r="C49" s="98">
        <f>[1]B9!$J$50</f>
        <v>0</v>
      </c>
      <c r="D49" s="98">
        <v>0</v>
      </c>
      <c r="E49" s="98">
        <v>0</v>
      </c>
      <c r="F49" s="98">
        <v>0</v>
      </c>
      <c r="G49" s="98">
        <v>0</v>
      </c>
      <c r="H49" s="98">
        <v>0</v>
      </c>
      <c r="I49" s="98">
        <f>SUM(D49:H49)</f>
        <v>0</v>
      </c>
    </row>
    <row r="50" spans="1:9" ht="21" customHeight="1">
      <c r="A50" s="78"/>
      <c r="B50" s="77" t="s">
        <v>400</v>
      </c>
      <c r="C50" s="103"/>
      <c r="D50" s="103"/>
      <c r="E50" s="103"/>
      <c r="F50" s="103"/>
      <c r="G50" s="103"/>
      <c r="H50" s="103"/>
      <c r="I50" s="103"/>
    </row>
    <row r="51" spans="1:9" s="11" customFormat="1" ht="21" customHeight="1">
      <c r="A51" s="89" t="s">
        <v>101</v>
      </c>
      <c r="B51" s="95" t="s">
        <v>417</v>
      </c>
      <c r="C51" s="98">
        <f>[1]B9!$J$52</f>
        <v>0</v>
      </c>
      <c r="D51" s="98">
        <v>0</v>
      </c>
      <c r="E51" s="98">
        <v>0</v>
      </c>
      <c r="F51" s="98">
        <v>0</v>
      </c>
      <c r="G51" s="98">
        <v>0</v>
      </c>
      <c r="H51" s="98">
        <v>0</v>
      </c>
      <c r="I51" s="98">
        <f>SUM(D51:H51)</f>
        <v>0</v>
      </c>
    </row>
    <row r="52" spans="1:9" ht="21" customHeight="1">
      <c r="A52" s="78"/>
      <c r="B52" s="77" t="s">
        <v>400</v>
      </c>
      <c r="C52" s="103"/>
      <c r="D52" s="103"/>
      <c r="E52" s="103"/>
      <c r="F52" s="103"/>
      <c r="G52" s="103"/>
      <c r="H52" s="103"/>
      <c r="I52" s="103"/>
    </row>
    <row r="53" spans="1:9">
      <c r="A53" s="80"/>
      <c r="B53" s="79"/>
      <c r="C53" s="104"/>
      <c r="D53" s="104"/>
      <c r="E53" s="104"/>
      <c r="F53" s="104"/>
      <c r="G53" s="104"/>
      <c r="H53" s="104"/>
      <c r="I53" s="104"/>
    </row>
  </sheetData>
  <mergeCells count="4">
    <mergeCell ref="A2:I2"/>
    <mergeCell ref="A3:I3"/>
    <mergeCell ref="G4:I4"/>
    <mergeCell ref="A1:I1"/>
  </mergeCells>
  <pageMargins left="0.52" right="0.49" top="0.74803149606299202" bottom="0.74803149606299202" header="0.31496062992126" footer="0.31496062992126"/>
  <pageSetup paperSize="9" orientation="landscape" r:id="rId1"/>
  <headerFooter>
    <oddHeader>Page &amp;P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4"/>
  <sheetViews>
    <sheetView zoomScale="85" zoomScaleNormal="85" workbookViewId="0">
      <pane xSplit="15" ySplit="8" topLeftCell="P9" activePane="bottomRight" state="frozen"/>
      <selection activeCell="CG77" activeCellId="1" sqref="CC77:CE77 CG77"/>
      <selection pane="topRight" activeCell="CG77" activeCellId="1" sqref="CC77:CE77 CG77"/>
      <selection pane="bottomLeft" activeCell="CG77" activeCellId="1" sqref="CC77:CE77 CG77"/>
      <selection pane="bottomRight" activeCell="E8" sqref="E8"/>
    </sheetView>
  </sheetViews>
  <sheetFormatPr defaultRowHeight="15"/>
  <cols>
    <col min="1" max="1" width="4" style="75" customWidth="1"/>
    <col min="2" max="2" width="32.5703125" style="73" customWidth="1"/>
    <col min="3" max="3" width="9.140625" style="75"/>
    <col min="4" max="4" width="11.5703125" style="73" customWidth="1"/>
    <col min="5" max="5" width="9.85546875" style="73" customWidth="1"/>
    <col min="6" max="6" width="9.7109375" style="73" customWidth="1"/>
    <col min="7" max="9" width="8.85546875" style="73" customWidth="1"/>
    <col min="10" max="10" width="10.7109375" style="73" customWidth="1"/>
    <col min="11" max="15" width="0" hidden="1" customWidth="1"/>
    <col min="25" max="25" width="7.28515625" customWidth="1"/>
  </cols>
  <sheetData>
    <row r="1" spans="1:25" s="111" customFormat="1" ht="21.75" customHeight="1">
      <c r="A1" s="538" t="s">
        <v>372</v>
      </c>
      <c r="B1" s="538"/>
      <c r="C1" s="538"/>
      <c r="D1" s="538"/>
      <c r="E1" s="538"/>
      <c r="F1" s="538"/>
      <c r="G1" s="538"/>
      <c r="H1" s="538"/>
      <c r="I1" s="538"/>
      <c r="J1" s="538"/>
    </row>
    <row r="2" spans="1:25" s="111" customFormat="1" ht="28.5" customHeight="1">
      <c r="A2" s="538" t="s">
        <v>418</v>
      </c>
      <c r="B2" s="538"/>
      <c r="C2" s="538"/>
      <c r="D2" s="538"/>
      <c r="E2" s="538"/>
      <c r="F2" s="538"/>
      <c r="G2" s="538"/>
      <c r="H2" s="538"/>
      <c r="I2" s="538"/>
      <c r="J2" s="538"/>
      <c r="K2" s="538"/>
      <c r="L2" s="538"/>
      <c r="M2" s="538"/>
      <c r="N2" s="538"/>
      <c r="O2" s="538"/>
      <c r="P2" s="538"/>
      <c r="Q2" s="538"/>
      <c r="R2" s="538"/>
      <c r="S2" s="538"/>
      <c r="T2" s="538"/>
      <c r="U2" s="538"/>
      <c r="V2" s="538"/>
      <c r="W2" s="538"/>
      <c r="X2" s="538"/>
      <c r="Y2" s="538"/>
    </row>
    <row r="3" spans="1:25" s="111" customFormat="1" ht="25.5" customHeight="1">
      <c r="A3" s="574" t="str">
        <f>'B1 TH'!A3:J3</f>
        <v>(Kèm theo Báo cáo số 545-BC/HU, ngày 02/10/2024 của BTV Huyện ủy)</v>
      </c>
      <c r="B3" s="574"/>
      <c r="C3" s="574"/>
      <c r="D3" s="574"/>
      <c r="E3" s="574"/>
      <c r="F3" s="574"/>
      <c r="G3" s="574"/>
      <c r="H3" s="574"/>
      <c r="I3" s="574"/>
      <c r="J3" s="574"/>
      <c r="K3" s="574"/>
      <c r="L3" s="574"/>
      <c r="M3" s="574"/>
      <c r="N3" s="574"/>
      <c r="O3" s="574"/>
      <c r="P3" s="574"/>
      <c r="Q3" s="574"/>
      <c r="R3" s="574"/>
      <c r="S3" s="574"/>
      <c r="T3" s="574"/>
      <c r="U3" s="574"/>
      <c r="V3" s="574"/>
      <c r="W3" s="574"/>
      <c r="X3" s="574"/>
      <c r="Y3" s="574"/>
    </row>
    <row r="4" spans="1:25" s="111" customFormat="1" ht="25.5" customHeight="1">
      <c r="A4" s="539" t="s">
        <v>1</v>
      </c>
      <c r="B4" s="539" t="s">
        <v>2</v>
      </c>
      <c r="C4" s="539" t="s">
        <v>3</v>
      </c>
      <c r="D4" s="539" t="s">
        <v>4</v>
      </c>
      <c r="E4" s="571" t="s">
        <v>652</v>
      </c>
      <c r="F4" s="572"/>
      <c r="G4" s="572"/>
      <c r="H4" s="572"/>
      <c r="I4" s="573"/>
      <c r="J4" s="539" t="s">
        <v>11</v>
      </c>
      <c r="P4" s="549" t="s">
        <v>653</v>
      </c>
      <c r="Q4" s="550"/>
      <c r="R4" s="550"/>
      <c r="S4" s="550"/>
      <c r="T4" s="550"/>
      <c r="U4" s="550"/>
      <c r="V4" s="551"/>
      <c r="W4" s="552" t="s">
        <v>661</v>
      </c>
      <c r="X4" s="553"/>
      <c r="Y4" s="543" t="s">
        <v>319</v>
      </c>
    </row>
    <row r="5" spans="1:25" ht="74.25" customHeight="1">
      <c r="A5" s="540"/>
      <c r="B5" s="540"/>
      <c r="C5" s="540"/>
      <c r="D5" s="540"/>
      <c r="E5" s="194" t="s">
        <v>5</v>
      </c>
      <c r="F5" s="194" t="s">
        <v>7</v>
      </c>
      <c r="G5" s="194" t="s">
        <v>8</v>
      </c>
      <c r="H5" s="194" t="s">
        <v>9</v>
      </c>
      <c r="I5" s="194" t="s">
        <v>10</v>
      </c>
      <c r="J5" s="540"/>
      <c r="P5" s="194" t="s">
        <v>654</v>
      </c>
      <c r="Q5" s="194" t="s">
        <v>655</v>
      </c>
      <c r="R5" s="194" t="s">
        <v>705</v>
      </c>
      <c r="S5" s="194"/>
      <c r="T5" s="194" t="s">
        <v>658</v>
      </c>
      <c r="U5" s="194" t="s">
        <v>659</v>
      </c>
      <c r="V5" s="201" t="s">
        <v>660</v>
      </c>
      <c r="W5" s="200" t="s">
        <v>662</v>
      </c>
      <c r="X5" s="200" t="s">
        <v>663</v>
      </c>
      <c r="Y5" s="544"/>
    </row>
    <row r="6" spans="1:25" s="11" customFormat="1">
      <c r="A6" s="105" t="s">
        <v>219</v>
      </c>
      <c r="B6" s="92" t="s">
        <v>419</v>
      </c>
      <c r="C6" s="105"/>
      <c r="D6" s="114">
        <f>[1]B10!$K$5</f>
        <v>3961.15</v>
      </c>
      <c r="E6" s="114">
        <f>+E8+E10+E12+E14+E16+E18</f>
        <v>803.5</v>
      </c>
      <c r="F6" s="114">
        <f>+F8+F10+F12+F14+F16+F18</f>
        <v>867.245</v>
      </c>
      <c r="G6" s="114">
        <f>+G8+G10+G12+G14+G16+G18</f>
        <v>931.25215000000003</v>
      </c>
      <c r="H6" s="114">
        <f>+H8+H10+H12+H14+H16+H18</f>
        <v>984.927279</v>
      </c>
      <c r="I6" s="114">
        <f>+I8+I10+I12+I14+I16+I18</f>
        <v>1049.47218853</v>
      </c>
      <c r="J6" s="114">
        <f>SUM(E6:I6)</f>
        <v>4636.3966175300002</v>
      </c>
      <c r="P6" s="393">
        <v>726651</v>
      </c>
      <c r="Q6" s="393">
        <v>1029419</v>
      </c>
      <c r="R6" s="393">
        <v>1202202</v>
      </c>
      <c r="S6" s="393">
        <v>836111</v>
      </c>
      <c r="T6" s="211"/>
      <c r="U6" s="211"/>
      <c r="V6" s="211"/>
      <c r="W6" s="211"/>
      <c r="X6" s="211"/>
      <c r="Y6" s="211"/>
    </row>
    <row r="7" spans="1:25">
      <c r="A7" s="81"/>
      <c r="B7" s="77" t="s">
        <v>378</v>
      </c>
      <c r="C7" s="81" t="s">
        <v>28</v>
      </c>
      <c r="D7" s="107"/>
      <c r="E7" s="107"/>
      <c r="F7" s="107"/>
      <c r="G7" s="107"/>
      <c r="H7" s="107"/>
      <c r="I7" s="107"/>
      <c r="J7" s="107"/>
      <c r="P7" s="206"/>
      <c r="Q7" s="206"/>
      <c r="R7" s="206"/>
      <c r="S7" s="206"/>
      <c r="T7" s="206"/>
      <c r="U7" s="206"/>
      <c r="V7" s="206"/>
      <c r="W7" s="206"/>
      <c r="X7" s="206"/>
      <c r="Y7" s="206"/>
    </row>
    <row r="8" spans="1:25">
      <c r="A8" s="81">
        <v>1</v>
      </c>
      <c r="B8" s="77" t="s">
        <v>420</v>
      </c>
      <c r="C8" s="81" t="s">
        <v>31</v>
      </c>
      <c r="D8" s="110">
        <f>[1]B10!$K$7</f>
        <v>256.14999999999998</v>
      </c>
      <c r="E8" s="186">
        <v>53.5</v>
      </c>
      <c r="F8" s="135">
        <f>E8*7%+E8</f>
        <v>57.244999999999997</v>
      </c>
      <c r="G8" s="135">
        <f>F8*7%+F8</f>
        <v>61.25215</v>
      </c>
      <c r="H8" s="135">
        <f>G8*6%+G8</f>
        <v>64.927278999999999</v>
      </c>
      <c r="I8" s="135">
        <f>H8*7%+H8</f>
        <v>69.472188529999997</v>
      </c>
      <c r="J8" s="110">
        <f>SUM(E8:I8)</f>
        <v>306.39661753000001</v>
      </c>
      <c r="K8" s="136">
        <f>J8/5</f>
        <v>61.279323506000004</v>
      </c>
      <c r="L8" s="133"/>
      <c r="M8" s="133"/>
      <c r="N8" s="133"/>
      <c r="O8" s="133"/>
      <c r="P8" s="206">
        <f>'B1 TH'!M26</f>
        <v>59.773000000000003</v>
      </c>
      <c r="Q8" s="206">
        <f>'B1 TH'!N26</f>
        <v>67.397000000000006</v>
      </c>
      <c r="R8" s="206">
        <f>'B1 TH'!O26</f>
        <v>52.52</v>
      </c>
      <c r="S8" s="206"/>
      <c r="T8" s="206">
        <f>'B1 TH'!Q26</f>
        <v>52.6</v>
      </c>
      <c r="U8" s="206"/>
      <c r="V8" s="206"/>
      <c r="W8" s="206"/>
      <c r="X8" s="206"/>
      <c r="Y8" s="206"/>
    </row>
    <row r="9" spans="1:25" ht="30">
      <c r="A9" s="81"/>
      <c r="B9" s="77" t="s">
        <v>421</v>
      </c>
      <c r="C9" s="78" t="s">
        <v>28</v>
      </c>
      <c r="D9" s="35">
        <f>[1]B10!$K$8</f>
        <v>6.466556429319767</v>
      </c>
      <c r="E9" s="101"/>
      <c r="F9" s="101"/>
      <c r="G9" s="101"/>
      <c r="H9" s="101"/>
      <c r="I9" s="101"/>
      <c r="J9" s="101"/>
      <c r="K9" s="144">
        <f>I8*5%+I8</f>
        <v>72.945797956500002</v>
      </c>
      <c r="L9" s="144">
        <f>K9*5%+K9</f>
        <v>76.593087854325006</v>
      </c>
      <c r="M9" s="144">
        <f t="shared" ref="M9:O9" si="0">L9*5%+L9</f>
        <v>80.422742247041256</v>
      </c>
      <c r="N9" s="144">
        <f t="shared" si="0"/>
        <v>84.443879359393321</v>
      </c>
      <c r="O9" s="144">
        <f t="shared" si="0"/>
        <v>88.666073327362994</v>
      </c>
      <c r="P9" s="206"/>
      <c r="Q9" s="206"/>
      <c r="R9" s="206"/>
      <c r="S9" s="206"/>
      <c r="T9" s="206"/>
      <c r="U9" s="206"/>
      <c r="V9" s="206"/>
      <c r="W9" s="206"/>
      <c r="X9" s="206"/>
      <c r="Y9" s="206"/>
    </row>
    <row r="10" spans="1:25">
      <c r="A10" s="81">
        <v>3</v>
      </c>
      <c r="B10" s="77" t="s">
        <v>422</v>
      </c>
      <c r="C10" s="81" t="s">
        <v>31</v>
      </c>
      <c r="D10" s="101">
        <f>[1]B10!$K$9</f>
        <v>0</v>
      </c>
      <c r="E10" s="101"/>
      <c r="F10" s="101"/>
      <c r="G10" s="101"/>
      <c r="H10" s="101"/>
      <c r="I10" s="101"/>
      <c r="J10" s="101">
        <f>SUM(E10:I10)</f>
        <v>0</v>
      </c>
      <c r="P10" s="206"/>
      <c r="Q10" s="206"/>
      <c r="R10" s="206"/>
      <c r="S10" s="206"/>
      <c r="T10" s="206"/>
      <c r="U10" s="206"/>
      <c r="V10" s="206"/>
      <c r="W10" s="206"/>
      <c r="X10" s="206"/>
      <c r="Y10" s="206"/>
    </row>
    <row r="11" spans="1:25" ht="30">
      <c r="A11" s="81"/>
      <c r="B11" s="77" t="s">
        <v>423</v>
      </c>
      <c r="C11" s="78" t="s">
        <v>28</v>
      </c>
      <c r="D11" s="101"/>
      <c r="E11" s="101"/>
      <c r="F11" s="101"/>
      <c r="G11" s="101"/>
      <c r="H11" s="101"/>
      <c r="I11" s="101"/>
      <c r="J11" s="101"/>
      <c r="P11" s="206"/>
      <c r="Q11" s="206"/>
      <c r="R11" s="206"/>
      <c r="S11" s="206"/>
      <c r="T11" s="206"/>
      <c r="U11" s="206"/>
      <c r="V11" s="206"/>
      <c r="W11" s="206"/>
      <c r="X11" s="206"/>
      <c r="Y11" s="206"/>
    </row>
    <row r="12" spans="1:25" ht="30">
      <c r="A12" s="81">
        <v>4</v>
      </c>
      <c r="B12" s="77" t="s">
        <v>424</v>
      </c>
      <c r="C12" s="81" t="s">
        <v>31</v>
      </c>
      <c r="D12" s="101">
        <v>0</v>
      </c>
      <c r="E12" s="101"/>
      <c r="F12" s="101"/>
      <c r="G12" s="101"/>
      <c r="H12" s="101"/>
      <c r="I12" s="101"/>
      <c r="J12" s="101">
        <f>SUM(E12:I12)</f>
        <v>0</v>
      </c>
      <c r="P12" s="209"/>
      <c r="Q12" s="209"/>
      <c r="R12" s="209"/>
      <c r="S12" s="209"/>
      <c r="T12" s="209"/>
      <c r="U12" s="209"/>
      <c r="V12" s="209"/>
      <c r="W12" s="209"/>
      <c r="X12" s="209"/>
      <c r="Y12" s="209"/>
    </row>
    <row r="13" spans="1:25" ht="30">
      <c r="A13" s="81"/>
      <c r="B13" s="77" t="s">
        <v>425</v>
      </c>
      <c r="C13" s="81" t="s">
        <v>28</v>
      </c>
      <c r="D13" s="101"/>
      <c r="E13" s="101"/>
      <c r="F13" s="101"/>
      <c r="G13" s="101"/>
      <c r="H13" s="101"/>
      <c r="I13" s="101"/>
      <c r="J13" s="101"/>
      <c r="P13" s="215"/>
      <c r="Q13" s="215"/>
      <c r="R13" s="215"/>
      <c r="S13" s="215"/>
      <c r="T13" s="215"/>
      <c r="U13" s="215"/>
      <c r="V13" s="215"/>
      <c r="W13" s="215"/>
      <c r="X13" s="215"/>
      <c r="Y13" s="215"/>
    </row>
    <row r="14" spans="1:25">
      <c r="A14" s="81">
        <v>5</v>
      </c>
      <c r="B14" s="77" t="s">
        <v>426</v>
      </c>
      <c r="C14" s="81"/>
      <c r="D14" s="110">
        <f>[1]B10!$K$13</f>
        <v>3219</v>
      </c>
      <c r="E14" s="110">
        <v>750</v>
      </c>
      <c r="F14" s="110">
        <v>810</v>
      </c>
      <c r="G14" s="110">
        <v>870</v>
      </c>
      <c r="H14" s="110">
        <v>920</v>
      </c>
      <c r="I14" s="110">
        <v>980</v>
      </c>
      <c r="J14" s="110">
        <f>SUM(E14:I14)</f>
        <v>4330</v>
      </c>
      <c r="P14" s="215"/>
      <c r="Q14" s="215"/>
      <c r="R14" s="215"/>
      <c r="S14" s="215"/>
      <c r="T14" s="215"/>
      <c r="U14" s="215"/>
      <c r="V14" s="215"/>
      <c r="W14" s="215"/>
      <c r="X14" s="215"/>
      <c r="Y14" s="215"/>
    </row>
    <row r="15" spans="1:25" ht="30">
      <c r="A15" s="81"/>
      <c r="B15" s="77" t="s">
        <v>427</v>
      </c>
      <c r="C15" s="81" t="s">
        <v>28</v>
      </c>
      <c r="D15" s="101"/>
      <c r="E15" s="101"/>
      <c r="F15" s="101"/>
      <c r="G15" s="101"/>
      <c r="H15" s="101"/>
      <c r="I15" s="101"/>
      <c r="J15" s="101"/>
      <c r="P15" s="209"/>
      <c r="Q15" s="209"/>
      <c r="R15" s="209"/>
      <c r="S15" s="209"/>
      <c r="T15" s="209"/>
      <c r="U15" s="209"/>
      <c r="V15" s="209"/>
      <c r="W15" s="209"/>
      <c r="X15" s="209"/>
      <c r="Y15" s="209"/>
    </row>
    <row r="16" spans="1:25">
      <c r="A16" s="81">
        <v>6</v>
      </c>
      <c r="B16" s="77" t="s">
        <v>428</v>
      </c>
      <c r="C16" s="81"/>
      <c r="D16" s="101">
        <f>[1]B10!$K$15</f>
        <v>388</v>
      </c>
      <c r="E16" s="101"/>
      <c r="F16" s="101"/>
      <c r="G16" s="101"/>
      <c r="H16" s="101"/>
      <c r="I16" s="101"/>
      <c r="J16" s="101"/>
      <c r="P16" s="206"/>
      <c r="Q16" s="206"/>
      <c r="R16" s="206"/>
      <c r="S16" s="206"/>
      <c r="T16" s="206"/>
      <c r="U16" s="206"/>
      <c r="V16" s="206"/>
      <c r="W16" s="206"/>
      <c r="X16" s="206"/>
      <c r="Y16" s="206"/>
    </row>
    <row r="17" spans="1:25" ht="30">
      <c r="A17" s="81"/>
      <c r="B17" s="77" t="s">
        <v>429</v>
      </c>
      <c r="C17" s="81" t="s">
        <v>28</v>
      </c>
      <c r="D17" s="101"/>
      <c r="E17" s="101"/>
      <c r="F17" s="101"/>
      <c r="G17" s="101"/>
      <c r="H17" s="101"/>
      <c r="I17" s="101"/>
      <c r="J17" s="101"/>
      <c r="P17" s="206"/>
      <c r="Q17" s="206"/>
      <c r="R17" s="206"/>
      <c r="S17" s="206"/>
      <c r="T17" s="206"/>
      <c r="U17" s="206"/>
      <c r="V17" s="206"/>
      <c r="W17" s="206"/>
      <c r="X17" s="206"/>
      <c r="Y17" s="206"/>
    </row>
    <row r="18" spans="1:25">
      <c r="A18" s="81">
        <v>7</v>
      </c>
      <c r="B18" s="77" t="s">
        <v>430</v>
      </c>
      <c r="C18" s="81"/>
      <c r="D18" s="101">
        <f>[1]B10!$K$17</f>
        <v>98</v>
      </c>
      <c r="E18" s="101"/>
      <c r="F18" s="101"/>
      <c r="G18" s="101"/>
      <c r="H18" s="101"/>
      <c r="I18" s="101"/>
      <c r="J18" s="101"/>
      <c r="P18" s="206"/>
      <c r="Q18" s="206"/>
      <c r="R18" s="206"/>
      <c r="S18" s="206"/>
      <c r="T18" s="206"/>
      <c r="U18" s="206"/>
      <c r="V18" s="206"/>
      <c r="W18" s="206"/>
      <c r="X18" s="206"/>
      <c r="Y18" s="206"/>
    </row>
    <row r="19" spans="1:25" ht="30">
      <c r="A19" s="81"/>
      <c r="B19" s="77" t="s">
        <v>431</v>
      </c>
      <c r="C19" s="81" t="s">
        <v>28</v>
      </c>
      <c r="D19" s="101"/>
      <c r="E19" s="101"/>
      <c r="F19" s="101"/>
      <c r="G19" s="101"/>
      <c r="H19" s="101"/>
      <c r="I19" s="101"/>
      <c r="J19" s="101"/>
      <c r="P19" s="206"/>
      <c r="Q19" s="206"/>
      <c r="R19" s="206"/>
      <c r="S19" s="206"/>
      <c r="T19" s="206"/>
      <c r="U19" s="206"/>
      <c r="V19" s="206"/>
      <c r="W19" s="206"/>
      <c r="X19" s="206"/>
      <c r="Y19" s="206"/>
    </row>
    <row r="20" spans="1:25" s="11" customFormat="1">
      <c r="A20" s="108" t="s">
        <v>239</v>
      </c>
      <c r="B20" s="95" t="s">
        <v>432</v>
      </c>
      <c r="C20" s="108"/>
      <c r="D20" s="113">
        <f>[1]B10!$K$23</f>
        <v>3889</v>
      </c>
      <c r="E20" s="113">
        <f>+E22+E24+E26+E27+E28+E29+E30+E31+E32+E33</f>
        <v>787</v>
      </c>
      <c r="F20" s="113">
        <f>+F22+F24+F26+F27+F28+F29+F30+F31+F32+F33</f>
        <v>849</v>
      </c>
      <c r="G20" s="113">
        <f>+G22+G24+G26+G27+G28+G29+G30+G31+G32+G33</f>
        <v>911</v>
      </c>
      <c r="H20" s="113">
        <f>+H22+H24+H26+H27+H28+H29+H30+H31+H32+H33</f>
        <v>963</v>
      </c>
      <c r="I20" s="113">
        <f>+I22+I24+I26+I27+I28+I29+I30+I31+I32+I33</f>
        <v>1025</v>
      </c>
      <c r="J20" s="113">
        <f>SUM(E20:I20)</f>
        <v>4535</v>
      </c>
      <c r="P20" s="394">
        <v>661449</v>
      </c>
      <c r="Q20" s="394">
        <v>834873</v>
      </c>
      <c r="R20" s="394">
        <v>960710</v>
      </c>
      <c r="S20" s="394">
        <v>554827</v>
      </c>
      <c r="T20" s="207"/>
      <c r="U20" s="207"/>
      <c r="V20" s="207"/>
      <c r="W20" s="207"/>
      <c r="X20" s="207"/>
      <c r="Y20" s="207"/>
    </row>
    <row r="21" spans="1:25">
      <c r="A21" s="81"/>
      <c r="B21" s="77" t="s">
        <v>378</v>
      </c>
      <c r="C21" s="81" t="s">
        <v>28</v>
      </c>
      <c r="D21" s="101"/>
      <c r="E21" s="101"/>
      <c r="F21" s="101"/>
      <c r="G21" s="101"/>
      <c r="H21" s="101"/>
      <c r="I21" s="101"/>
      <c r="J21" s="101"/>
      <c r="P21" s="206"/>
      <c r="Q21" s="206"/>
      <c r="R21" s="206"/>
      <c r="S21" s="206"/>
      <c r="T21" s="206"/>
      <c r="U21" s="206"/>
      <c r="V21" s="206"/>
      <c r="W21" s="206"/>
      <c r="X21" s="206"/>
      <c r="Y21" s="206"/>
    </row>
    <row r="22" spans="1:25">
      <c r="A22" s="81">
        <v>1</v>
      </c>
      <c r="B22" s="77" t="s">
        <v>433</v>
      </c>
      <c r="C22" s="81" t="s">
        <v>31</v>
      </c>
      <c r="D22" s="109">
        <f>[1]B10!$K$25</f>
        <v>2357</v>
      </c>
      <c r="E22" s="109">
        <v>500</v>
      </c>
      <c r="F22" s="109">
        <v>550</v>
      </c>
      <c r="G22" s="109">
        <v>600</v>
      </c>
      <c r="H22" s="109">
        <v>630</v>
      </c>
      <c r="I22" s="109">
        <v>680</v>
      </c>
      <c r="J22" s="109">
        <f>SUM(E22:I22)</f>
        <v>2960</v>
      </c>
      <c r="P22" s="206"/>
      <c r="Q22" s="206"/>
      <c r="R22" s="206"/>
      <c r="S22" s="206"/>
      <c r="T22" s="206"/>
      <c r="U22" s="206"/>
      <c r="V22" s="206"/>
      <c r="W22" s="206"/>
      <c r="X22" s="206"/>
      <c r="Y22" s="206"/>
    </row>
    <row r="23" spans="1:25" ht="30">
      <c r="A23" s="81"/>
      <c r="B23" s="77" t="s">
        <v>434</v>
      </c>
      <c r="C23" s="81" t="s">
        <v>28</v>
      </c>
      <c r="D23" s="101"/>
      <c r="E23" s="101"/>
      <c r="F23" s="101"/>
      <c r="G23" s="101"/>
      <c r="H23" s="101"/>
      <c r="I23" s="101"/>
      <c r="J23" s="101"/>
      <c r="P23" s="206"/>
      <c r="Q23" s="206"/>
      <c r="R23" s="206"/>
      <c r="S23" s="206"/>
      <c r="T23" s="206"/>
      <c r="U23" s="206"/>
      <c r="V23" s="206"/>
      <c r="W23" s="206"/>
      <c r="X23" s="206"/>
      <c r="Y23" s="206"/>
    </row>
    <row r="24" spans="1:25">
      <c r="A24" s="81">
        <v>2</v>
      </c>
      <c r="B24" s="77" t="s">
        <v>435</v>
      </c>
      <c r="C24" s="81" t="s">
        <v>31</v>
      </c>
      <c r="D24" s="101">
        <f>[1]B10!$K$27</f>
        <v>189</v>
      </c>
      <c r="E24" s="101">
        <v>40</v>
      </c>
      <c r="F24" s="101">
        <v>50</v>
      </c>
      <c r="G24" s="101">
        <v>55</v>
      </c>
      <c r="H24" s="101">
        <v>57</v>
      </c>
      <c r="I24" s="101">
        <v>60</v>
      </c>
      <c r="J24" s="101">
        <f>SUM(E24:I24)</f>
        <v>262</v>
      </c>
      <c r="P24" s="206"/>
      <c r="Q24" s="206"/>
      <c r="R24" s="206"/>
      <c r="S24" s="206"/>
      <c r="T24" s="206"/>
      <c r="U24" s="206"/>
      <c r="V24" s="206"/>
      <c r="W24" s="206"/>
      <c r="X24" s="206"/>
      <c r="Y24" s="206"/>
    </row>
    <row r="25" spans="1:25" ht="30">
      <c r="A25" s="81"/>
      <c r="B25" s="77" t="s">
        <v>436</v>
      </c>
      <c r="C25" s="81" t="s">
        <v>28</v>
      </c>
      <c r="D25" s="101"/>
      <c r="E25" s="101"/>
      <c r="F25" s="101"/>
      <c r="G25" s="101"/>
      <c r="H25" s="101"/>
      <c r="I25" s="101"/>
      <c r="J25" s="101"/>
      <c r="P25" s="206"/>
      <c r="Q25" s="206"/>
      <c r="R25" s="206"/>
      <c r="S25" s="206"/>
      <c r="T25" s="206"/>
      <c r="U25" s="206"/>
      <c r="V25" s="206"/>
      <c r="W25" s="206"/>
      <c r="X25" s="206"/>
      <c r="Y25" s="206"/>
    </row>
    <row r="26" spans="1:25">
      <c r="A26" s="81">
        <v>3</v>
      </c>
      <c r="B26" s="77" t="s">
        <v>437</v>
      </c>
      <c r="C26" s="81" t="s">
        <v>31</v>
      </c>
      <c r="D26" s="101"/>
      <c r="E26" s="101"/>
      <c r="F26" s="101"/>
      <c r="G26" s="101"/>
      <c r="H26" s="101"/>
      <c r="I26" s="101"/>
      <c r="J26" s="101"/>
      <c r="P26" s="206"/>
      <c r="Q26" s="206"/>
      <c r="R26" s="206"/>
      <c r="S26" s="206"/>
      <c r="T26" s="206"/>
      <c r="U26" s="206"/>
      <c r="V26" s="206"/>
      <c r="W26" s="206"/>
      <c r="X26" s="206"/>
      <c r="Y26" s="206"/>
    </row>
    <row r="27" spans="1:25">
      <c r="A27" s="81">
        <v>4</v>
      </c>
      <c r="B27" s="77" t="s">
        <v>438</v>
      </c>
      <c r="C27" s="81" t="s">
        <v>31</v>
      </c>
      <c r="D27" s="101">
        <f>[1]B10!$K$30</f>
        <v>27</v>
      </c>
      <c r="E27" s="101">
        <v>9</v>
      </c>
      <c r="F27" s="101">
        <v>10</v>
      </c>
      <c r="G27" s="101">
        <v>11</v>
      </c>
      <c r="H27" s="101">
        <v>12</v>
      </c>
      <c r="I27" s="101">
        <v>13</v>
      </c>
      <c r="J27" s="101">
        <f>SUM(E27:I27)</f>
        <v>55</v>
      </c>
      <c r="P27" s="206"/>
      <c r="Q27" s="206"/>
      <c r="R27" s="206"/>
      <c r="S27" s="206"/>
      <c r="T27" s="206"/>
      <c r="U27" s="206"/>
      <c r="V27" s="206"/>
      <c r="W27" s="206"/>
      <c r="X27" s="206"/>
      <c r="Y27" s="206"/>
    </row>
    <row r="28" spans="1:25">
      <c r="A28" s="81">
        <v>5</v>
      </c>
      <c r="B28" s="77" t="s">
        <v>439</v>
      </c>
      <c r="C28" s="81" t="s">
        <v>31</v>
      </c>
      <c r="D28" s="101">
        <f>[1]B10!$K$31</f>
        <v>1026</v>
      </c>
      <c r="E28" s="101">
        <v>238</v>
      </c>
      <c r="F28" s="101">
        <v>239</v>
      </c>
      <c r="G28" s="101">
        <v>245</v>
      </c>
      <c r="H28" s="101">
        <v>264</v>
      </c>
      <c r="I28" s="101">
        <v>272</v>
      </c>
      <c r="J28" s="101">
        <f>SUM(E28:I28)</f>
        <v>1258</v>
      </c>
      <c r="P28" s="206"/>
      <c r="Q28" s="206"/>
      <c r="R28" s="206"/>
      <c r="S28" s="206"/>
      <c r="T28" s="206"/>
      <c r="U28" s="206"/>
      <c r="V28" s="206"/>
      <c r="W28" s="206"/>
      <c r="X28" s="206"/>
      <c r="Y28" s="206"/>
    </row>
    <row r="29" spans="1:25">
      <c r="A29" s="81">
        <v>6</v>
      </c>
      <c r="B29" s="77" t="s">
        <v>440</v>
      </c>
      <c r="C29" s="81" t="s">
        <v>31</v>
      </c>
      <c r="D29" s="101"/>
      <c r="E29" s="101"/>
      <c r="F29" s="101"/>
      <c r="G29" s="101"/>
      <c r="H29" s="101"/>
      <c r="I29" s="101"/>
      <c r="J29" s="101"/>
      <c r="P29" s="206"/>
      <c r="Q29" s="206"/>
      <c r="R29" s="206"/>
      <c r="S29" s="206"/>
      <c r="T29" s="206"/>
      <c r="U29" s="206"/>
      <c r="V29" s="206"/>
      <c r="W29" s="206"/>
      <c r="X29" s="206"/>
      <c r="Y29" s="206"/>
    </row>
    <row r="30" spans="1:25">
      <c r="A30" s="81">
        <v>7</v>
      </c>
      <c r="B30" s="77" t="s">
        <v>441</v>
      </c>
      <c r="C30" s="81" t="s">
        <v>31</v>
      </c>
      <c r="D30" s="101"/>
      <c r="E30" s="101"/>
      <c r="F30" s="101"/>
      <c r="G30" s="101"/>
      <c r="H30" s="101"/>
      <c r="I30" s="101"/>
      <c r="J30" s="101"/>
      <c r="P30" s="206"/>
      <c r="Q30" s="206"/>
      <c r="R30" s="206"/>
      <c r="S30" s="206"/>
      <c r="T30" s="206"/>
      <c r="U30" s="206"/>
      <c r="V30" s="206"/>
      <c r="W30" s="206"/>
      <c r="X30" s="206"/>
      <c r="Y30" s="206"/>
    </row>
    <row r="31" spans="1:25">
      <c r="A31" s="81">
        <v>8</v>
      </c>
      <c r="B31" s="77" t="s">
        <v>442</v>
      </c>
      <c r="C31" s="81" t="s">
        <v>31</v>
      </c>
      <c r="D31" s="101">
        <f>[1]B10!$K$34</f>
        <v>276</v>
      </c>
      <c r="E31" s="101"/>
      <c r="F31" s="101"/>
      <c r="G31" s="101"/>
      <c r="H31" s="101"/>
      <c r="I31" s="101"/>
      <c r="J31" s="101"/>
      <c r="P31" s="206"/>
      <c r="Q31" s="206"/>
      <c r="R31" s="206"/>
      <c r="S31" s="206"/>
      <c r="T31" s="206"/>
      <c r="U31" s="206"/>
      <c r="V31" s="206"/>
      <c r="W31" s="206"/>
      <c r="X31" s="206"/>
      <c r="Y31" s="206"/>
    </row>
    <row r="32" spans="1:25">
      <c r="A32" s="81">
        <v>9</v>
      </c>
      <c r="B32" s="77" t="s">
        <v>443</v>
      </c>
      <c r="C32" s="81" t="s">
        <v>31</v>
      </c>
      <c r="D32" s="101"/>
      <c r="E32" s="101"/>
      <c r="F32" s="101"/>
      <c r="G32" s="101"/>
      <c r="H32" s="101"/>
      <c r="I32" s="101"/>
      <c r="J32" s="101"/>
      <c r="P32" s="206"/>
      <c r="Q32" s="206"/>
      <c r="R32" s="206"/>
      <c r="S32" s="206"/>
      <c r="T32" s="206"/>
      <c r="U32" s="206"/>
      <c r="V32" s="206"/>
      <c r="W32" s="206"/>
      <c r="X32" s="206"/>
      <c r="Y32" s="206"/>
    </row>
    <row r="33" spans="1:25">
      <c r="A33" s="81">
        <v>10</v>
      </c>
      <c r="B33" s="77" t="s">
        <v>444</v>
      </c>
      <c r="C33" s="81" t="s">
        <v>31</v>
      </c>
      <c r="D33" s="101">
        <f>[1]B10!$K$36</f>
        <v>14</v>
      </c>
      <c r="E33" s="101"/>
      <c r="F33" s="101"/>
      <c r="G33" s="101"/>
      <c r="H33" s="101"/>
      <c r="I33" s="101"/>
      <c r="J33" s="101"/>
      <c r="P33" s="206"/>
      <c r="Q33" s="206"/>
      <c r="R33" s="206"/>
      <c r="S33" s="206"/>
      <c r="T33" s="206"/>
      <c r="U33" s="206"/>
      <c r="V33" s="206"/>
      <c r="W33" s="206"/>
      <c r="X33" s="206"/>
      <c r="Y33" s="206"/>
    </row>
    <row r="34" spans="1:25">
      <c r="A34" s="82"/>
      <c r="B34" s="79"/>
      <c r="C34" s="82"/>
      <c r="D34" s="102"/>
      <c r="E34" s="102"/>
      <c r="F34" s="102"/>
      <c r="G34" s="102"/>
      <c r="H34" s="102"/>
      <c r="I34" s="102"/>
      <c r="J34" s="102"/>
      <c r="P34" s="213"/>
      <c r="Q34" s="213"/>
      <c r="R34" s="213"/>
      <c r="S34" s="213"/>
      <c r="T34" s="213"/>
      <c r="U34" s="213"/>
      <c r="V34" s="213"/>
      <c r="W34" s="213"/>
      <c r="X34" s="213"/>
      <c r="Y34" s="213"/>
    </row>
  </sheetData>
  <mergeCells count="12">
    <mergeCell ref="P4:V4"/>
    <mergeCell ref="W4:X4"/>
    <mergeCell ref="Y4:Y5"/>
    <mergeCell ref="A2:Y2"/>
    <mergeCell ref="A3:Y3"/>
    <mergeCell ref="A1:J1"/>
    <mergeCell ref="A4:A5"/>
    <mergeCell ref="B4:B5"/>
    <mergeCell ref="C4:C5"/>
    <mergeCell ref="D4:D5"/>
    <mergeCell ref="E4:I4"/>
    <mergeCell ref="J4:J5"/>
  </mergeCells>
  <pageMargins left="0.28000000000000003" right="0.15748031496063" top="0.56000000000000005" bottom="0.74803149606299202" header="0.31496062992126" footer="0.31496062992126"/>
  <pageSetup paperSize="9" scale="70" orientation="landscape" r:id="rId1"/>
  <headerFooter>
    <oddHeader>Page &amp;P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T23"/>
  <sheetViews>
    <sheetView zoomScale="85" zoomScaleNormal="85" workbookViewId="0">
      <pane xSplit="10" ySplit="6" topLeftCell="K7" activePane="bottomRight" state="frozen"/>
      <selection activeCell="CJ98" sqref="CJ98"/>
      <selection pane="topRight" activeCell="CJ98" sqref="CJ98"/>
      <selection pane="bottomLeft" activeCell="CJ98" sqref="CJ98"/>
      <selection pane="bottomRight" activeCell="CJ98" sqref="CJ98"/>
    </sheetView>
  </sheetViews>
  <sheetFormatPr defaultRowHeight="15.75"/>
  <cols>
    <col min="1" max="1" width="4.7109375" style="117" customWidth="1"/>
    <col min="2" max="2" width="33.42578125" style="1" customWidth="1"/>
    <col min="3" max="3" width="7" style="117" customWidth="1"/>
    <col min="4" max="4" width="8.140625" style="1" customWidth="1"/>
    <col min="5" max="7" width="9" style="1" customWidth="1"/>
    <col min="8" max="8" width="8.42578125" style="1" customWidth="1"/>
    <col min="9" max="9" width="8.28515625" style="1" customWidth="1"/>
    <col min="10" max="10" width="10" style="1" customWidth="1"/>
    <col min="11" max="11" width="9.140625" style="1"/>
    <col min="18" max="19" width="9.85546875" customWidth="1"/>
    <col min="20" max="20" width="6.5703125" customWidth="1"/>
  </cols>
  <sheetData>
    <row r="1" spans="1:20" s="13" customFormat="1" ht="17.25" customHeight="1">
      <c r="A1" s="538" t="s">
        <v>665</v>
      </c>
      <c r="B1" s="538"/>
      <c r="C1" s="538"/>
      <c r="D1" s="538"/>
      <c r="E1" s="538"/>
      <c r="F1" s="538"/>
      <c r="G1" s="538"/>
      <c r="H1" s="538"/>
      <c r="I1" s="538"/>
      <c r="J1" s="538"/>
      <c r="K1" s="538"/>
    </row>
    <row r="2" spans="1:20" s="13" customFormat="1" ht="26.25" customHeight="1">
      <c r="A2" s="538" t="s">
        <v>445</v>
      </c>
      <c r="B2" s="538"/>
      <c r="C2" s="538"/>
      <c r="D2" s="538"/>
      <c r="E2" s="538"/>
      <c r="F2" s="538"/>
      <c r="G2" s="538"/>
      <c r="H2" s="538"/>
      <c r="I2" s="538"/>
      <c r="J2" s="538"/>
      <c r="K2" s="538"/>
      <c r="L2" s="538"/>
      <c r="M2" s="538"/>
      <c r="N2" s="538"/>
      <c r="O2" s="538"/>
      <c r="P2" s="538"/>
      <c r="Q2" s="538"/>
      <c r="R2" s="538"/>
      <c r="S2" s="538"/>
      <c r="T2" s="538"/>
    </row>
    <row r="3" spans="1:20" s="13" customFormat="1" ht="27.75" customHeight="1">
      <c r="A3" s="542" t="str">
        <f>'B1 TH'!A3:J3</f>
        <v>(Kèm theo Báo cáo số 545-BC/HU, ngày 02/10/2024 của BTV Huyện ủy)</v>
      </c>
      <c r="B3" s="542"/>
      <c r="C3" s="542"/>
      <c r="D3" s="542"/>
      <c r="E3" s="542"/>
      <c r="F3" s="542"/>
      <c r="G3" s="542"/>
      <c r="H3" s="542"/>
      <c r="I3" s="542"/>
      <c r="J3" s="542"/>
      <c r="K3" s="542"/>
      <c r="L3" s="542"/>
      <c r="M3" s="542"/>
      <c r="N3" s="542"/>
      <c r="O3" s="542"/>
      <c r="P3" s="542"/>
      <c r="Q3" s="542"/>
      <c r="R3" s="542"/>
      <c r="S3" s="542"/>
      <c r="T3" s="542"/>
    </row>
    <row r="4" spans="1:20" s="118" customFormat="1" ht="15">
      <c r="A4" s="539" t="s">
        <v>1</v>
      </c>
      <c r="B4" s="539" t="s">
        <v>2</v>
      </c>
      <c r="C4" s="539" t="s">
        <v>3</v>
      </c>
      <c r="D4" s="539" t="s">
        <v>4</v>
      </c>
      <c r="E4" s="546" t="s">
        <v>666</v>
      </c>
      <c r="F4" s="547"/>
      <c r="G4" s="547"/>
      <c r="H4" s="547"/>
      <c r="I4" s="548"/>
      <c r="J4" s="539" t="s">
        <v>11</v>
      </c>
      <c r="K4" s="549" t="s">
        <v>653</v>
      </c>
      <c r="L4" s="550"/>
      <c r="M4" s="550"/>
      <c r="N4" s="550"/>
      <c r="O4" s="550"/>
      <c r="P4" s="550"/>
      <c r="Q4" s="551"/>
      <c r="R4" s="552" t="s">
        <v>661</v>
      </c>
      <c r="S4" s="553"/>
      <c r="T4" s="543" t="s">
        <v>319</v>
      </c>
    </row>
    <row r="5" spans="1:20" s="217" customFormat="1" ht="99.75" customHeight="1">
      <c r="A5" s="540"/>
      <c r="B5" s="540"/>
      <c r="C5" s="540"/>
      <c r="D5" s="540"/>
      <c r="E5" s="237" t="s">
        <v>5</v>
      </c>
      <c r="F5" s="237" t="s">
        <v>7</v>
      </c>
      <c r="G5" s="237" t="s">
        <v>8</v>
      </c>
      <c r="H5" s="237" t="s">
        <v>9</v>
      </c>
      <c r="I5" s="237" t="s">
        <v>10</v>
      </c>
      <c r="J5" s="540"/>
      <c r="K5" s="237" t="s">
        <v>654</v>
      </c>
      <c r="L5" s="237" t="s">
        <v>655</v>
      </c>
      <c r="M5" s="237" t="s">
        <v>656</v>
      </c>
      <c r="N5" s="237" t="s">
        <v>657</v>
      </c>
      <c r="O5" s="237" t="s">
        <v>658</v>
      </c>
      <c r="P5" s="237" t="s">
        <v>659</v>
      </c>
      <c r="Q5" s="201" t="s">
        <v>660</v>
      </c>
      <c r="R5" s="195" t="s">
        <v>662</v>
      </c>
      <c r="S5" s="195" t="s">
        <v>663</v>
      </c>
      <c r="T5" s="544"/>
    </row>
    <row r="6" spans="1:20" s="14" customFormat="1" ht="15">
      <c r="A6" s="284" t="s">
        <v>26</v>
      </c>
      <c r="B6" s="333" t="s">
        <v>446</v>
      </c>
      <c r="C6" s="284"/>
      <c r="D6" s="333"/>
      <c r="E6" s="333"/>
      <c r="F6" s="333"/>
      <c r="G6" s="333"/>
      <c r="H6" s="333"/>
      <c r="I6" s="333"/>
      <c r="J6" s="333"/>
      <c r="K6" s="211"/>
      <c r="L6" s="211"/>
      <c r="M6" s="211"/>
      <c r="N6" s="211"/>
      <c r="O6" s="211"/>
      <c r="P6" s="211"/>
      <c r="Q6" s="211"/>
      <c r="R6" s="211"/>
      <c r="S6" s="211"/>
      <c r="T6" s="211"/>
    </row>
    <row r="7" spans="1:20" s="154" customFormat="1" ht="42" customHeight="1">
      <c r="A7" s="78">
        <v>1</v>
      </c>
      <c r="B7" s="83" t="s">
        <v>447</v>
      </c>
      <c r="C7" s="78" t="s">
        <v>448</v>
      </c>
      <c r="D7" s="83">
        <f>'[1]B11 HTX'!$K$7</f>
        <v>37</v>
      </c>
      <c r="E7" s="83">
        <v>39</v>
      </c>
      <c r="F7" s="83">
        <v>40</v>
      </c>
      <c r="G7" s="83">
        <v>42</v>
      </c>
      <c r="H7" s="83">
        <v>43</v>
      </c>
      <c r="I7" s="83">
        <v>45</v>
      </c>
      <c r="J7" s="83">
        <f>I7</f>
        <v>45</v>
      </c>
      <c r="K7" s="130">
        <v>40</v>
      </c>
      <c r="L7" s="130">
        <v>42</v>
      </c>
      <c r="M7" s="130">
        <f>L7+M9-M10</f>
        <v>43</v>
      </c>
      <c r="N7" s="130">
        <f>M7</f>
        <v>43</v>
      </c>
      <c r="O7" s="130">
        <f>H7</f>
        <v>43</v>
      </c>
      <c r="P7" s="130">
        <f>I7</f>
        <v>45</v>
      </c>
      <c r="Q7" s="130">
        <f>P7</f>
        <v>45</v>
      </c>
      <c r="R7" s="350">
        <f>N7/J7%</f>
        <v>95.555555555555557</v>
      </c>
      <c r="S7" s="350">
        <f>Q7/J7%</f>
        <v>100</v>
      </c>
      <c r="T7" s="289"/>
    </row>
    <row r="8" spans="1:20" s="154" customFormat="1" ht="42" customHeight="1">
      <c r="A8" s="78"/>
      <c r="B8" s="83" t="s">
        <v>179</v>
      </c>
      <c r="C8" s="78"/>
      <c r="D8" s="83"/>
      <c r="E8" s="83"/>
      <c r="F8" s="83"/>
      <c r="G8" s="83"/>
      <c r="H8" s="83"/>
      <c r="I8" s="83"/>
      <c r="J8" s="83"/>
      <c r="K8" s="130"/>
      <c r="L8" s="130"/>
      <c r="M8" s="130"/>
      <c r="N8" s="130"/>
      <c r="O8" s="130"/>
      <c r="P8" s="130"/>
      <c r="Q8" s="130"/>
      <c r="R8" s="130"/>
      <c r="S8" s="130"/>
      <c r="T8" s="289"/>
    </row>
    <row r="9" spans="1:20" s="154" customFormat="1" ht="42" customHeight="1">
      <c r="A9" s="78"/>
      <c r="B9" s="83" t="s">
        <v>610</v>
      </c>
      <c r="C9" s="78" t="s">
        <v>448</v>
      </c>
      <c r="D9" s="83">
        <f>'[1]B11 HTX'!$K$9</f>
        <v>23</v>
      </c>
      <c r="E9" s="83">
        <v>2</v>
      </c>
      <c r="F9" s="83">
        <v>1</v>
      </c>
      <c r="G9" s="83">
        <v>2</v>
      </c>
      <c r="H9" s="83">
        <v>1</v>
      </c>
      <c r="I9" s="83">
        <v>2</v>
      </c>
      <c r="J9" s="83">
        <f>SUM(E9:I9)</f>
        <v>8</v>
      </c>
      <c r="K9" s="130">
        <v>4</v>
      </c>
      <c r="L9" s="130">
        <v>2</v>
      </c>
      <c r="M9" s="130">
        <v>2</v>
      </c>
      <c r="N9" s="130">
        <f>M9+L9+K9</f>
        <v>8</v>
      </c>
      <c r="O9" s="130">
        <f>H9</f>
        <v>1</v>
      </c>
      <c r="P9" s="130">
        <f>I9</f>
        <v>2</v>
      </c>
      <c r="Q9" s="130">
        <f t="shared" ref="Q9:Q13" si="0">P9</f>
        <v>2</v>
      </c>
      <c r="R9" s="350">
        <f>N9/J9%</f>
        <v>100</v>
      </c>
      <c r="S9" s="350">
        <f>Q9/J9%</f>
        <v>25</v>
      </c>
      <c r="T9" s="289"/>
    </row>
    <row r="10" spans="1:20" s="154" customFormat="1" ht="42" customHeight="1">
      <c r="A10" s="78"/>
      <c r="B10" s="83" t="s">
        <v>611</v>
      </c>
      <c r="C10" s="78" t="s">
        <v>448</v>
      </c>
      <c r="D10" s="83">
        <f>'[1]B11 HTX'!$K$10</f>
        <v>20</v>
      </c>
      <c r="E10" s="83">
        <v>0</v>
      </c>
      <c r="F10" s="83">
        <v>0</v>
      </c>
      <c r="G10" s="83">
        <v>0</v>
      </c>
      <c r="H10" s="83">
        <v>0</v>
      </c>
      <c r="I10" s="83">
        <v>0</v>
      </c>
      <c r="J10" s="83">
        <f>I10</f>
        <v>0</v>
      </c>
      <c r="K10" s="130">
        <v>0</v>
      </c>
      <c r="L10" s="130">
        <v>0</v>
      </c>
      <c r="M10" s="130">
        <v>1</v>
      </c>
      <c r="N10" s="130">
        <f>M10+L10+K10</f>
        <v>1</v>
      </c>
      <c r="O10" s="130">
        <v>0</v>
      </c>
      <c r="P10" s="130">
        <v>0</v>
      </c>
      <c r="Q10" s="130">
        <f t="shared" si="0"/>
        <v>0</v>
      </c>
      <c r="R10" s="350"/>
      <c r="S10" s="350"/>
      <c r="T10" s="289"/>
    </row>
    <row r="11" spans="1:20" s="154" customFormat="1" ht="42" customHeight="1">
      <c r="A11" s="78">
        <v>2</v>
      </c>
      <c r="B11" s="83" t="s">
        <v>449</v>
      </c>
      <c r="C11" s="78" t="s">
        <v>254</v>
      </c>
      <c r="D11" s="83">
        <f>'[1]B11 HTX'!$K$11</f>
        <v>281</v>
      </c>
      <c r="E11" s="83">
        <v>295</v>
      </c>
      <c r="F11" s="83">
        <f>E11+5</f>
        <v>300</v>
      </c>
      <c r="G11" s="83">
        <f>F11+8</f>
        <v>308</v>
      </c>
      <c r="H11" s="83">
        <f>G11+5</f>
        <v>313</v>
      </c>
      <c r="I11" s="83">
        <f>H11+8</f>
        <v>321</v>
      </c>
      <c r="J11" s="83">
        <f>I11</f>
        <v>321</v>
      </c>
      <c r="K11" s="130">
        <v>316</v>
      </c>
      <c r="L11" s="130">
        <v>330</v>
      </c>
      <c r="M11" s="130">
        <f>L11+7</f>
        <v>337</v>
      </c>
      <c r="N11" s="130">
        <f>M11</f>
        <v>337</v>
      </c>
      <c r="O11" s="130">
        <f>M11+7</f>
        <v>344</v>
      </c>
      <c r="P11" s="130">
        <f>O11+14</f>
        <v>358</v>
      </c>
      <c r="Q11" s="130">
        <f t="shared" si="0"/>
        <v>358</v>
      </c>
      <c r="R11" s="350">
        <f t="shared" ref="R11:R13" si="1">N11/J11%</f>
        <v>104.98442367601247</v>
      </c>
      <c r="S11" s="350">
        <f t="shared" ref="S11:S13" si="2">Q11/J11%</f>
        <v>111.52647975077882</v>
      </c>
      <c r="T11" s="289"/>
    </row>
    <row r="12" spans="1:20" s="154" customFormat="1" ht="42" customHeight="1">
      <c r="A12" s="78">
        <v>3</v>
      </c>
      <c r="B12" s="83" t="s">
        <v>450</v>
      </c>
      <c r="C12" s="78" t="s">
        <v>254</v>
      </c>
      <c r="D12" s="83">
        <f>'[1]B11 HTX'!$K$12</f>
        <v>435</v>
      </c>
      <c r="E12" s="83">
        <v>450</v>
      </c>
      <c r="F12" s="83">
        <f t="shared" ref="F12:F22" si="3">E12+5</f>
        <v>455</v>
      </c>
      <c r="G12" s="83">
        <f t="shared" ref="G12:G13" si="4">F12+8</f>
        <v>463</v>
      </c>
      <c r="H12" s="83">
        <f t="shared" ref="H12:H13" si="5">G12+5</f>
        <v>468</v>
      </c>
      <c r="I12" s="83">
        <f>H12+8</f>
        <v>476</v>
      </c>
      <c r="J12" s="83">
        <f>I12</f>
        <v>476</v>
      </c>
      <c r="K12" s="130">
        <v>484</v>
      </c>
      <c r="L12" s="130">
        <v>498</v>
      </c>
      <c r="M12" s="130">
        <f>L12+10</f>
        <v>508</v>
      </c>
      <c r="N12" s="130">
        <f>M12</f>
        <v>508</v>
      </c>
      <c r="O12" s="130">
        <f>N12+7</f>
        <v>515</v>
      </c>
      <c r="P12" s="130">
        <f>O12+10</f>
        <v>525</v>
      </c>
      <c r="Q12" s="130">
        <f t="shared" si="0"/>
        <v>525</v>
      </c>
      <c r="R12" s="350">
        <f t="shared" si="1"/>
        <v>106.72268907563026</v>
      </c>
      <c r="S12" s="350">
        <f t="shared" si="2"/>
        <v>110.29411764705883</v>
      </c>
      <c r="T12" s="209"/>
    </row>
    <row r="13" spans="1:20" s="154" customFormat="1" ht="42" customHeight="1">
      <c r="A13" s="78"/>
      <c r="B13" s="83" t="s">
        <v>451</v>
      </c>
      <c r="C13" s="78" t="s">
        <v>254</v>
      </c>
      <c r="D13" s="83">
        <f>'[1]B11 HTX'!$K$13</f>
        <v>176</v>
      </c>
      <c r="E13" s="83">
        <f t="shared" ref="E13" si="6">D13+8</f>
        <v>184</v>
      </c>
      <c r="F13" s="83">
        <f t="shared" si="3"/>
        <v>189</v>
      </c>
      <c r="G13" s="83">
        <f t="shared" si="4"/>
        <v>197</v>
      </c>
      <c r="H13" s="83">
        <f t="shared" si="5"/>
        <v>202</v>
      </c>
      <c r="I13" s="83">
        <f>H13+8</f>
        <v>210</v>
      </c>
      <c r="J13" s="83">
        <f>I13</f>
        <v>210</v>
      </c>
      <c r="K13" s="103">
        <v>191</v>
      </c>
      <c r="L13" s="130">
        <v>196</v>
      </c>
      <c r="M13" s="130">
        <f>L13+7</f>
        <v>203</v>
      </c>
      <c r="N13" s="130">
        <f>M13</f>
        <v>203</v>
      </c>
      <c r="O13" s="130">
        <f>M13+7</f>
        <v>210</v>
      </c>
      <c r="P13" s="130">
        <f>O13+7</f>
        <v>217</v>
      </c>
      <c r="Q13" s="130">
        <f t="shared" si="0"/>
        <v>217</v>
      </c>
      <c r="R13" s="350">
        <f t="shared" si="1"/>
        <v>96.666666666666657</v>
      </c>
      <c r="S13" s="350">
        <f t="shared" si="2"/>
        <v>103.33333333333333</v>
      </c>
      <c r="T13" s="224"/>
    </row>
    <row r="14" spans="1:20" hidden="1">
      <c r="A14" s="115" t="s">
        <v>29</v>
      </c>
      <c r="B14" s="20" t="s">
        <v>452</v>
      </c>
      <c r="C14" s="115"/>
      <c r="D14" s="20"/>
      <c r="E14" s="20"/>
      <c r="F14" s="8">
        <f t="shared" si="3"/>
        <v>5</v>
      </c>
      <c r="G14" s="20"/>
      <c r="H14" s="20"/>
      <c r="I14" s="20"/>
      <c r="J14" s="20"/>
      <c r="K14" s="20"/>
      <c r="L14" s="206"/>
      <c r="M14" s="206"/>
      <c r="N14" s="206"/>
      <c r="O14" s="206"/>
      <c r="P14" s="206"/>
      <c r="Q14" s="206"/>
      <c r="R14" s="206"/>
      <c r="S14" s="206"/>
      <c r="T14" s="206"/>
    </row>
    <row r="15" spans="1:20" ht="47.25" hidden="1">
      <c r="A15" s="115">
        <v>1</v>
      </c>
      <c r="B15" s="20" t="s">
        <v>453</v>
      </c>
      <c r="C15" s="115" t="s">
        <v>452</v>
      </c>
      <c r="D15" s="20"/>
      <c r="E15" s="20"/>
      <c r="F15" s="8">
        <f t="shared" si="3"/>
        <v>5</v>
      </c>
      <c r="G15" s="20"/>
      <c r="H15" s="20"/>
      <c r="I15" s="20"/>
      <c r="J15" s="20"/>
      <c r="K15" s="20"/>
      <c r="L15" s="206"/>
      <c r="M15" s="206"/>
      <c r="N15" s="206"/>
      <c r="O15" s="206"/>
      <c r="P15" s="206"/>
      <c r="Q15" s="206"/>
      <c r="R15" s="206"/>
      <c r="S15" s="206"/>
      <c r="T15" s="206"/>
    </row>
    <row r="16" spans="1:20" ht="47.25" hidden="1">
      <c r="A16" s="115"/>
      <c r="B16" s="20" t="s">
        <v>454</v>
      </c>
      <c r="C16" s="115" t="s">
        <v>452</v>
      </c>
      <c r="D16" s="20"/>
      <c r="E16" s="20"/>
      <c r="F16" s="8">
        <f t="shared" si="3"/>
        <v>5</v>
      </c>
      <c r="G16" s="20"/>
      <c r="H16" s="20"/>
      <c r="I16" s="20"/>
      <c r="J16" s="20"/>
      <c r="K16" s="20"/>
      <c r="L16" s="206"/>
      <c r="M16" s="206"/>
      <c r="N16" s="206"/>
      <c r="O16" s="206"/>
      <c r="P16" s="206"/>
      <c r="Q16" s="206"/>
      <c r="R16" s="206"/>
      <c r="S16" s="206"/>
      <c r="T16" s="206"/>
    </row>
    <row r="17" spans="1:20" ht="31.5" hidden="1">
      <c r="A17" s="115">
        <v>2</v>
      </c>
      <c r="B17" s="20" t="s">
        <v>455</v>
      </c>
      <c r="C17" s="115" t="s">
        <v>456</v>
      </c>
      <c r="D17" s="20"/>
      <c r="E17" s="20"/>
      <c r="F17" s="8">
        <f t="shared" si="3"/>
        <v>5</v>
      </c>
      <c r="G17" s="20"/>
      <c r="H17" s="20"/>
      <c r="I17" s="20"/>
      <c r="J17" s="20"/>
      <c r="K17" s="20"/>
      <c r="L17" s="206"/>
      <c r="M17" s="206"/>
      <c r="N17" s="206"/>
      <c r="O17" s="206"/>
      <c r="P17" s="206"/>
      <c r="Q17" s="206"/>
      <c r="R17" s="206"/>
      <c r="S17" s="206"/>
      <c r="T17" s="206"/>
    </row>
    <row r="18" spans="1:20" ht="31.5" hidden="1">
      <c r="A18" s="115"/>
      <c r="B18" s="20" t="s">
        <v>457</v>
      </c>
      <c r="C18" s="115" t="s">
        <v>254</v>
      </c>
      <c r="D18" s="20"/>
      <c r="E18" s="20"/>
      <c r="F18" s="8">
        <f t="shared" si="3"/>
        <v>5</v>
      </c>
      <c r="G18" s="20"/>
      <c r="H18" s="20"/>
      <c r="I18" s="20"/>
      <c r="J18" s="20"/>
      <c r="K18" s="20"/>
      <c r="L18" s="206"/>
      <c r="M18" s="206"/>
      <c r="N18" s="206"/>
      <c r="O18" s="206"/>
      <c r="P18" s="206"/>
      <c r="Q18" s="206"/>
      <c r="R18" s="206"/>
      <c r="S18" s="206"/>
      <c r="T18" s="206"/>
    </row>
    <row r="19" spans="1:20" hidden="1">
      <c r="A19" s="115">
        <v>3</v>
      </c>
      <c r="B19" s="20" t="s">
        <v>458</v>
      </c>
      <c r="C19" s="115" t="s">
        <v>254</v>
      </c>
      <c r="D19" s="20"/>
      <c r="E19" s="20"/>
      <c r="F19" s="8">
        <f t="shared" si="3"/>
        <v>5</v>
      </c>
      <c r="G19" s="20"/>
      <c r="H19" s="20"/>
      <c r="I19" s="20"/>
      <c r="J19" s="20"/>
      <c r="K19" s="20"/>
      <c r="L19" s="206"/>
      <c r="M19" s="206"/>
      <c r="N19" s="206"/>
      <c r="O19" s="206"/>
      <c r="P19" s="206"/>
      <c r="Q19" s="206"/>
      <c r="R19" s="206"/>
      <c r="S19" s="206"/>
      <c r="T19" s="206"/>
    </row>
    <row r="20" spans="1:20" hidden="1">
      <c r="A20" s="115"/>
      <c r="B20" s="20" t="s">
        <v>179</v>
      </c>
      <c r="C20" s="115"/>
      <c r="D20" s="20"/>
      <c r="E20" s="20"/>
      <c r="F20" s="8">
        <f t="shared" si="3"/>
        <v>5</v>
      </c>
      <c r="G20" s="20"/>
      <c r="H20" s="20"/>
      <c r="I20" s="20"/>
      <c r="J20" s="20"/>
      <c r="K20" s="20"/>
      <c r="L20" s="206"/>
      <c r="M20" s="206"/>
      <c r="N20" s="206"/>
      <c r="O20" s="206"/>
      <c r="P20" s="206"/>
      <c r="Q20" s="206"/>
      <c r="R20" s="206"/>
      <c r="S20" s="206"/>
      <c r="T20" s="206"/>
    </row>
    <row r="21" spans="1:20" hidden="1">
      <c r="A21" s="115"/>
      <c r="B21" s="20" t="s">
        <v>459</v>
      </c>
      <c r="C21" s="115" t="s">
        <v>254</v>
      </c>
      <c r="D21" s="20"/>
      <c r="E21" s="20"/>
      <c r="F21" s="8">
        <f t="shared" si="3"/>
        <v>5</v>
      </c>
      <c r="G21" s="20"/>
      <c r="H21" s="20"/>
      <c r="I21" s="20"/>
      <c r="J21" s="20"/>
      <c r="K21" s="20"/>
      <c r="L21" s="206"/>
      <c r="M21" s="206"/>
      <c r="N21" s="206"/>
      <c r="O21" s="206"/>
      <c r="P21" s="206"/>
      <c r="Q21" s="206"/>
      <c r="R21" s="206"/>
      <c r="S21" s="206"/>
      <c r="T21" s="206"/>
    </row>
    <row r="22" spans="1:20" ht="31.5" hidden="1">
      <c r="A22" s="115"/>
      <c r="B22" s="20" t="s">
        <v>460</v>
      </c>
      <c r="C22" s="115" t="s">
        <v>254</v>
      </c>
      <c r="D22" s="20"/>
      <c r="E22" s="20"/>
      <c r="F22" s="8">
        <f t="shared" si="3"/>
        <v>5</v>
      </c>
      <c r="G22" s="20"/>
      <c r="H22" s="20"/>
      <c r="I22" s="20"/>
      <c r="J22" s="20"/>
      <c r="K22" s="20"/>
      <c r="L22" s="206"/>
      <c r="M22" s="206"/>
      <c r="N22" s="206"/>
      <c r="O22" s="206"/>
      <c r="P22" s="206"/>
      <c r="Q22" s="206"/>
      <c r="R22" s="206"/>
      <c r="S22" s="206"/>
      <c r="T22" s="206"/>
    </row>
    <row r="23" spans="1:20">
      <c r="A23" s="116"/>
      <c r="B23" s="18"/>
      <c r="C23" s="116"/>
      <c r="D23" s="18"/>
      <c r="E23" s="18"/>
      <c r="F23" s="18"/>
      <c r="G23" s="18"/>
      <c r="H23" s="18"/>
      <c r="I23" s="18"/>
      <c r="J23" s="18"/>
      <c r="K23" s="18"/>
      <c r="L23" s="213"/>
      <c r="M23" s="213"/>
      <c r="N23" s="213"/>
      <c r="O23" s="213"/>
      <c r="P23" s="213"/>
      <c r="Q23" s="213"/>
      <c r="R23" s="213"/>
      <c r="S23" s="213"/>
      <c r="T23" s="213"/>
    </row>
  </sheetData>
  <mergeCells count="12">
    <mergeCell ref="R4:S4"/>
    <mergeCell ref="T4:T5"/>
    <mergeCell ref="A1:K1"/>
    <mergeCell ref="C4:C5"/>
    <mergeCell ref="D4:D5"/>
    <mergeCell ref="B4:B5"/>
    <mergeCell ref="A4:A5"/>
    <mergeCell ref="E4:I4"/>
    <mergeCell ref="J4:J5"/>
    <mergeCell ref="K4:Q4"/>
    <mergeCell ref="A2:T2"/>
    <mergeCell ref="A3:T3"/>
  </mergeCells>
  <pageMargins left="0.32" right="0.2" top="0.6" bottom="0.75" header="0.3" footer="0.3"/>
  <pageSetup paperSize="9" scale="70" orientation="landscape" r:id="rId1"/>
  <headerFooter>
    <oddHeader>Page &amp;P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I58"/>
  <sheetViews>
    <sheetView workbookViewId="0">
      <selection activeCell="B9" sqref="B9"/>
    </sheetView>
  </sheetViews>
  <sheetFormatPr defaultRowHeight="15"/>
  <cols>
    <col min="1" max="1" width="5.140625" style="74" customWidth="1"/>
    <col min="2" max="2" width="48.5703125" style="99" customWidth="1"/>
    <col min="3" max="3" width="18.7109375" style="74" customWidth="1"/>
    <col min="4" max="4" width="18.5703125" style="74" customWidth="1"/>
    <col min="5" max="5" width="24" style="119" customWidth="1"/>
    <col min="6" max="6" width="9.140625" style="99"/>
    <col min="7" max="8" width="9.140625" style="71"/>
  </cols>
  <sheetData>
    <row r="1" spans="1:9" ht="15" customHeight="1">
      <c r="A1" s="566" t="s">
        <v>461</v>
      </c>
      <c r="B1" s="566"/>
      <c r="C1" s="566"/>
      <c r="D1" s="566"/>
      <c r="E1" s="566"/>
      <c r="F1" s="566"/>
    </row>
    <row r="2" spans="1:9" ht="15" customHeight="1">
      <c r="A2" s="566" t="s">
        <v>462</v>
      </c>
      <c r="B2" s="566"/>
      <c r="C2" s="566"/>
      <c r="D2" s="566"/>
      <c r="E2" s="566"/>
      <c r="F2" s="566"/>
    </row>
    <row r="3" spans="1:9">
      <c r="A3" s="567" t="str">
        <f>'B1 TH'!A3:J3</f>
        <v>(Kèm theo Báo cáo số 545-BC/HU, ngày 02/10/2024 của BTV Huyện ủy)</v>
      </c>
      <c r="B3" s="567"/>
      <c r="C3" s="567"/>
      <c r="D3" s="567"/>
      <c r="E3" s="567"/>
      <c r="F3" s="567"/>
    </row>
    <row r="5" spans="1:9">
      <c r="A5" s="536" t="s">
        <v>315</v>
      </c>
      <c r="B5" s="536" t="s">
        <v>463</v>
      </c>
      <c r="C5" s="536" t="s">
        <v>464</v>
      </c>
      <c r="D5" s="536" t="s">
        <v>465</v>
      </c>
      <c r="E5" s="575" t="s">
        <v>466</v>
      </c>
      <c r="F5" s="536" t="s">
        <v>319</v>
      </c>
      <c r="G5" s="72"/>
    </row>
    <row r="6" spans="1:9">
      <c r="A6" s="536"/>
      <c r="B6" s="536"/>
      <c r="C6" s="536"/>
      <c r="D6" s="536"/>
      <c r="E6" s="575"/>
      <c r="F6" s="536"/>
      <c r="G6" s="72"/>
    </row>
    <row r="7" spans="1:9" s="11" customFormat="1">
      <c r="A7" s="91"/>
      <c r="B7" s="106" t="s">
        <v>153</v>
      </c>
      <c r="C7" s="91"/>
      <c r="D7" s="91"/>
      <c r="E7" s="121">
        <f>E8+E23+E43+E47+E52</f>
        <v>4733000</v>
      </c>
      <c r="F7" s="106"/>
      <c r="G7" s="122"/>
      <c r="H7" s="122"/>
    </row>
    <row r="8" spans="1:9" s="11" customFormat="1" ht="26.25" customHeight="1">
      <c r="A8" s="89" t="s">
        <v>26</v>
      </c>
      <c r="B8" s="90" t="s">
        <v>467</v>
      </c>
      <c r="C8" s="89"/>
      <c r="D8" s="89"/>
      <c r="E8" s="123">
        <f>SUM(E9:E22)</f>
        <v>2288000</v>
      </c>
      <c r="F8" s="90"/>
      <c r="G8" s="122"/>
      <c r="H8" s="122"/>
    </row>
    <row r="9" spans="1:9">
      <c r="A9" s="78">
        <v>1</v>
      </c>
      <c r="B9" s="83" t="s">
        <v>468</v>
      </c>
      <c r="C9" s="78" t="s">
        <v>469</v>
      </c>
      <c r="D9" s="78" t="s">
        <v>470</v>
      </c>
      <c r="E9" s="112">
        <v>550000</v>
      </c>
      <c r="F9" s="83"/>
    </row>
    <row r="10" spans="1:9">
      <c r="A10" s="78">
        <v>2</v>
      </c>
      <c r="B10" s="83" t="s">
        <v>471</v>
      </c>
      <c r="C10" s="78" t="s">
        <v>469</v>
      </c>
      <c r="D10" s="78" t="s">
        <v>472</v>
      </c>
      <c r="E10" s="112">
        <v>500000</v>
      </c>
      <c r="F10" s="83"/>
    </row>
    <row r="11" spans="1:9" ht="30">
      <c r="A11" s="78">
        <v>3</v>
      </c>
      <c r="B11" s="83" t="s">
        <v>473</v>
      </c>
      <c r="C11" s="78" t="s">
        <v>469</v>
      </c>
      <c r="D11" s="78" t="s">
        <v>474</v>
      </c>
      <c r="E11" s="112">
        <v>450000</v>
      </c>
      <c r="F11" s="83"/>
      <c r="G11" s="71">
        <v>418.1</v>
      </c>
      <c r="H11" s="71">
        <f>32.47+10.77</f>
        <v>43.239999999999995</v>
      </c>
      <c r="I11">
        <f>G11-H11</f>
        <v>374.86</v>
      </c>
    </row>
    <row r="12" spans="1:9">
      <c r="A12" s="78">
        <v>4</v>
      </c>
      <c r="B12" s="83" t="s">
        <v>475</v>
      </c>
      <c r="C12" s="78" t="s">
        <v>476</v>
      </c>
      <c r="D12" s="78" t="s">
        <v>477</v>
      </c>
      <c r="E12" s="112">
        <v>120000</v>
      </c>
      <c r="F12" s="83"/>
      <c r="G12" s="71">
        <v>21.7</v>
      </c>
    </row>
    <row r="13" spans="1:9">
      <c r="A13" s="78">
        <v>5</v>
      </c>
      <c r="B13" s="83" t="s">
        <v>478</v>
      </c>
      <c r="C13" s="78" t="s">
        <v>479</v>
      </c>
      <c r="D13" s="78" t="s">
        <v>480</v>
      </c>
      <c r="E13" s="112">
        <v>45000</v>
      </c>
      <c r="F13" s="83"/>
      <c r="G13" s="71">
        <f>SUM(G11:G12)</f>
        <v>439.8</v>
      </c>
    </row>
    <row r="14" spans="1:9" ht="30">
      <c r="A14" s="78">
        <v>6</v>
      </c>
      <c r="B14" s="83" t="s">
        <v>481</v>
      </c>
      <c r="C14" s="78" t="s">
        <v>482</v>
      </c>
      <c r="D14" s="78" t="s">
        <v>483</v>
      </c>
      <c r="E14" s="112">
        <v>78000</v>
      </c>
      <c r="F14" s="83"/>
    </row>
    <row r="15" spans="1:9" ht="30">
      <c r="A15" s="78">
        <v>7</v>
      </c>
      <c r="B15" s="83" t="s">
        <v>484</v>
      </c>
      <c r="C15" s="78" t="s">
        <v>485</v>
      </c>
      <c r="D15" s="78" t="s">
        <v>486</v>
      </c>
      <c r="E15" s="112">
        <v>115000</v>
      </c>
      <c r="F15" s="83"/>
    </row>
    <row r="16" spans="1:9" ht="30">
      <c r="A16" s="78">
        <v>8</v>
      </c>
      <c r="B16" s="83" t="s">
        <v>487</v>
      </c>
      <c r="C16" s="78" t="s">
        <v>488</v>
      </c>
      <c r="D16" s="78" t="s">
        <v>489</v>
      </c>
      <c r="E16" s="112">
        <v>8000</v>
      </c>
      <c r="F16" s="83"/>
    </row>
    <row r="17" spans="1:8" ht="30">
      <c r="A17" s="78">
        <v>9</v>
      </c>
      <c r="B17" s="83" t="s">
        <v>490</v>
      </c>
      <c r="C17" s="78" t="s">
        <v>491</v>
      </c>
      <c r="D17" s="78" t="s">
        <v>492</v>
      </c>
      <c r="E17" s="112">
        <v>38000</v>
      </c>
      <c r="F17" s="83"/>
    </row>
    <row r="18" spans="1:8" ht="30">
      <c r="A18" s="78">
        <v>10</v>
      </c>
      <c r="B18" s="83" t="s">
        <v>493</v>
      </c>
      <c r="C18" s="78" t="s">
        <v>479</v>
      </c>
      <c r="D18" s="78" t="s">
        <v>494</v>
      </c>
      <c r="E18" s="112">
        <v>39000</v>
      </c>
      <c r="F18" s="83"/>
    </row>
    <row r="19" spans="1:8" ht="30">
      <c r="A19" s="78">
        <v>11</v>
      </c>
      <c r="B19" s="83" t="s">
        <v>495</v>
      </c>
      <c r="C19" s="78" t="s">
        <v>496</v>
      </c>
      <c r="D19" s="78" t="s">
        <v>497</v>
      </c>
      <c r="E19" s="112">
        <v>15000</v>
      </c>
      <c r="F19" s="83"/>
    </row>
    <row r="20" spans="1:8" ht="30">
      <c r="A20" s="78">
        <v>12</v>
      </c>
      <c r="B20" s="83" t="s">
        <v>498</v>
      </c>
      <c r="C20" s="78" t="s">
        <v>499</v>
      </c>
      <c r="D20" s="78" t="s">
        <v>500</v>
      </c>
      <c r="E20" s="112">
        <v>60000</v>
      </c>
      <c r="F20" s="83"/>
      <c r="G20" s="71">
        <f>19+55</f>
        <v>74</v>
      </c>
    </row>
    <row r="21" spans="1:8">
      <c r="A21" s="78">
        <v>13</v>
      </c>
      <c r="B21" s="83" t="s">
        <v>501</v>
      </c>
      <c r="C21" s="78" t="s">
        <v>469</v>
      </c>
      <c r="D21" s="78" t="s">
        <v>502</v>
      </c>
      <c r="E21" s="112">
        <v>95000</v>
      </c>
      <c r="F21" s="83"/>
    </row>
    <row r="22" spans="1:8">
      <c r="A22" s="78">
        <v>14</v>
      </c>
      <c r="B22" s="83" t="s">
        <v>503</v>
      </c>
      <c r="C22" s="78" t="s">
        <v>469</v>
      </c>
      <c r="D22" s="78" t="s">
        <v>504</v>
      </c>
      <c r="E22" s="112">
        <v>175000</v>
      </c>
      <c r="F22" s="83"/>
    </row>
    <row r="23" spans="1:8" s="11" customFormat="1">
      <c r="A23" s="89" t="s">
        <v>29</v>
      </c>
      <c r="B23" s="90" t="s">
        <v>505</v>
      </c>
      <c r="C23" s="89"/>
      <c r="D23" s="89"/>
      <c r="E23" s="123">
        <f>E24+E33+E38</f>
        <v>413000</v>
      </c>
      <c r="F23" s="90"/>
      <c r="G23" s="122"/>
      <c r="H23" s="122"/>
    </row>
    <row r="24" spans="1:8" s="11" customFormat="1">
      <c r="A24" s="89" t="s">
        <v>506</v>
      </c>
      <c r="B24" s="90" t="s">
        <v>507</v>
      </c>
      <c r="C24" s="89"/>
      <c r="D24" s="89"/>
      <c r="E24" s="123">
        <f>SUM(E26:E32)</f>
        <v>142000</v>
      </c>
      <c r="F24" s="90"/>
      <c r="G24" s="122"/>
      <c r="H24" s="122"/>
    </row>
    <row r="25" spans="1:8">
      <c r="A25" s="78">
        <v>1</v>
      </c>
      <c r="B25" s="83" t="s">
        <v>508</v>
      </c>
      <c r="C25" s="78" t="s">
        <v>509</v>
      </c>
      <c r="D25" s="78" t="s">
        <v>510</v>
      </c>
      <c r="E25" s="112">
        <v>12000</v>
      </c>
      <c r="F25" s="83"/>
    </row>
    <row r="26" spans="1:8">
      <c r="A26" s="78">
        <v>2</v>
      </c>
      <c r="B26" s="83" t="s">
        <v>511</v>
      </c>
      <c r="C26" s="78" t="s">
        <v>512</v>
      </c>
      <c r="D26" s="78" t="s">
        <v>513</v>
      </c>
      <c r="E26" s="112">
        <v>45000</v>
      </c>
      <c r="F26" s="83"/>
    </row>
    <row r="27" spans="1:8">
      <c r="A27" s="78">
        <v>3</v>
      </c>
      <c r="B27" s="83" t="s">
        <v>514</v>
      </c>
      <c r="C27" s="78" t="s">
        <v>515</v>
      </c>
      <c r="D27" s="78" t="s">
        <v>513</v>
      </c>
      <c r="E27" s="112">
        <v>12000</v>
      </c>
      <c r="F27" s="83"/>
    </row>
    <row r="28" spans="1:8">
      <c r="A28" s="78">
        <v>4</v>
      </c>
      <c r="B28" s="83" t="s">
        <v>516</v>
      </c>
      <c r="C28" s="78" t="s">
        <v>509</v>
      </c>
      <c r="D28" s="78" t="s">
        <v>517</v>
      </c>
      <c r="E28" s="112">
        <v>8000</v>
      </c>
      <c r="F28" s="83"/>
    </row>
    <row r="29" spans="1:8">
      <c r="A29" s="78">
        <v>5</v>
      </c>
      <c r="B29" s="83" t="s">
        <v>518</v>
      </c>
      <c r="C29" s="78" t="s">
        <v>519</v>
      </c>
      <c r="D29" s="78" t="s">
        <v>520</v>
      </c>
      <c r="E29" s="112">
        <v>25000</v>
      </c>
      <c r="F29" s="83"/>
    </row>
    <row r="30" spans="1:8">
      <c r="A30" s="78">
        <v>6</v>
      </c>
      <c r="B30" s="83" t="s">
        <v>521</v>
      </c>
      <c r="C30" s="78" t="s">
        <v>522</v>
      </c>
      <c r="D30" s="78" t="s">
        <v>517</v>
      </c>
      <c r="E30" s="112">
        <v>15000</v>
      </c>
      <c r="F30" s="83"/>
    </row>
    <row r="31" spans="1:8">
      <c r="A31" s="78">
        <v>7</v>
      </c>
      <c r="B31" s="83" t="s">
        <v>523</v>
      </c>
      <c r="C31" s="78" t="s">
        <v>524</v>
      </c>
      <c r="D31" s="78" t="s">
        <v>525</v>
      </c>
      <c r="E31" s="112">
        <v>17000</v>
      </c>
      <c r="F31" s="83"/>
    </row>
    <row r="32" spans="1:8">
      <c r="A32" s="78">
        <v>8</v>
      </c>
      <c r="B32" s="83" t="s">
        <v>526</v>
      </c>
      <c r="C32" s="78" t="s">
        <v>527</v>
      </c>
      <c r="D32" s="78" t="s">
        <v>528</v>
      </c>
      <c r="E32" s="112">
        <v>20000</v>
      </c>
      <c r="F32" s="83"/>
    </row>
    <row r="33" spans="1:8" s="11" customFormat="1">
      <c r="A33" s="89" t="s">
        <v>529</v>
      </c>
      <c r="B33" s="90" t="s">
        <v>530</v>
      </c>
      <c r="C33" s="89"/>
      <c r="D33" s="89"/>
      <c r="E33" s="123">
        <f>SUM(E34:E37)</f>
        <v>43500</v>
      </c>
      <c r="F33" s="90"/>
      <c r="G33" s="122"/>
      <c r="H33" s="122"/>
    </row>
    <row r="34" spans="1:8">
      <c r="A34" s="78">
        <v>1</v>
      </c>
      <c r="B34" s="83" t="s">
        <v>531</v>
      </c>
      <c r="C34" s="78" t="s">
        <v>509</v>
      </c>
      <c r="D34" s="78">
        <v>2000</v>
      </c>
      <c r="E34" s="112">
        <v>5000</v>
      </c>
      <c r="F34" s="83"/>
    </row>
    <row r="35" spans="1:8">
      <c r="A35" s="78">
        <v>2</v>
      </c>
      <c r="B35" s="83" t="s">
        <v>532</v>
      </c>
      <c r="C35" s="78" t="s">
        <v>533</v>
      </c>
      <c r="D35" s="78">
        <v>3000</v>
      </c>
      <c r="E35" s="112">
        <v>10000</v>
      </c>
      <c r="F35" s="83"/>
    </row>
    <row r="36" spans="1:8" ht="30">
      <c r="A36" s="78">
        <v>3</v>
      </c>
      <c r="B36" s="83" t="s">
        <v>534</v>
      </c>
      <c r="C36" s="78" t="s">
        <v>535</v>
      </c>
      <c r="D36" s="78">
        <v>5000</v>
      </c>
      <c r="E36" s="112">
        <v>20000</v>
      </c>
      <c r="F36" s="83"/>
    </row>
    <row r="37" spans="1:8">
      <c r="A37" s="78">
        <v>4</v>
      </c>
      <c r="B37" s="83" t="s">
        <v>536</v>
      </c>
      <c r="C37" s="78" t="s">
        <v>537</v>
      </c>
      <c r="D37" s="78">
        <v>2121</v>
      </c>
      <c r="E37" s="112">
        <v>8500</v>
      </c>
      <c r="F37" s="83"/>
    </row>
    <row r="38" spans="1:8" s="11" customFormat="1" ht="28.5">
      <c r="A38" s="89" t="s">
        <v>538</v>
      </c>
      <c r="B38" s="90" t="s">
        <v>539</v>
      </c>
      <c r="C38" s="89"/>
      <c r="D38" s="89"/>
      <c r="E38" s="123">
        <f>SUM(E39:E42)</f>
        <v>227500</v>
      </c>
      <c r="F38" s="90"/>
      <c r="G38" s="122"/>
      <c r="H38" s="122"/>
    </row>
    <row r="39" spans="1:8">
      <c r="A39" s="78">
        <v>1</v>
      </c>
      <c r="B39" s="83" t="s">
        <v>540</v>
      </c>
      <c r="C39" s="78" t="s">
        <v>527</v>
      </c>
      <c r="D39" s="78"/>
      <c r="E39" s="112">
        <v>27000</v>
      </c>
      <c r="F39" s="83"/>
    </row>
    <row r="40" spans="1:8" ht="30">
      <c r="A40" s="78">
        <v>2</v>
      </c>
      <c r="B40" s="83" t="s">
        <v>541</v>
      </c>
      <c r="C40" s="78" t="s">
        <v>515</v>
      </c>
      <c r="D40" s="78"/>
      <c r="E40" s="112">
        <v>7500</v>
      </c>
      <c r="F40" s="83"/>
    </row>
    <row r="41" spans="1:8">
      <c r="A41" s="78">
        <v>3</v>
      </c>
      <c r="B41" s="83" t="s">
        <v>542</v>
      </c>
      <c r="C41" s="78" t="s">
        <v>515</v>
      </c>
      <c r="D41" s="78" t="s">
        <v>543</v>
      </c>
      <c r="E41" s="112">
        <v>73000</v>
      </c>
      <c r="F41" s="83"/>
    </row>
    <row r="42" spans="1:8">
      <c r="A42" s="78">
        <v>4</v>
      </c>
      <c r="B42" s="83" t="s">
        <v>544</v>
      </c>
      <c r="C42" s="78" t="s">
        <v>12</v>
      </c>
      <c r="D42" s="78" t="s">
        <v>545</v>
      </c>
      <c r="E42" s="112">
        <v>120000</v>
      </c>
      <c r="F42" s="83"/>
    </row>
    <row r="43" spans="1:8" s="11" customFormat="1">
      <c r="A43" s="89" t="s">
        <v>95</v>
      </c>
      <c r="B43" s="90" t="s">
        <v>546</v>
      </c>
      <c r="C43" s="89"/>
      <c r="D43" s="89"/>
      <c r="E43" s="123">
        <f>SUM(E44:E46)</f>
        <v>415000</v>
      </c>
      <c r="F43" s="90"/>
      <c r="G43" s="122"/>
      <c r="H43" s="122"/>
    </row>
    <row r="44" spans="1:8">
      <c r="A44" s="78">
        <v>1</v>
      </c>
      <c r="B44" s="83" t="s">
        <v>547</v>
      </c>
      <c r="C44" s="78" t="s">
        <v>548</v>
      </c>
      <c r="D44" s="78" t="s">
        <v>549</v>
      </c>
      <c r="E44" s="112">
        <v>250000</v>
      </c>
      <c r="F44" s="83"/>
    </row>
    <row r="45" spans="1:8">
      <c r="A45" s="78">
        <v>2</v>
      </c>
      <c r="B45" s="83" t="s">
        <v>550</v>
      </c>
      <c r="C45" s="78" t="s">
        <v>548</v>
      </c>
      <c r="D45" s="78" t="s">
        <v>549</v>
      </c>
      <c r="E45" s="112">
        <v>150000</v>
      </c>
      <c r="F45" s="83"/>
    </row>
    <row r="46" spans="1:8">
      <c r="A46" s="78">
        <v>3</v>
      </c>
      <c r="B46" s="83" t="s">
        <v>551</v>
      </c>
      <c r="C46" s="78" t="s">
        <v>548</v>
      </c>
      <c r="D46" s="78" t="s">
        <v>552</v>
      </c>
      <c r="E46" s="112">
        <v>15000</v>
      </c>
      <c r="F46" s="83"/>
    </row>
    <row r="47" spans="1:8" s="11" customFormat="1">
      <c r="A47" s="89" t="s">
        <v>101</v>
      </c>
      <c r="B47" s="90" t="s">
        <v>553</v>
      </c>
      <c r="C47" s="89"/>
      <c r="D47" s="89"/>
      <c r="E47" s="123">
        <f>SUM(E48:E51)</f>
        <v>692000</v>
      </c>
      <c r="F47" s="90"/>
      <c r="G47" s="122"/>
      <c r="H47" s="122"/>
    </row>
    <row r="48" spans="1:8" ht="30">
      <c r="A48" s="78">
        <v>1</v>
      </c>
      <c r="B48" s="83" t="s">
        <v>554</v>
      </c>
      <c r="C48" s="78" t="s">
        <v>469</v>
      </c>
      <c r="D48" s="78" t="s">
        <v>555</v>
      </c>
      <c r="E48" s="112">
        <v>450000</v>
      </c>
      <c r="F48" s="83"/>
    </row>
    <row r="49" spans="1:8">
      <c r="A49" s="78">
        <v>2</v>
      </c>
      <c r="B49" s="83" t="s">
        <v>556</v>
      </c>
      <c r="C49" s="78" t="s">
        <v>557</v>
      </c>
      <c r="D49" s="78"/>
      <c r="E49" s="112">
        <v>150000</v>
      </c>
      <c r="F49" s="83"/>
    </row>
    <row r="50" spans="1:8">
      <c r="A50" s="78">
        <v>3</v>
      </c>
      <c r="B50" s="83" t="s">
        <v>558</v>
      </c>
      <c r="C50" s="78" t="s">
        <v>557</v>
      </c>
      <c r="D50" s="78"/>
      <c r="E50" s="112">
        <v>47000</v>
      </c>
      <c r="F50" s="83"/>
    </row>
    <row r="51" spans="1:8">
      <c r="A51" s="78">
        <v>4</v>
      </c>
      <c r="B51" s="83" t="s">
        <v>559</v>
      </c>
      <c r="C51" s="78" t="s">
        <v>557</v>
      </c>
      <c r="D51" s="78" t="s">
        <v>560</v>
      </c>
      <c r="E51" s="112">
        <v>45000</v>
      </c>
      <c r="F51" s="83"/>
    </row>
    <row r="52" spans="1:8" s="11" customFormat="1">
      <c r="A52" s="89" t="s">
        <v>561</v>
      </c>
      <c r="B52" s="90" t="s">
        <v>562</v>
      </c>
      <c r="C52" s="89"/>
      <c r="D52" s="89"/>
      <c r="E52" s="123">
        <f>E53+E54+E57</f>
        <v>925000</v>
      </c>
      <c r="F52" s="90"/>
      <c r="G52" s="122"/>
      <c r="H52" s="122"/>
    </row>
    <row r="53" spans="1:8" ht="30">
      <c r="A53" s="78">
        <v>1</v>
      </c>
      <c r="B53" s="83" t="s">
        <v>563</v>
      </c>
      <c r="C53" s="78" t="s">
        <v>557</v>
      </c>
      <c r="D53" s="78" t="s">
        <v>560</v>
      </c>
      <c r="E53" s="112">
        <v>252000</v>
      </c>
      <c r="F53" s="83"/>
    </row>
    <row r="54" spans="1:8">
      <c r="A54" s="78">
        <v>2</v>
      </c>
      <c r="B54" s="83" t="s">
        <v>564</v>
      </c>
      <c r="C54" s="78" t="s">
        <v>557</v>
      </c>
      <c r="D54" s="78"/>
      <c r="E54" s="112">
        <f>E55+E56</f>
        <v>599000</v>
      </c>
      <c r="F54" s="83"/>
    </row>
    <row r="55" spans="1:8">
      <c r="A55" s="78"/>
      <c r="B55" s="83" t="s">
        <v>565</v>
      </c>
      <c r="C55" s="78" t="s">
        <v>557</v>
      </c>
      <c r="D55" s="78"/>
      <c r="E55" s="112">
        <v>510000</v>
      </c>
      <c r="F55" s="83"/>
    </row>
    <row r="56" spans="1:8">
      <c r="A56" s="78"/>
      <c r="B56" s="83" t="s">
        <v>566</v>
      </c>
      <c r="C56" s="78" t="s">
        <v>567</v>
      </c>
      <c r="D56" s="78"/>
      <c r="E56" s="112">
        <v>89000</v>
      </c>
      <c r="F56" s="83"/>
    </row>
    <row r="57" spans="1:8">
      <c r="A57" s="78">
        <v>3</v>
      </c>
      <c r="B57" s="83" t="s">
        <v>568</v>
      </c>
      <c r="C57" s="78" t="s">
        <v>557</v>
      </c>
      <c r="D57" s="78"/>
      <c r="E57" s="112">
        <v>74000</v>
      </c>
      <c r="F57" s="83"/>
    </row>
    <row r="58" spans="1:8">
      <c r="A58" s="80"/>
      <c r="B58" s="84"/>
      <c r="C58" s="80"/>
      <c r="D58" s="80"/>
      <c r="E58" s="120"/>
      <c r="F58" s="84"/>
    </row>
  </sheetData>
  <mergeCells count="9">
    <mergeCell ref="A1:F1"/>
    <mergeCell ref="A2:F2"/>
    <mergeCell ref="A5:A6"/>
    <mergeCell ref="B5:B6"/>
    <mergeCell ref="C5:C6"/>
    <mergeCell ref="D5:D6"/>
    <mergeCell ref="E5:E6"/>
    <mergeCell ref="F5:F6"/>
    <mergeCell ref="A3:F3"/>
  </mergeCells>
  <pageMargins left="0.70866141732283505" right="0.70866141732283505" top="0.74803149606299202" bottom="0.74803149606299202" header="0.31496062992126" footer="0.31496062992126"/>
  <pageSetup paperSize="9" orientation="landscape" r:id="rId1"/>
  <headerFooter>
    <oddFooter>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9</vt:i4>
      </vt:variant>
    </vt:vector>
  </HeadingPairs>
  <TitlesOfParts>
    <vt:vector size="23" baseType="lpstr">
      <vt:lpstr>B1 TH</vt:lpstr>
      <vt:lpstr>B2</vt:lpstr>
      <vt:lpstr>B3</vt:lpstr>
      <vt:lpstr>B4</vt:lpstr>
      <vt:lpstr>B5</vt:lpstr>
      <vt:lpstr>B6</vt:lpstr>
      <vt:lpstr>B7</vt:lpstr>
      <vt:lpstr>B8</vt:lpstr>
      <vt:lpstr>B 8</vt:lpstr>
      <vt:lpstr>B10</vt:lpstr>
      <vt:lpstr>B 9</vt:lpstr>
      <vt:lpstr>B  8</vt:lpstr>
      <vt:lpstr>B13</vt:lpstr>
      <vt:lpstr>Sheet3</vt:lpstr>
      <vt:lpstr>'B 9'!Print_Titles</vt:lpstr>
      <vt:lpstr>'B1 TH'!Print_Titles</vt:lpstr>
      <vt:lpstr>'B10'!Print_Titles</vt:lpstr>
      <vt:lpstr>'B13'!Print_Titles</vt:lpstr>
      <vt:lpstr>'B2'!Print_Titles</vt:lpstr>
      <vt:lpstr>'B5'!Print_Titles</vt:lpstr>
      <vt:lpstr>'B6'!Print_Titles</vt:lpstr>
      <vt:lpstr>'B7'!Print_Titles</vt:lpstr>
      <vt:lpstr>'B8'!Print_Titles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2024-10-03T06:53:58Z</dcterms:modified>
</cp:coreProperties>
</file>