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20730" windowHeight="11760" firstSheet="1" activeTab="1"/>
  </bookViews>
  <sheets>
    <sheet name="Bieu CKGN (ko in)" sheetId="1" state="hidden" r:id="rId1"/>
    <sheet name="Biểu TH" sheetId="2" r:id="rId2"/>
    <sheet name="NSNN" sheetId="9" r:id="rId3"/>
    <sheet name="MTQG" sheetId="12" r:id="rId4"/>
    <sheet name="Định hướng năm 2024" sheetId="13" state="hidden" r:id="rId5"/>
    <sheet name="NSĐP (2)" sheetId="10" state="hidden" r:id="rId6"/>
    <sheet name="NSTW" sheetId="7" state="hidden" r:id="rId7"/>
    <sheet name="NSĐP" sheetId="6" state="hidden" r:id="rId8"/>
    <sheet name="CT MTQG" sheetId="8" state="hidden" r:id="rId9"/>
    <sheet name="Giải ngân vốn kéo dài" sheetId="5" state="hidden" r:id="rId10"/>
    <sheet name="Sheet1" sheetId="3" state="hidden" r:id="rId11"/>
    <sheet name="Sheet2" sheetId="14" state="hidden" r:id="rId12"/>
    <sheet name="TH MTQG" sheetId="15" r:id="rId13"/>
  </sheets>
  <definedNames>
    <definedName name="_xlnm.Print_Area" localSheetId="1">'Biểu TH'!$A$1:$N$16</definedName>
    <definedName name="_xlnm.Print_Area" localSheetId="8">'CT MTQG'!$A$1:$S$166</definedName>
    <definedName name="_xlnm.Print_Area" localSheetId="4">'Định hướng năm 2024'!$A$1:$O$261</definedName>
    <definedName name="_xlnm.Print_Area" localSheetId="9">'Giải ngân vốn kéo dài'!$A$1:$L$66</definedName>
    <definedName name="_xlnm.Print_Area" localSheetId="3">MTQG!$A$1:$U$143</definedName>
    <definedName name="_xlnm.Print_Area" localSheetId="7">NSĐP!$A$1:$S$92</definedName>
    <definedName name="_xlnm.Print_Area" localSheetId="5">'NSĐP (2)'!$A$1:$S$92</definedName>
    <definedName name="_xlnm.Print_Area" localSheetId="2">NSNN!$A$1:$O$80</definedName>
    <definedName name="_xlnm.Print_Area" localSheetId="6">NSTW!$A$1:$T$28</definedName>
    <definedName name="_xlnm.Print_Area" localSheetId="12">'TH MTQG'!$A$1:$R$131</definedName>
    <definedName name="_xlnm.Print_Titles" localSheetId="0">'Bieu CKGN (ko in)'!$5:$6</definedName>
    <definedName name="_xlnm.Print_Titles" localSheetId="1">'Biểu TH'!$5:$7</definedName>
    <definedName name="_xlnm.Print_Titles" localSheetId="8">'CT MTQG'!$5:$7</definedName>
    <definedName name="_xlnm.Print_Titles" localSheetId="4">'Định hướng năm 2024'!$5:$7</definedName>
    <definedName name="_xlnm.Print_Titles" localSheetId="9">'Giải ngân vốn kéo dài'!$5:$7</definedName>
    <definedName name="_xlnm.Print_Titles" localSheetId="3">MTQG!$5:$7</definedName>
    <definedName name="_xlnm.Print_Titles" localSheetId="7">NSĐP!$5:$7</definedName>
    <definedName name="_xlnm.Print_Titles" localSheetId="5">'NSĐP (2)'!$5:$7</definedName>
    <definedName name="_xlnm.Print_Titles" localSheetId="2">NSNN!$5:$7</definedName>
    <definedName name="_xlnm.Print_Titles" localSheetId="6">NSTW!$5:$7</definedName>
    <definedName name="_xlnm.Print_Titles" localSheetId="12">'TH MTQG'!$5:$6</definedName>
  </definedNames>
  <calcPr calcId="144525"/>
</workbook>
</file>

<file path=xl/calcChain.xml><?xml version="1.0" encoding="utf-8"?>
<calcChain xmlns="http://schemas.openxmlformats.org/spreadsheetml/2006/main">
  <c r="Q39" i="15" l="1"/>
  <c r="Q35" i="15"/>
  <c r="Q29" i="15"/>
  <c r="Q25" i="15"/>
  <c r="Q15" i="15"/>
  <c r="Q14" i="15"/>
  <c r="Q50" i="15"/>
  <c r="Q72" i="15"/>
  <c r="N39" i="15"/>
  <c r="N35" i="15"/>
  <c r="N29" i="15"/>
  <c r="N25" i="15"/>
  <c r="N50" i="15"/>
  <c r="N72" i="15"/>
  <c r="C57" i="15" l="1"/>
  <c r="G31" i="9"/>
  <c r="G22" i="9"/>
  <c r="H22" i="9"/>
  <c r="I22" i="9"/>
  <c r="J22" i="9"/>
  <c r="K22" i="9"/>
  <c r="F22" i="9"/>
  <c r="L29" i="9"/>
  <c r="G17" i="9" l="1"/>
  <c r="T37" i="15" l="1"/>
  <c r="P140" i="12" l="1"/>
  <c r="S140" i="12"/>
  <c r="AJ140" i="12"/>
  <c r="AK140" i="12"/>
  <c r="K67" i="15" l="1"/>
  <c r="K48" i="15"/>
  <c r="K41" i="15"/>
  <c r="K38" i="15"/>
  <c r="K28" i="15"/>
  <c r="K23" i="15"/>
  <c r="K16" i="15"/>
  <c r="K10" i="15"/>
  <c r="K35" i="15"/>
  <c r="D7" i="15"/>
  <c r="E7" i="15" s="1"/>
  <c r="F7" i="15" s="1"/>
  <c r="G7" i="15" s="1"/>
  <c r="H7" i="15" s="1"/>
  <c r="I7" i="15" s="1"/>
  <c r="J7" i="15" s="1"/>
  <c r="K7" i="15" s="1"/>
  <c r="L7" i="15" s="1"/>
  <c r="M7" i="15" s="1"/>
  <c r="N7" i="15" s="1"/>
  <c r="O7" i="15" s="1"/>
  <c r="P7" i="15" s="1"/>
  <c r="Q7" i="15" s="1"/>
  <c r="R7" i="15" s="1"/>
  <c r="E67" i="15"/>
  <c r="E64" i="15"/>
  <c r="E56" i="15"/>
  <c r="E53" i="15"/>
  <c r="E49" i="15"/>
  <c r="E38" i="15"/>
  <c r="E28" i="15"/>
  <c r="E24" i="15"/>
  <c r="E23" i="15" s="1"/>
  <c r="E16" i="15"/>
  <c r="E10" i="15"/>
  <c r="K9" i="15" l="1"/>
  <c r="K8" i="15" s="1"/>
  <c r="E48" i="15"/>
  <c r="E9" i="15"/>
  <c r="P126" i="15" l="1"/>
  <c r="P123" i="15"/>
  <c r="P117" i="15"/>
  <c r="P110" i="15"/>
  <c r="P102" i="15"/>
  <c r="P99" i="15"/>
  <c r="P96" i="15"/>
  <c r="P94" i="15"/>
  <c r="P84" i="15"/>
  <c r="P72" i="15"/>
  <c r="P68" i="15"/>
  <c r="P64" i="15"/>
  <c r="P61" i="15"/>
  <c r="P56" i="15"/>
  <c r="P53" i="15"/>
  <c r="P49" i="15"/>
  <c r="P42" i="15"/>
  <c r="P41" i="15" s="1"/>
  <c r="P38" i="15"/>
  <c r="P30" i="15"/>
  <c r="P28" i="15" s="1"/>
  <c r="P24" i="15"/>
  <c r="P23" i="15" s="1"/>
  <c r="P18" i="15"/>
  <c r="P16" i="15" s="1"/>
  <c r="P10" i="15"/>
  <c r="Q126" i="15"/>
  <c r="Q123" i="15"/>
  <c r="Q117" i="15"/>
  <c r="Q110" i="15"/>
  <c r="Q102" i="15"/>
  <c r="Q99" i="15"/>
  <c r="Q96" i="15"/>
  <c r="Q94" i="15"/>
  <c r="Q84" i="15"/>
  <c r="Q68" i="15"/>
  <c r="Q64" i="15"/>
  <c r="Q61" i="15"/>
  <c r="Q56" i="15"/>
  <c r="Q53" i="15"/>
  <c r="Q49" i="15"/>
  <c r="Q42" i="15"/>
  <c r="Q41" i="15" s="1"/>
  <c r="Q38" i="15"/>
  <c r="Q30" i="15"/>
  <c r="Q28" i="15" s="1"/>
  <c r="Q24" i="15"/>
  <c r="Q23" i="15" s="1"/>
  <c r="Q18" i="15"/>
  <c r="Q16" i="15" s="1"/>
  <c r="Q10" i="15"/>
  <c r="M126" i="15"/>
  <c r="M123" i="15"/>
  <c r="M117" i="15"/>
  <c r="M110" i="15"/>
  <c r="M102" i="15"/>
  <c r="M99" i="15"/>
  <c r="M96" i="15"/>
  <c r="M94" i="15"/>
  <c r="M84" i="15"/>
  <c r="M72" i="15"/>
  <c r="M68" i="15"/>
  <c r="M64" i="15"/>
  <c r="M61" i="15"/>
  <c r="M56" i="15"/>
  <c r="M53" i="15"/>
  <c r="M49" i="15"/>
  <c r="M42" i="15"/>
  <c r="M41" i="15"/>
  <c r="M38" i="15"/>
  <c r="M30" i="15"/>
  <c r="M28" i="15" s="1"/>
  <c r="M24" i="15"/>
  <c r="M23" i="15"/>
  <c r="M18" i="15"/>
  <c r="M16" i="15" s="1"/>
  <c r="M10" i="15"/>
  <c r="N126" i="15"/>
  <c r="N123" i="15"/>
  <c r="N117" i="15"/>
  <c r="N110" i="15"/>
  <c r="N102" i="15"/>
  <c r="N99" i="15"/>
  <c r="N96" i="15"/>
  <c r="N94" i="15"/>
  <c r="N84" i="15"/>
  <c r="N68" i="15"/>
  <c r="N64" i="15"/>
  <c r="N61" i="15"/>
  <c r="N56" i="15"/>
  <c r="N53" i="15"/>
  <c r="N49" i="15"/>
  <c r="N42" i="15"/>
  <c r="N41" i="15" s="1"/>
  <c r="N38" i="15"/>
  <c r="N30" i="15"/>
  <c r="N28" i="15" s="1"/>
  <c r="N24" i="15"/>
  <c r="N23" i="15" s="1"/>
  <c r="N18" i="15"/>
  <c r="N16" i="15" s="1"/>
  <c r="N10" i="15"/>
  <c r="I131" i="15"/>
  <c r="I130" i="15"/>
  <c r="I129" i="15"/>
  <c r="I128" i="15"/>
  <c r="I127" i="15"/>
  <c r="J126" i="15"/>
  <c r="I125" i="15"/>
  <c r="I124" i="15"/>
  <c r="J123" i="15"/>
  <c r="I122" i="15"/>
  <c r="I121" i="15"/>
  <c r="I120" i="15"/>
  <c r="I119" i="15"/>
  <c r="I118" i="15"/>
  <c r="J117" i="15"/>
  <c r="I116" i="15"/>
  <c r="I115" i="15"/>
  <c r="I114" i="15"/>
  <c r="I113" i="15"/>
  <c r="I112" i="15"/>
  <c r="I111" i="15"/>
  <c r="J110" i="15"/>
  <c r="I109" i="15"/>
  <c r="I108" i="15"/>
  <c r="I107" i="15"/>
  <c r="I106" i="15"/>
  <c r="I105" i="15"/>
  <c r="I104" i="15"/>
  <c r="I103" i="15"/>
  <c r="J102" i="15"/>
  <c r="I101" i="15"/>
  <c r="I100" i="15"/>
  <c r="J99" i="15"/>
  <c r="I98" i="15"/>
  <c r="I97" i="15"/>
  <c r="J96" i="15"/>
  <c r="I95" i="15"/>
  <c r="I94" i="15" s="1"/>
  <c r="J94" i="15"/>
  <c r="I93" i="15"/>
  <c r="I92" i="15"/>
  <c r="I91" i="15"/>
  <c r="I90" i="15"/>
  <c r="I89" i="15"/>
  <c r="I88" i="15"/>
  <c r="I87" i="15"/>
  <c r="I86" i="15"/>
  <c r="I85" i="15"/>
  <c r="J84" i="15"/>
  <c r="I84" i="15" s="1"/>
  <c r="I83" i="15"/>
  <c r="I82" i="15"/>
  <c r="I81" i="15"/>
  <c r="I80" i="15"/>
  <c r="I79" i="15"/>
  <c r="I78" i="15"/>
  <c r="I77" i="15"/>
  <c r="I76" i="15"/>
  <c r="I75" i="15"/>
  <c r="I74" i="15"/>
  <c r="I73" i="15"/>
  <c r="J72" i="15"/>
  <c r="I72" i="15" s="1"/>
  <c r="I71" i="15"/>
  <c r="I70" i="15"/>
  <c r="I69" i="15"/>
  <c r="J68" i="15"/>
  <c r="I66" i="15"/>
  <c r="I65" i="15"/>
  <c r="J64" i="15"/>
  <c r="I63" i="15"/>
  <c r="I62" i="15"/>
  <c r="J61" i="15"/>
  <c r="I60" i="15"/>
  <c r="I59" i="15"/>
  <c r="I58" i="15"/>
  <c r="I57" i="15"/>
  <c r="J56" i="15"/>
  <c r="I55" i="15"/>
  <c r="I54" i="15"/>
  <c r="J53" i="15"/>
  <c r="I52" i="15"/>
  <c r="I51" i="15"/>
  <c r="I50" i="15"/>
  <c r="J49" i="15"/>
  <c r="I47" i="15"/>
  <c r="I46" i="15"/>
  <c r="I45" i="15"/>
  <c r="I44" i="15"/>
  <c r="I43" i="15"/>
  <c r="J42" i="15"/>
  <c r="J41" i="15" s="1"/>
  <c r="I40" i="15"/>
  <c r="I39" i="15"/>
  <c r="J38" i="15"/>
  <c r="I37" i="15"/>
  <c r="I36" i="15"/>
  <c r="I35" i="15"/>
  <c r="I34" i="15"/>
  <c r="I33" i="15"/>
  <c r="I32" i="15"/>
  <c r="I31" i="15"/>
  <c r="J30" i="15"/>
  <c r="J28" i="15" s="1"/>
  <c r="I29" i="15"/>
  <c r="I27" i="15"/>
  <c r="I26" i="15"/>
  <c r="I25" i="15"/>
  <c r="J24" i="15"/>
  <c r="J23" i="15" s="1"/>
  <c r="I22" i="15"/>
  <c r="I21" i="15"/>
  <c r="I20" i="15"/>
  <c r="I19" i="15"/>
  <c r="J18" i="15"/>
  <c r="J16" i="15" s="1"/>
  <c r="I17" i="15"/>
  <c r="I15" i="15"/>
  <c r="I14" i="15"/>
  <c r="I13" i="15"/>
  <c r="I12" i="15"/>
  <c r="I11" i="15"/>
  <c r="J10" i="15"/>
  <c r="F131" i="15"/>
  <c r="F130" i="15"/>
  <c r="F129" i="15"/>
  <c r="F128" i="15"/>
  <c r="F127" i="15"/>
  <c r="F125" i="15"/>
  <c r="F124" i="15"/>
  <c r="F122" i="15"/>
  <c r="F121" i="15"/>
  <c r="F120" i="15"/>
  <c r="F119" i="15"/>
  <c r="F118" i="15"/>
  <c r="F116" i="15"/>
  <c r="F115" i="15"/>
  <c r="F114" i="15"/>
  <c r="F113" i="15"/>
  <c r="F112" i="15"/>
  <c r="F111" i="15"/>
  <c r="F109" i="15"/>
  <c r="F108" i="15"/>
  <c r="F107" i="15"/>
  <c r="F106" i="15"/>
  <c r="F105" i="15"/>
  <c r="F104" i="15"/>
  <c r="F103" i="15"/>
  <c r="F101" i="15"/>
  <c r="F100" i="15"/>
  <c r="F98" i="15"/>
  <c r="F97" i="15"/>
  <c r="F95" i="15"/>
  <c r="F93" i="15"/>
  <c r="F92" i="15"/>
  <c r="F91" i="15"/>
  <c r="F90" i="15"/>
  <c r="F89" i="15"/>
  <c r="F88" i="15"/>
  <c r="F87" i="15"/>
  <c r="F86" i="15"/>
  <c r="F85" i="15"/>
  <c r="F74" i="15"/>
  <c r="F75" i="15"/>
  <c r="F76" i="15"/>
  <c r="F77" i="15"/>
  <c r="F78" i="15"/>
  <c r="F79" i="15"/>
  <c r="F80" i="15"/>
  <c r="F81" i="15"/>
  <c r="F82" i="15"/>
  <c r="F83" i="15"/>
  <c r="F73" i="15"/>
  <c r="F70" i="15"/>
  <c r="F71" i="15"/>
  <c r="F69" i="15"/>
  <c r="F66" i="15"/>
  <c r="F65" i="15"/>
  <c r="F63" i="15"/>
  <c r="F62" i="15"/>
  <c r="F60" i="15"/>
  <c r="F59" i="15"/>
  <c r="F58" i="15"/>
  <c r="F57" i="15"/>
  <c r="F55" i="15"/>
  <c r="F54" i="15"/>
  <c r="F52" i="15"/>
  <c r="F51" i="15"/>
  <c r="F50" i="15"/>
  <c r="F47" i="15"/>
  <c r="F46" i="15"/>
  <c r="F45" i="15"/>
  <c r="F44" i="15"/>
  <c r="F43" i="15"/>
  <c r="F40" i="15"/>
  <c r="F39" i="15"/>
  <c r="F37" i="15"/>
  <c r="F36" i="15"/>
  <c r="F35" i="15"/>
  <c r="F34" i="15"/>
  <c r="F33" i="15"/>
  <c r="F32" i="15"/>
  <c r="F31" i="15"/>
  <c r="F29" i="15"/>
  <c r="F27" i="15"/>
  <c r="F26" i="15"/>
  <c r="F25" i="15"/>
  <c r="H16" i="15"/>
  <c r="F22" i="15"/>
  <c r="F21" i="15"/>
  <c r="F20" i="15"/>
  <c r="F19" i="15"/>
  <c r="F17" i="15"/>
  <c r="F15" i="15"/>
  <c r="F14" i="15"/>
  <c r="F12" i="15"/>
  <c r="F13" i="15"/>
  <c r="F11" i="15"/>
  <c r="G126" i="15"/>
  <c r="G123" i="15"/>
  <c r="G117" i="15"/>
  <c r="G110" i="15"/>
  <c r="G102" i="15"/>
  <c r="G99" i="15"/>
  <c r="G96" i="15"/>
  <c r="G94" i="15"/>
  <c r="G84" i="15"/>
  <c r="F84" i="15" s="1"/>
  <c r="G72" i="15"/>
  <c r="F72" i="15" s="1"/>
  <c r="G68" i="15"/>
  <c r="G64" i="15"/>
  <c r="G61" i="15"/>
  <c r="G56" i="15"/>
  <c r="G53" i="15"/>
  <c r="G49" i="15"/>
  <c r="G42" i="15"/>
  <c r="G41" i="15" s="1"/>
  <c r="G38" i="15"/>
  <c r="G30" i="15"/>
  <c r="G28" i="15" s="1"/>
  <c r="G24" i="15"/>
  <c r="G23" i="15" s="1"/>
  <c r="G18" i="15"/>
  <c r="G16" i="15" s="1"/>
  <c r="G10" i="15"/>
  <c r="C131" i="15"/>
  <c r="C130" i="15"/>
  <c r="C129" i="15"/>
  <c r="C128" i="15"/>
  <c r="C127" i="15"/>
  <c r="C125" i="15"/>
  <c r="C124" i="15"/>
  <c r="C122" i="15"/>
  <c r="C121" i="15"/>
  <c r="C120" i="15"/>
  <c r="C119" i="15"/>
  <c r="C118" i="15"/>
  <c r="C116" i="15"/>
  <c r="C115" i="15"/>
  <c r="C114" i="15"/>
  <c r="C113" i="15"/>
  <c r="C112" i="15"/>
  <c r="C111" i="15"/>
  <c r="C109" i="15"/>
  <c r="C108" i="15"/>
  <c r="C107" i="15"/>
  <c r="C106" i="15"/>
  <c r="C105" i="15"/>
  <c r="C104" i="15"/>
  <c r="C103" i="15"/>
  <c r="C101" i="15"/>
  <c r="C100" i="15"/>
  <c r="C98" i="15"/>
  <c r="C97" i="15"/>
  <c r="C95" i="15"/>
  <c r="C94" i="15" s="1"/>
  <c r="C93" i="15"/>
  <c r="C92" i="15"/>
  <c r="C91" i="15"/>
  <c r="C90" i="15"/>
  <c r="C89" i="15"/>
  <c r="C88" i="15"/>
  <c r="C87" i="15"/>
  <c r="C86" i="15"/>
  <c r="C85" i="15"/>
  <c r="C83" i="15"/>
  <c r="C82" i="15"/>
  <c r="C81" i="15"/>
  <c r="C80" i="15"/>
  <c r="C79" i="15"/>
  <c r="C78" i="15"/>
  <c r="C77" i="15"/>
  <c r="C76" i="15"/>
  <c r="C75" i="15"/>
  <c r="C74" i="15"/>
  <c r="C73" i="15"/>
  <c r="C71" i="15"/>
  <c r="C70" i="15"/>
  <c r="C69" i="15"/>
  <c r="C66" i="15"/>
  <c r="C65" i="15"/>
  <c r="C63" i="15"/>
  <c r="C62" i="15"/>
  <c r="C60" i="15"/>
  <c r="C59" i="15"/>
  <c r="C58" i="15"/>
  <c r="C55" i="15"/>
  <c r="C54" i="15"/>
  <c r="C52" i="15"/>
  <c r="C51" i="15"/>
  <c r="C50" i="15"/>
  <c r="C47" i="15"/>
  <c r="C46" i="15"/>
  <c r="C45" i="15"/>
  <c r="C44" i="15"/>
  <c r="C43" i="15"/>
  <c r="C40" i="15"/>
  <c r="C39" i="15"/>
  <c r="C37" i="15"/>
  <c r="C36" i="15"/>
  <c r="C35" i="15"/>
  <c r="C34" i="15"/>
  <c r="C33" i="15"/>
  <c r="C32" i="15"/>
  <c r="C31" i="15"/>
  <c r="C29" i="15"/>
  <c r="C27" i="15"/>
  <c r="C26" i="15"/>
  <c r="C25" i="15"/>
  <c r="C22" i="15"/>
  <c r="C21" i="15"/>
  <c r="C20" i="15"/>
  <c r="C19" i="15"/>
  <c r="C17" i="15"/>
  <c r="C15" i="15"/>
  <c r="C14" i="15"/>
  <c r="C13" i="15"/>
  <c r="C12" i="15"/>
  <c r="C11" i="15"/>
  <c r="E8" i="15"/>
  <c r="V4" i="15" s="1"/>
  <c r="D126" i="15"/>
  <c r="D123" i="15"/>
  <c r="D117" i="15"/>
  <c r="D110" i="15"/>
  <c r="D102" i="15"/>
  <c r="D99" i="15"/>
  <c r="D96" i="15"/>
  <c r="D94" i="15"/>
  <c r="D84" i="15"/>
  <c r="D72" i="15"/>
  <c r="C72" i="15" s="1"/>
  <c r="D68" i="15"/>
  <c r="D64" i="15"/>
  <c r="D61" i="15"/>
  <c r="D56" i="15"/>
  <c r="D53" i="15"/>
  <c r="D49" i="15"/>
  <c r="D42" i="15"/>
  <c r="D41" i="15" s="1"/>
  <c r="D38" i="15"/>
  <c r="D30" i="15"/>
  <c r="D28" i="15" s="1"/>
  <c r="D24" i="15"/>
  <c r="D23" i="15" s="1"/>
  <c r="D18" i="15"/>
  <c r="D16" i="15" s="1"/>
  <c r="D10" i="15"/>
  <c r="P67" i="15" l="1"/>
  <c r="I56" i="15"/>
  <c r="I64" i="15"/>
  <c r="N67" i="15"/>
  <c r="I99" i="15"/>
  <c r="M67" i="15"/>
  <c r="Q48" i="15"/>
  <c r="Q67" i="15"/>
  <c r="I68" i="15"/>
  <c r="P48" i="15"/>
  <c r="C24" i="15"/>
  <c r="C23" i="15" s="1"/>
  <c r="C99" i="15"/>
  <c r="I53" i="15"/>
  <c r="N9" i="15"/>
  <c r="P9" i="15"/>
  <c r="Q9" i="15"/>
  <c r="I10" i="15"/>
  <c r="C123" i="15"/>
  <c r="I30" i="15"/>
  <c r="I28" i="15" s="1"/>
  <c r="J48" i="15"/>
  <c r="M48" i="15"/>
  <c r="N48" i="15"/>
  <c r="M9" i="15"/>
  <c r="V9" i="15" s="1"/>
  <c r="I123" i="15"/>
  <c r="I24" i="15"/>
  <c r="I23" i="15" s="1"/>
  <c r="I96" i="15"/>
  <c r="I38" i="15"/>
  <c r="I49" i="15"/>
  <c r="I102" i="15"/>
  <c r="I117" i="15"/>
  <c r="C10" i="15"/>
  <c r="G48" i="15"/>
  <c r="J67" i="15"/>
  <c r="T67" i="15" s="1"/>
  <c r="C30" i="15"/>
  <c r="C28" i="15" s="1"/>
  <c r="C42" i="15"/>
  <c r="C41" i="15" s="1"/>
  <c r="I42" i="15"/>
  <c r="I41" i="15" s="1"/>
  <c r="I61" i="15"/>
  <c r="G67" i="15"/>
  <c r="I18" i="15"/>
  <c r="I16" i="15" s="1"/>
  <c r="I110" i="15"/>
  <c r="I126" i="15"/>
  <c r="J9" i="15"/>
  <c r="C53" i="15"/>
  <c r="C84" i="15"/>
  <c r="G9" i="15"/>
  <c r="C18" i="15"/>
  <c r="C16" i="15" s="1"/>
  <c r="C56" i="15"/>
  <c r="C96" i="15"/>
  <c r="C126" i="15"/>
  <c r="D67" i="15"/>
  <c r="D48" i="15"/>
  <c r="C49" i="15"/>
  <c r="C61" i="15"/>
  <c r="C68" i="15"/>
  <c r="C117" i="15"/>
  <c r="D9" i="15"/>
  <c r="C110" i="15"/>
  <c r="C38" i="15"/>
  <c r="C64" i="15"/>
  <c r="C102" i="15"/>
  <c r="N8" i="15" l="1"/>
  <c r="AA3" i="15" s="1"/>
  <c r="M8" i="15"/>
  <c r="U9" i="15"/>
  <c r="U48" i="15"/>
  <c r="T9" i="15"/>
  <c r="T48" i="15"/>
  <c r="U67" i="15"/>
  <c r="P8" i="15"/>
  <c r="Q8" i="15"/>
  <c r="C9" i="15"/>
  <c r="I48" i="15"/>
  <c r="I67" i="15"/>
  <c r="G8" i="15"/>
  <c r="I9" i="15"/>
  <c r="C48" i="15"/>
  <c r="J8" i="15"/>
  <c r="C67" i="15"/>
  <c r="D8" i="15"/>
  <c r="W3" i="15" l="1"/>
  <c r="Z4" i="15"/>
  <c r="V3" i="15"/>
  <c r="AA4" i="15"/>
  <c r="V8" i="15"/>
  <c r="Z3" i="15"/>
  <c r="W4" i="15"/>
  <c r="X4" i="15" s="1"/>
  <c r="C8" i="15"/>
  <c r="T8" i="15"/>
  <c r="U8" i="15"/>
  <c r="I8" i="15"/>
  <c r="O131" i="15"/>
  <c r="L131" i="15"/>
  <c r="O130" i="15"/>
  <c r="L130" i="15"/>
  <c r="O129" i="15"/>
  <c r="L129" i="15"/>
  <c r="O128" i="15"/>
  <c r="L128" i="15"/>
  <c r="O127" i="15"/>
  <c r="L127" i="15"/>
  <c r="O125" i="15"/>
  <c r="L125" i="15"/>
  <c r="O124" i="15"/>
  <c r="L124" i="15"/>
  <c r="O122" i="15"/>
  <c r="L122" i="15"/>
  <c r="O121" i="15"/>
  <c r="L121" i="15"/>
  <c r="O120" i="15"/>
  <c r="L120" i="15"/>
  <c r="O119" i="15"/>
  <c r="L119" i="15"/>
  <c r="O118" i="15"/>
  <c r="L118" i="15"/>
  <c r="O116" i="15"/>
  <c r="L116" i="15"/>
  <c r="O115" i="15"/>
  <c r="L115" i="15"/>
  <c r="O114" i="15"/>
  <c r="L114" i="15"/>
  <c r="O113" i="15"/>
  <c r="L113" i="15"/>
  <c r="O112" i="15"/>
  <c r="L112" i="15"/>
  <c r="O111" i="15"/>
  <c r="L111" i="15"/>
  <c r="O109" i="15"/>
  <c r="L109" i="15"/>
  <c r="O108" i="15"/>
  <c r="L108" i="15"/>
  <c r="O107" i="15"/>
  <c r="L107" i="15"/>
  <c r="O106" i="15"/>
  <c r="L106" i="15"/>
  <c r="O105" i="15"/>
  <c r="L105" i="15"/>
  <c r="O104" i="15"/>
  <c r="L104" i="15"/>
  <c r="F102" i="15"/>
  <c r="O103" i="15"/>
  <c r="L103" i="15"/>
  <c r="O101" i="15"/>
  <c r="L101" i="15"/>
  <c r="F99" i="15"/>
  <c r="O100" i="15"/>
  <c r="L100" i="15"/>
  <c r="O98" i="15"/>
  <c r="L98" i="15"/>
  <c r="O97" i="15"/>
  <c r="L97" i="15"/>
  <c r="O95" i="15"/>
  <c r="O94" i="15" s="1"/>
  <c r="L95" i="15"/>
  <c r="L94" i="15" s="1"/>
  <c r="F94" i="15"/>
  <c r="O93" i="15"/>
  <c r="L93" i="15"/>
  <c r="O92" i="15"/>
  <c r="L92" i="15"/>
  <c r="O91" i="15"/>
  <c r="L91" i="15"/>
  <c r="O90" i="15"/>
  <c r="L90" i="15"/>
  <c r="O89" i="15"/>
  <c r="L89" i="15"/>
  <c r="O88" i="15"/>
  <c r="L88" i="15"/>
  <c r="O87" i="15"/>
  <c r="L87" i="15"/>
  <c r="O86" i="15"/>
  <c r="L86" i="15"/>
  <c r="O85" i="15"/>
  <c r="L85" i="15"/>
  <c r="O83" i="15"/>
  <c r="L83" i="15"/>
  <c r="O82" i="15"/>
  <c r="L82" i="15"/>
  <c r="O81" i="15"/>
  <c r="L81" i="15"/>
  <c r="O80" i="15"/>
  <c r="L80" i="15"/>
  <c r="O79" i="15"/>
  <c r="L79" i="15"/>
  <c r="O78" i="15"/>
  <c r="L78" i="15"/>
  <c r="O77" i="15"/>
  <c r="L77" i="15"/>
  <c r="O76" i="15"/>
  <c r="L76" i="15"/>
  <c r="O75" i="15"/>
  <c r="L75" i="15"/>
  <c r="O74" i="15"/>
  <c r="L74" i="15"/>
  <c r="O73" i="15"/>
  <c r="L73" i="15"/>
  <c r="O72" i="15"/>
  <c r="L72" i="15"/>
  <c r="O71" i="15"/>
  <c r="L71" i="15"/>
  <c r="O70" i="15"/>
  <c r="L70" i="15"/>
  <c r="O69" i="15"/>
  <c r="L69" i="15"/>
  <c r="F68" i="15"/>
  <c r="O66" i="15"/>
  <c r="L66" i="15"/>
  <c r="O65" i="15"/>
  <c r="L65" i="15"/>
  <c r="O63" i="15"/>
  <c r="L63" i="15"/>
  <c r="O62" i="15"/>
  <c r="L62" i="15"/>
  <c r="F61" i="15"/>
  <c r="O60" i="15"/>
  <c r="L60" i="15"/>
  <c r="O59" i="15"/>
  <c r="L59" i="15"/>
  <c r="O58" i="15"/>
  <c r="L58" i="15"/>
  <c r="O57" i="15"/>
  <c r="F56" i="15"/>
  <c r="O55" i="15"/>
  <c r="L55" i="15"/>
  <c r="O54" i="15"/>
  <c r="L54" i="15"/>
  <c r="O52" i="15"/>
  <c r="L52" i="15"/>
  <c r="O51" i="15"/>
  <c r="L51" i="15"/>
  <c r="O50" i="15"/>
  <c r="L50" i="15"/>
  <c r="O47" i="15"/>
  <c r="L47" i="15"/>
  <c r="O46" i="15"/>
  <c r="L46" i="15"/>
  <c r="O45" i="15"/>
  <c r="L45" i="15"/>
  <c r="O44" i="15"/>
  <c r="L44" i="15"/>
  <c r="O43" i="15"/>
  <c r="L43" i="15"/>
  <c r="O40" i="15"/>
  <c r="L40" i="15"/>
  <c r="O39" i="15"/>
  <c r="L39" i="15"/>
  <c r="F38" i="15"/>
  <c r="O37" i="15"/>
  <c r="L37" i="15"/>
  <c r="O36" i="15"/>
  <c r="L36" i="15"/>
  <c r="O35" i="15"/>
  <c r="L35" i="15"/>
  <c r="O34" i="15"/>
  <c r="L34" i="15"/>
  <c r="O33" i="15"/>
  <c r="L33" i="15"/>
  <c r="O32" i="15"/>
  <c r="L32" i="15"/>
  <c r="O31" i="15"/>
  <c r="L31" i="15"/>
  <c r="F30" i="15"/>
  <c r="O29" i="15"/>
  <c r="L29" i="15"/>
  <c r="O27" i="15"/>
  <c r="L27" i="15"/>
  <c r="O26" i="15"/>
  <c r="L26" i="15"/>
  <c r="O25" i="15"/>
  <c r="L25" i="15"/>
  <c r="F24" i="15"/>
  <c r="F23" i="15" s="1"/>
  <c r="O22" i="15"/>
  <c r="L22" i="15"/>
  <c r="O21" i="15"/>
  <c r="L21" i="15"/>
  <c r="O20" i="15"/>
  <c r="L20" i="15"/>
  <c r="O19" i="15"/>
  <c r="L19" i="15"/>
  <c r="O17" i="15"/>
  <c r="L17" i="15"/>
  <c r="O15" i="15"/>
  <c r="L15" i="15"/>
  <c r="O14" i="15"/>
  <c r="L14" i="15"/>
  <c r="O13" i="15"/>
  <c r="L13" i="15"/>
  <c r="O12" i="15"/>
  <c r="L12" i="15"/>
  <c r="O11" i="15"/>
  <c r="L11" i="15"/>
  <c r="S141" i="12"/>
  <c r="S139" i="12"/>
  <c r="S121" i="12"/>
  <c r="S120" i="12"/>
  <c r="S119" i="12"/>
  <c r="S118" i="12"/>
  <c r="S117" i="12"/>
  <c r="S116" i="12"/>
  <c r="S115" i="12"/>
  <c r="S114" i="12"/>
  <c r="S113" i="12"/>
  <c r="S112" i="12"/>
  <c r="S102" i="12"/>
  <c r="S91" i="12"/>
  <c r="S88" i="12"/>
  <c r="S85" i="12"/>
  <c r="S83" i="12"/>
  <c r="S76" i="12"/>
  <c r="S75" i="12"/>
  <c r="S71" i="12"/>
  <c r="S44" i="12"/>
  <c r="S45" i="12"/>
  <c r="S46" i="12"/>
  <c r="S50" i="12"/>
  <c r="S52" i="12"/>
  <c r="S53" i="12"/>
  <c r="S54" i="12"/>
  <c r="S55" i="12"/>
  <c r="S34" i="12"/>
  <c r="S27" i="12"/>
  <c r="S26" i="12"/>
  <c r="S25" i="12"/>
  <c r="S24" i="12"/>
  <c r="S23" i="12"/>
  <c r="S22" i="12"/>
  <c r="S20" i="12"/>
  <c r="S17" i="12"/>
  <c r="S16" i="12"/>
  <c r="S13" i="12"/>
  <c r="P143" i="12"/>
  <c r="P141" i="12"/>
  <c r="P139" i="12"/>
  <c r="P138" i="12"/>
  <c r="P137" i="12"/>
  <c r="P136" i="12"/>
  <c r="P135" i="12"/>
  <c r="P134" i="12"/>
  <c r="P133" i="12"/>
  <c r="P132" i="12"/>
  <c r="P124" i="12"/>
  <c r="P125" i="12"/>
  <c r="P126" i="12"/>
  <c r="P127" i="12"/>
  <c r="P128" i="12"/>
  <c r="P129" i="12"/>
  <c r="P123" i="12"/>
  <c r="P121" i="12"/>
  <c r="P120" i="12"/>
  <c r="P119" i="12"/>
  <c r="P118" i="12"/>
  <c r="P117" i="12"/>
  <c r="P116" i="12"/>
  <c r="P115" i="12"/>
  <c r="P114" i="12"/>
  <c r="P113" i="12"/>
  <c r="P112" i="12"/>
  <c r="P111" i="12"/>
  <c r="P110" i="12"/>
  <c r="P109" i="12"/>
  <c r="P105" i="12"/>
  <c r="P104" i="12"/>
  <c r="P102" i="12"/>
  <c r="P101" i="12"/>
  <c r="P98" i="12"/>
  <c r="P97" i="12"/>
  <c r="P96" i="12"/>
  <c r="P95" i="12"/>
  <c r="P94" i="12"/>
  <c r="P93" i="12"/>
  <c r="P91" i="12"/>
  <c r="P90" i="12"/>
  <c r="P89" i="12"/>
  <c r="P88" i="12"/>
  <c r="P87" i="12"/>
  <c r="P86" i="12"/>
  <c r="P85" i="12"/>
  <c r="P84" i="12"/>
  <c r="P83" i="12"/>
  <c r="P82" i="12"/>
  <c r="P81" i="12"/>
  <c r="P80" i="12"/>
  <c r="P79" i="12"/>
  <c r="P78" i="12"/>
  <c r="P77" i="12"/>
  <c r="P76" i="12"/>
  <c r="P75" i="12"/>
  <c r="P74" i="12"/>
  <c r="P69" i="12"/>
  <c r="P68" i="12"/>
  <c r="P65" i="12"/>
  <c r="P64" i="12"/>
  <c r="P62" i="12"/>
  <c r="P61" i="12"/>
  <c r="P57" i="12"/>
  <c r="P55" i="12"/>
  <c r="P54" i="12"/>
  <c r="P53" i="12"/>
  <c r="P52" i="12"/>
  <c r="P51" i="12"/>
  <c r="P50" i="12"/>
  <c r="P49" i="12"/>
  <c r="P48" i="12"/>
  <c r="P47" i="12"/>
  <c r="P46" i="12"/>
  <c r="P45" i="12"/>
  <c r="P44" i="12"/>
  <c r="P43" i="12"/>
  <c r="P42" i="12"/>
  <c r="P41" i="12"/>
  <c r="P40" i="12"/>
  <c r="P39" i="12"/>
  <c r="P38" i="12"/>
  <c r="P37" i="12"/>
  <c r="P36" i="12"/>
  <c r="P35" i="12"/>
  <c r="P34" i="12"/>
  <c r="P31" i="12"/>
  <c r="P30" i="12"/>
  <c r="P29" i="12"/>
  <c r="O142" i="12"/>
  <c r="N142" i="12"/>
  <c r="O131" i="12"/>
  <c r="N131" i="12"/>
  <c r="O122" i="12"/>
  <c r="N122" i="12"/>
  <c r="O108" i="12"/>
  <c r="O107" i="12" s="1"/>
  <c r="N108" i="12"/>
  <c r="O103" i="12"/>
  <c r="N103" i="12"/>
  <c r="O100" i="12"/>
  <c r="O99" i="12" s="1"/>
  <c r="N100" i="12"/>
  <c r="O92" i="12"/>
  <c r="N92" i="12"/>
  <c r="O73" i="12"/>
  <c r="N73" i="12"/>
  <c r="O70" i="12"/>
  <c r="N70" i="12"/>
  <c r="O67" i="12"/>
  <c r="O66" i="12" s="1"/>
  <c r="N67" i="12"/>
  <c r="O63" i="12"/>
  <c r="N63" i="12"/>
  <c r="O60" i="12"/>
  <c r="N60" i="12"/>
  <c r="O56" i="12"/>
  <c r="N56" i="12"/>
  <c r="O33" i="12"/>
  <c r="O32" i="12" s="1"/>
  <c r="N33" i="12"/>
  <c r="O28" i="12"/>
  <c r="N28" i="12"/>
  <c r="O10" i="12"/>
  <c r="O9" i="12" s="1"/>
  <c r="N10" i="12"/>
  <c r="K142" i="12"/>
  <c r="K131" i="12"/>
  <c r="K122" i="12"/>
  <c r="K108" i="12"/>
  <c r="K107" i="12" s="1"/>
  <c r="K103" i="12"/>
  <c r="K100" i="12"/>
  <c r="K92" i="12"/>
  <c r="K73" i="12"/>
  <c r="K70" i="12"/>
  <c r="K67" i="12"/>
  <c r="K66" i="12" s="1"/>
  <c r="K63" i="12"/>
  <c r="K60" i="12"/>
  <c r="K56" i="12"/>
  <c r="K33" i="12"/>
  <c r="K28" i="12"/>
  <c r="K10" i="12"/>
  <c r="J142" i="12"/>
  <c r="J131" i="12"/>
  <c r="J122" i="12"/>
  <c r="J108" i="12"/>
  <c r="J107" i="12" s="1"/>
  <c r="J103" i="12"/>
  <c r="J100" i="12"/>
  <c r="J92" i="12"/>
  <c r="J73" i="12"/>
  <c r="J70" i="12"/>
  <c r="J67" i="12"/>
  <c r="J66" i="12" s="1"/>
  <c r="J63" i="12"/>
  <c r="J60" i="12"/>
  <c r="J56" i="12"/>
  <c r="J33" i="12"/>
  <c r="J28" i="12"/>
  <c r="J10" i="12"/>
  <c r="V2" i="15" l="1"/>
  <c r="X3" i="15"/>
  <c r="O106" i="12"/>
  <c r="N130" i="12"/>
  <c r="O130" i="12"/>
  <c r="O72" i="12"/>
  <c r="O59" i="12"/>
  <c r="N32" i="12"/>
  <c r="P33" i="12"/>
  <c r="P60" i="12"/>
  <c r="N66" i="12"/>
  <c r="P66" i="12" s="1"/>
  <c r="P67" i="12"/>
  <c r="P70" i="12"/>
  <c r="N72" i="12"/>
  <c r="P73" i="12"/>
  <c r="P92" i="12"/>
  <c r="P100" i="12"/>
  <c r="N99" i="12"/>
  <c r="P103" i="12"/>
  <c r="N107" i="12"/>
  <c r="P108" i="12"/>
  <c r="P122" i="12"/>
  <c r="P142" i="12"/>
  <c r="P131" i="12"/>
  <c r="L38" i="15"/>
  <c r="O42" i="15"/>
  <c r="O41" i="15" s="1"/>
  <c r="O53" i="15"/>
  <c r="O110" i="15"/>
  <c r="O38" i="15"/>
  <c r="L96" i="15"/>
  <c r="O123" i="15"/>
  <c r="L30" i="15"/>
  <c r="L28" i="15" s="1"/>
  <c r="L123" i="15"/>
  <c r="L24" i="15"/>
  <c r="L23" i="15" s="1"/>
  <c r="O61" i="15"/>
  <c r="O64" i="15"/>
  <c r="L99" i="15"/>
  <c r="L126" i="15"/>
  <c r="O102" i="15"/>
  <c r="O30" i="15"/>
  <c r="O28" i="15" s="1"/>
  <c r="O84" i="15"/>
  <c r="F28" i="15"/>
  <c r="O68" i="15"/>
  <c r="F117" i="15"/>
  <c r="O117" i="15"/>
  <c r="L10" i="15"/>
  <c r="L49" i="15"/>
  <c r="F10" i="15"/>
  <c r="L18" i="15"/>
  <c r="L16" i="15" s="1"/>
  <c r="L53" i="15"/>
  <c r="O56" i="15"/>
  <c r="L64" i="15"/>
  <c r="F96" i="15"/>
  <c r="O96" i="15"/>
  <c r="O99" i="15"/>
  <c r="L42" i="15"/>
  <c r="L41" i="15" s="1"/>
  <c r="L61" i="15"/>
  <c r="F110" i="15"/>
  <c r="F123" i="15"/>
  <c r="O49" i="15"/>
  <c r="F18" i="15"/>
  <c r="F16" i="15" s="1"/>
  <c r="F53" i="15"/>
  <c r="F64" i="15"/>
  <c r="O10" i="15"/>
  <c r="F49" i="15"/>
  <c r="O24" i="15"/>
  <c r="O23" i="15" s="1"/>
  <c r="O126" i="15"/>
  <c r="F126" i="15"/>
  <c r="O18" i="15"/>
  <c r="O16" i="15" s="1"/>
  <c r="F42" i="15"/>
  <c r="F41" i="15" s="1"/>
  <c r="L57" i="15"/>
  <c r="L56" i="15" s="1"/>
  <c r="L68" i="15"/>
  <c r="L102" i="15"/>
  <c r="L84" i="15"/>
  <c r="L117" i="15"/>
  <c r="L110" i="15"/>
  <c r="N9" i="12"/>
  <c r="J9" i="12"/>
  <c r="E14" i="2" s="1"/>
  <c r="J106" i="12"/>
  <c r="K72" i="12"/>
  <c r="N59" i="12"/>
  <c r="J72" i="12"/>
  <c r="K130" i="12"/>
  <c r="P130" i="12" s="1"/>
  <c r="J99" i="12"/>
  <c r="K32" i="12"/>
  <c r="D15" i="2" s="1"/>
  <c r="K59" i="12"/>
  <c r="K106" i="12"/>
  <c r="J59" i="12"/>
  <c r="K9" i="12"/>
  <c r="D14" i="2" s="1"/>
  <c r="K99" i="12"/>
  <c r="J32" i="12"/>
  <c r="E15" i="2" s="1"/>
  <c r="J130" i="12"/>
  <c r="O58" i="12" l="1"/>
  <c r="O8" i="12" s="1"/>
  <c r="P59" i="12"/>
  <c r="I14" i="2"/>
  <c r="L14" i="2" s="1"/>
  <c r="P9" i="12"/>
  <c r="N106" i="12"/>
  <c r="P107" i="12"/>
  <c r="P99" i="12"/>
  <c r="P72" i="12"/>
  <c r="I15" i="2"/>
  <c r="L15" i="2" s="1"/>
  <c r="P32" i="12"/>
  <c r="O48" i="15"/>
  <c r="O67" i="15"/>
  <c r="F9" i="15"/>
  <c r="O9" i="15"/>
  <c r="L9" i="15"/>
  <c r="L48" i="15"/>
  <c r="L67" i="15"/>
  <c r="F67" i="15"/>
  <c r="F48" i="15"/>
  <c r="J58" i="12"/>
  <c r="K58" i="12"/>
  <c r="P106" i="12" l="1"/>
  <c r="N58" i="12"/>
  <c r="J8" i="12"/>
  <c r="E16" i="2"/>
  <c r="K8" i="12"/>
  <c r="D16" i="2"/>
  <c r="O8" i="15"/>
  <c r="Z2" i="15" s="1"/>
  <c r="F8" i="15"/>
  <c r="L8" i="15"/>
  <c r="L80" i="9"/>
  <c r="L79" i="9"/>
  <c r="L77" i="9"/>
  <c r="L74" i="9"/>
  <c r="L70" i="9"/>
  <c r="L69" i="9"/>
  <c r="L67" i="9"/>
  <c r="L64" i="9"/>
  <c r="L63" i="9"/>
  <c r="L62" i="9"/>
  <c r="L61" i="9"/>
  <c r="L59" i="9"/>
  <c r="L58" i="9"/>
  <c r="L57" i="9"/>
  <c r="W2" i="15" l="1"/>
  <c r="AA2" i="15"/>
  <c r="N8" i="12"/>
  <c r="P8" i="12" s="1"/>
  <c r="I16" i="2"/>
  <c r="L16" i="2" s="1"/>
  <c r="P58" i="12"/>
  <c r="L54" i="9"/>
  <c r="L55" i="9"/>
  <c r="L52" i="9"/>
  <c r="L53" i="9"/>
  <c r="L50" i="9"/>
  <c r="L51" i="9"/>
  <c r="L49" i="9"/>
  <c r="L48" i="9"/>
  <c r="L46" i="9"/>
  <c r="L45" i="9"/>
  <c r="L44" i="9"/>
  <c r="L43" i="9" s="1"/>
  <c r="L41" i="9"/>
  <c r="L39" i="9"/>
  <c r="L40" i="9"/>
  <c r="L38" i="9"/>
  <c r="L33" i="9"/>
  <c r="L32" i="9" s="1"/>
  <c r="L31" i="9"/>
  <c r="L30" i="9" s="1"/>
  <c r="L28" i="9"/>
  <c r="L27" i="9"/>
  <c r="L26" i="9"/>
  <c r="L24" i="9"/>
  <c r="L25" i="9"/>
  <c r="L23" i="9"/>
  <c r="L17" i="9"/>
  <c r="L15" i="9" s="1"/>
  <c r="L16" i="9"/>
  <c r="L14" i="9"/>
  <c r="L78" i="9"/>
  <c r="L75" i="9" s="1"/>
  <c r="L73" i="9"/>
  <c r="L72" i="9" s="1"/>
  <c r="L68" i="9"/>
  <c r="L66" i="9"/>
  <c r="L60" i="9"/>
  <c r="L56" i="9"/>
  <c r="L18" i="9"/>
  <c r="L22" i="9" l="1"/>
  <c r="L21" i="9" s="1"/>
  <c r="L47" i="9"/>
  <c r="L37" i="9"/>
  <c r="L71" i="9"/>
  <c r="L65" i="9"/>
  <c r="M22" i="9"/>
  <c r="L13" i="9"/>
  <c r="L12" i="9" s="1"/>
  <c r="L9" i="9" s="1"/>
  <c r="L36" i="9" l="1"/>
  <c r="L35" i="9" s="1"/>
  <c r="L34" i="9" s="1"/>
  <c r="L20" i="9" s="1"/>
  <c r="L8" i="9" s="1"/>
  <c r="K13" i="9" l="1"/>
  <c r="K12" i="9" s="1"/>
  <c r="E10" i="2"/>
  <c r="AP9" i="9"/>
  <c r="G208" i="13"/>
  <c r="J4" i="14"/>
  <c r="I4" i="14"/>
  <c r="H78" i="9"/>
  <c r="I78" i="9"/>
  <c r="H76" i="9"/>
  <c r="I76" i="9"/>
  <c r="H73" i="9"/>
  <c r="H72" i="9" s="1"/>
  <c r="I73" i="9"/>
  <c r="I72" i="9" s="1"/>
  <c r="H68" i="9"/>
  <c r="I68" i="9"/>
  <c r="H66" i="9"/>
  <c r="I66" i="9"/>
  <c r="H60" i="9"/>
  <c r="I60" i="9"/>
  <c r="H56" i="9"/>
  <c r="I56" i="9"/>
  <c r="H47" i="9"/>
  <c r="I47" i="9"/>
  <c r="H43" i="9"/>
  <c r="I43" i="9"/>
  <c r="H37" i="9"/>
  <c r="I37" i="9"/>
  <c r="H32" i="9"/>
  <c r="I32" i="9"/>
  <c r="H30" i="9"/>
  <c r="I30" i="9"/>
  <c r="H18" i="9"/>
  <c r="I18" i="9"/>
  <c r="H15" i="9"/>
  <c r="I15" i="9"/>
  <c r="H12" i="9"/>
  <c r="I12" i="9"/>
  <c r="V3" i="13"/>
  <c r="N254" i="13"/>
  <c r="N255" i="13"/>
  <c r="N256" i="13"/>
  <c r="N257" i="13"/>
  <c r="N258" i="13"/>
  <c r="N253" i="13"/>
  <c r="M258" i="13"/>
  <c r="M256" i="13"/>
  <c r="M257" i="13"/>
  <c r="M235" i="13"/>
  <c r="M236" i="13"/>
  <c r="I205" i="13"/>
  <c r="J205" i="13"/>
  <c r="K205" i="13"/>
  <c r="L205" i="13"/>
  <c r="G205" i="13"/>
  <c r="N207" i="13"/>
  <c r="N208" i="13"/>
  <c r="M207" i="13"/>
  <c r="M208" i="13"/>
  <c r="H208" i="13"/>
  <c r="H207" i="13"/>
  <c r="H205" i="13" s="1"/>
  <c r="M237" i="13"/>
  <c r="M234" i="13"/>
  <c r="M193" i="13"/>
  <c r="N77" i="13"/>
  <c r="M101" i="13"/>
  <c r="M102" i="13"/>
  <c r="M103" i="13"/>
  <c r="M104" i="13"/>
  <c r="M105" i="13"/>
  <c r="M106" i="13"/>
  <c r="M108" i="13"/>
  <c r="M109" i="13"/>
  <c r="M110" i="13"/>
  <c r="M111" i="13"/>
  <c r="M112" i="13"/>
  <c r="M113" i="13"/>
  <c r="M114" i="13"/>
  <c r="M115" i="13"/>
  <c r="M116" i="13"/>
  <c r="M100" i="13"/>
  <c r="H80" i="13"/>
  <c r="H78" i="13"/>
  <c r="I78" i="13"/>
  <c r="J78" i="13"/>
  <c r="K78" i="13"/>
  <c r="L78" i="13"/>
  <c r="M79" i="13"/>
  <c r="M73" i="13"/>
  <c r="M74" i="13"/>
  <c r="M75" i="13"/>
  <c r="M76" i="13"/>
  <c r="M72" i="13"/>
  <c r="L62" i="13"/>
  <c r="L63" i="13"/>
  <c r="L64" i="13"/>
  <c r="L61" i="13"/>
  <c r="L58" i="13"/>
  <c r="L59" i="13"/>
  <c r="L57" i="13"/>
  <c r="L49" i="13"/>
  <c r="L50" i="13"/>
  <c r="L51" i="13"/>
  <c r="L52" i="13"/>
  <c r="L53" i="13"/>
  <c r="L54" i="13"/>
  <c r="L55" i="13"/>
  <c r="L48" i="13"/>
  <c r="N122" i="13"/>
  <c r="M80" i="13"/>
  <c r="M78" i="13"/>
  <c r="N193" i="13"/>
  <c r="H37" i="13"/>
  <c r="I37" i="13"/>
  <c r="J37" i="13"/>
  <c r="K37" i="13"/>
  <c r="L37" i="13"/>
  <c r="M37" i="13"/>
  <c r="N37" i="13"/>
  <c r="G37" i="13"/>
  <c r="N19" i="13"/>
  <c r="F12" i="12"/>
  <c r="M259" i="13"/>
  <c r="M255" i="13"/>
  <c r="M254" i="13"/>
  <c r="M253" i="13"/>
  <c r="M206" i="13"/>
  <c r="M197" i="13"/>
  <c r="M196" i="13"/>
  <c r="M195" i="13"/>
  <c r="M151" i="13"/>
  <c r="M150" i="13"/>
  <c r="M122" i="13"/>
  <c r="M69" i="13"/>
  <c r="M68" i="13"/>
  <c r="M65" i="13"/>
  <c r="M66" i="13"/>
  <c r="M33" i="13"/>
  <c r="M19" i="13"/>
  <c r="M205" i="13"/>
  <c r="N33" i="13"/>
  <c r="N197" i="13"/>
  <c r="N196" i="13"/>
  <c r="N195" i="13"/>
  <c r="N259" i="13"/>
  <c r="K251" i="13"/>
  <c r="K250" i="13"/>
  <c r="I251" i="13"/>
  <c r="I249" i="13"/>
  <c r="I248" i="13"/>
  <c r="I247" i="13"/>
  <c r="I246" i="13"/>
  <c r="I245" i="13"/>
  <c r="I244" i="13"/>
  <c r="I243" i="13"/>
  <c r="I242" i="13"/>
  <c r="I241" i="13"/>
  <c r="K241" i="13"/>
  <c r="K242" i="13"/>
  <c r="K243" i="13"/>
  <c r="K244" i="13"/>
  <c r="K245" i="13"/>
  <c r="K246" i="13"/>
  <c r="K247" i="13"/>
  <c r="K248" i="13"/>
  <c r="K249" i="13"/>
  <c r="K240" i="13"/>
  <c r="I240" i="13"/>
  <c r="H252" i="13"/>
  <c r="I252" i="13"/>
  <c r="J252" i="13"/>
  <c r="K252" i="13"/>
  <c r="L252" i="13"/>
  <c r="M252" i="13"/>
  <c r="H250" i="13"/>
  <c r="J250" i="13"/>
  <c r="L250" i="13"/>
  <c r="H239" i="13"/>
  <c r="J239" i="13"/>
  <c r="L239" i="13"/>
  <c r="G252" i="13"/>
  <c r="G250" i="13"/>
  <c r="G239" i="13"/>
  <c r="K227" i="13"/>
  <c r="K228" i="13"/>
  <c r="K229" i="13"/>
  <c r="K230" i="13"/>
  <c r="K231" i="13"/>
  <c r="K226" i="13"/>
  <c r="I227" i="13"/>
  <c r="I228" i="13"/>
  <c r="I229" i="13"/>
  <c r="I230" i="13"/>
  <c r="I231" i="13"/>
  <c r="I226" i="13"/>
  <c r="K213" i="13"/>
  <c r="K214" i="13"/>
  <c r="K215" i="13"/>
  <c r="K216" i="13"/>
  <c r="K217" i="13"/>
  <c r="K218" i="13"/>
  <c r="K219" i="13"/>
  <c r="K220" i="13"/>
  <c r="K221" i="13"/>
  <c r="K222" i="13"/>
  <c r="K223" i="13"/>
  <c r="K224" i="13"/>
  <c r="K212" i="13"/>
  <c r="I224" i="13"/>
  <c r="I223" i="13"/>
  <c r="I222" i="13"/>
  <c r="I221" i="13"/>
  <c r="I220" i="13"/>
  <c r="I219" i="13"/>
  <c r="I218" i="13"/>
  <c r="I217" i="13"/>
  <c r="M217" i="13"/>
  <c r="I216" i="13"/>
  <c r="I215" i="13"/>
  <c r="I214" i="13"/>
  <c r="I213" i="13"/>
  <c r="I212" i="13"/>
  <c r="H233" i="13"/>
  <c r="I233" i="13"/>
  <c r="J233" i="13"/>
  <c r="K233" i="13"/>
  <c r="L233" i="13"/>
  <c r="M233" i="13"/>
  <c r="N233" i="13"/>
  <c r="H225" i="13"/>
  <c r="J225" i="13"/>
  <c r="L225" i="13"/>
  <c r="H211" i="13"/>
  <c r="H210" i="13"/>
  <c r="J211" i="13"/>
  <c r="J210" i="13"/>
  <c r="L211" i="13"/>
  <c r="L210" i="13"/>
  <c r="G233" i="13"/>
  <c r="G225" i="13"/>
  <c r="G211" i="13"/>
  <c r="G210" i="13"/>
  <c r="N206" i="13"/>
  <c r="N205" i="13"/>
  <c r="K204" i="13"/>
  <c r="K203" i="13"/>
  <c r="I204" i="13"/>
  <c r="I203" i="13"/>
  <c r="K201" i="13"/>
  <c r="K200" i="13"/>
  <c r="I201" i="13"/>
  <c r="I200" i="13"/>
  <c r="H202" i="13"/>
  <c r="J202" i="13"/>
  <c r="L202" i="13"/>
  <c r="H199" i="13"/>
  <c r="J199" i="13"/>
  <c r="L199" i="13"/>
  <c r="G202" i="13"/>
  <c r="G199" i="13"/>
  <c r="G198" i="13"/>
  <c r="K185" i="13"/>
  <c r="K184" i="13"/>
  <c r="K183" i="13"/>
  <c r="K182" i="13"/>
  <c r="K181" i="13"/>
  <c r="K180" i="13"/>
  <c r="K179" i="13"/>
  <c r="K178" i="13"/>
  <c r="K177" i="13"/>
  <c r="K176" i="13"/>
  <c r="K175" i="13"/>
  <c r="K174" i="13"/>
  <c r="K173" i="13"/>
  <c r="K172" i="13"/>
  <c r="K171" i="13"/>
  <c r="K170" i="13"/>
  <c r="K169" i="13"/>
  <c r="K168" i="13"/>
  <c r="I188" i="13"/>
  <c r="I189" i="13"/>
  <c r="I190" i="13"/>
  <c r="I191" i="13"/>
  <c r="I192" i="13"/>
  <c r="I187" i="13"/>
  <c r="K188" i="13"/>
  <c r="K189" i="13"/>
  <c r="K190" i="13"/>
  <c r="K191" i="13"/>
  <c r="K192" i="13"/>
  <c r="K187" i="13"/>
  <c r="I185" i="13"/>
  <c r="I184" i="13"/>
  <c r="I183" i="13"/>
  <c r="I182" i="13"/>
  <c r="I181" i="13"/>
  <c r="I180" i="13"/>
  <c r="I179" i="13"/>
  <c r="I178" i="13"/>
  <c r="I177" i="13"/>
  <c r="I176" i="13"/>
  <c r="I175" i="13"/>
  <c r="I174" i="13"/>
  <c r="I173" i="13"/>
  <c r="I172" i="13"/>
  <c r="I171" i="13"/>
  <c r="I170" i="13"/>
  <c r="I169" i="13"/>
  <c r="I168" i="13"/>
  <c r="H194" i="13"/>
  <c r="I194" i="13"/>
  <c r="J194" i="13"/>
  <c r="K194" i="13"/>
  <c r="L194" i="13"/>
  <c r="M194" i="13"/>
  <c r="H186" i="13"/>
  <c r="J186" i="13"/>
  <c r="L186" i="13"/>
  <c r="H167" i="13"/>
  <c r="J167" i="13"/>
  <c r="L167" i="13"/>
  <c r="G194" i="13"/>
  <c r="G186" i="13"/>
  <c r="G167" i="13"/>
  <c r="K165" i="13"/>
  <c r="K164" i="13"/>
  <c r="I165" i="13"/>
  <c r="I164" i="13"/>
  <c r="J164" i="13"/>
  <c r="L164" i="13"/>
  <c r="M164" i="13"/>
  <c r="H164" i="13"/>
  <c r="K163" i="13"/>
  <c r="K162" i="13"/>
  <c r="I163" i="13"/>
  <c r="I162" i="13"/>
  <c r="I161" i="13"/>
  <c r="I160" i="13"/>
  <c r="H161" i="13"/>
  <c r="H160" i="13"/>
  <c r="J161" i="13"/>
  <c r="J160" i="13"/>
  <c r="L161" i="13"/>
  <c r="L160" i="13"/>
  <c r="G161" i="13"/>
  <c r="G160" i="13"/>
  <c r="K159" i="13"/>
  <c r="K158" i="13"/>
  <c r="K156" i="13"/>
  <c r="K155" i="13"/>
  <c r="K154" i="13"/>
  <c r="I159" i="13"/>
  <c r="I158" i="13"/>
  <c r="I156" i="13"/>
  <c r="I155" i="13"/>
  <c r="I154" i="13"/>
  <c r="H157" i="13"/>
  <c r="J157" i="13"/>
  <c r="L157" i="13"/>
  <c r="H154" i="13"/>
  <c r="H153" i="13"/>
  <c r="J154" i="13"/>
  <c r="L154" i="13"/>
  <c r="G157" i="13"/>
  <c r="G154" i="13"/>
  <c r="N151" i="13"/>
  <c r="N150" i="13"/>
  <c r="N149" i="13"/>
  <c r="K148" i="13"/>
  <c r="K147" i="13"/>
  <c r="K127" i="13"/>
  <c r="K128" i="13"/>
  <c r="K129" i="13"/>
  <c r="K130" i="13"/>
  <c r="K131" i="13"/>
  <c r="K132" i="13"/>
  <c r="K133" i="13"/>
  <c r="K134" i="13"/>
  <c r="K135" i="13"/>
  <c r="K136" i="13"/>
  <c r="K137" i="13"/>
  <c r="K138" i="13"/>
  <c r="K139" i="13"/>
  <c r="K140" i="13"/>
  <c r="K141" i="13"/>
  <c r="K142" i="13"/>
  <c r="K143" i="13"/>
  <c r="K144" i="13"/>
  <c r="K145" i="13"/>
  <c r="K146" i="13"/>
  <c r="K126" i="13"/>
  <c r="K125" i="13"/>
  <c r="K119" i="13"/>
  <c r="K120" i="13"/>
  <c r="K118" i="13"/>
  <c r="K107" i="13"/>
  <c r="M121" i="13"/>
  <c r="M92" i="13"/>
  <c r="N92" i="13"/>
  <c r="M71" i="13"/>
  <c r="M70" i="13"/>
  <c r="N71" i="13"/>
  <c r="M67" i="13"/>
  <c r="M47" i="13"/>
  <c r="N47" i="13"/>
  <c r="M43" i="13"/>
  <c r="N43" i="13"/>
  <c r="M32" i="13"/>
  <c r="M22" i="13"/>
  <c r="N22" i="13"/>
  <c r="M18" i="13"/>
  <c r="N12" i="13"/>
  <c r="I148" i="13"/>
  <c r="I146" i="13"/>
  <c r="I145" i="13"/>
  <c r="I144" i="13"/>
  <c r="I143" i="13"/>
  <c r="I142" i="13"/>
  <c r="I141" i="13"/>
  <c r="I140" i="13"/>
  <c r="I139" i="13"/>
  <c r="I138" i="13"/>
  <c r="I137" i="13"/>
  <c r="I136" i="13"/>
  <c r="I135" i="13"/>
  <c r="I134" i="13"/>
  <c r="I133" i="13"/>
  <c r="I132" i="13"/>
  <c r="I131" i="13"/>
  <c r="I130" i="13"/>
  <c r="I129" i="13"/>
  <c r="I128" i="13"/>
  <c r="I127" i="13"/>
  <c r="I126" i="13"/>
  <c r="I125" i="13"/>
  <c r="H149" i="13"/>
  <c r="I149" i="13"/>
  <c r="J149" i="13"/>
  <c r="K149" i="13"/>
  <c r="L149" i="13"/>
  <c r="H147" i="13"/>
  <c r="J147" i="13"/>
  <c r="L147" i="13"/>
  <c r="H124" i="13"/>
  <c r="J124" i="13"/>
  <c r="L124" i="13"/>
  <c r="N194" i="13"/>
  <c r="L123" i="13"/>
  <c r="H123" i="13"/>
  <c r="N136" i="13"/>
  <c r="M136" i="13"/>
  <c r="N176" i="13"/>
  <c r="M176" i="13"/>
  <c r="N203" i="13"/>
  <c r="M203" i="13"/>
  <c r="N221" i="13"/>
  <c r="M221" i="13"/>
  <c r="N247" i="13"/>
  <c r="M247" i="13"/>
  <c r="J123" i="13"/>
  <c r="N129" i="13"/>
  <c r="M129" i="13"/>
  <c r="N137" i="13"/>
  <c r="M137" i="13"/>
  <c r="N145" i="13"/>
  <c r="M145" i="13"/>
  <c r="I157" i="13"/>
  <c r="M159" i="13"/>
  <c r="N169" i="13"/>
  <c r="M169" i="13"/>
  <c r="N177" i="13"/>
  <c r="M177" i="13"/>
  <c r="N185" i="13"/>
  <c r="M185" i="13"/>
  <c r="N204" i="13"/>
  <c r="M204" i="13"/>
  <c r="N214" i="13"/>
  <c r="M214" i="13"/>
  <c r="N222" i="13"/>
  <c r="M222" i="13"/>
  <c r="N226" i="13"/>
  <c r="M226" i="13"/>
  <c r="N248" i="13"/>
  <c r="M248" i="13"/>
  <c r="N158" i="13"/>
  <c r="M158" i="13"/>
  <c r="N168" i="13"/>
  <c r="M168" i="13"/>
  <c r="N213" i="13"/>
  <c r="M213" i="13"/>
  <c r="N130" i="13"/>
  <c r="M130" i="13"/>
  <c r="N138" i="13"/>
  <c r="M138" i="13"/>
  <c r="N146" i="13"/>
  <c r="M146" i="13"/>
  <c r="N170" i="13"/>
  <c r="M170" i="13"/>
  <c r="N178" i="13"/>
  <c r="M178" i="13"/>
  <c r="I202" i="13"/>
  <c r="N215" i="13"/>
  <c r="M215" i="13"/>
  <c r="N223" i="13"/>
  <c r="M223" i="13"/>
  <c r="N241" i="13"/>
  <c r="M241" i="13"/>
  <c r="N249" i="13"/>
  <c r="M249" i="13"/>
  <c r="N144" i="13"/>
  <c r="M144" i="13"/>
  <c r="N184" i="13"/>
  <c r="M184" i="13"/>
  <c r="N179" i="13"/>
  <c r="M179" i="13"/>
  <c r="N216" i="13"/>
  <c r="M216" i="13"/>
  <c r="N242" i="13"/>
  <c r="M242" i="13"/>
  <c r="N162" i="13"/>
  <c r="M162" i="13"/>
  <c r="I167" i="13"/>
  <c r="N172" i="13"/>
  <c r="M172" i="13"/>
  <c r="N180" i="13"/>
  <c r="M180" i="13"/>
  <c r="N200" i="13"/>
  <c r="M200" i="13"/>
  <c r="N243" i="13"/>
  <c r="M243" i="13"/>
  <c r="N128" i="13"/>
  <c r="M128" i="13"/>
  <c r="N251" i="13"/>
  <c r="N250" i="13"/>
  <c r="M251" i="13"/>
  <c r="M250" i="13"/>
  <c r="N133" i="13"/>
  <c r="M133" i="13"/>
  <c r="N141" i="13"/>
  <c r="M141" i="13"/>
  <c r="N163" i="13"/>
  <c r="N161" i="13" s="1"/>
  <c r="N160" i="13" s="1"/>
  <c r="M163" i="13"/>
  <c r="N173" i="13"/>
  <c r="M173" i="13"/>
  <c r="N181" i="13"/>
  <c r="M181" i="13"/>
  <c r="I199" i="13"/>
  <c r="I198" i="13"/>
  <c r="N201" i="13"/>
  <c r="M201" i="13"/>
  <c r="M199" i="13" s="1"/>
  <c r="N218" i="13"/>
  <c r="M218" i="13"/>
  <c r="N244" i="13"/>
  <c r="M244" i="13"/>
  <c r="I153" i="13"/>
  <c r="N187" i="13"/>
  <c r="M187" i="13"/>
  <c r="N139" i="13"/>
  <c r="M139" i="13"/>
  <c r="N224" i="13"/>
  <c r="M224" i="13"/>
  <c r="N132" i="13"/>
  <c r="M132" i="13"/>
  <c r="N125" i="13"/>
  <c r="M125" i="13"/>
  <c r="N126" i="13"/>
  <c r="M126" i="13"/>
  <c r="N134" i="13"/>
  <c r="M134" i="13"/>
  <c r="N142" i="13"/>
  <c r="M142" i="13"/>
  <c r="N155" i="13"/>
  <c r="M155" i="13"/>
  <c r="N174" i="13"/>
  <c r="M174" i="13"/>
  <c r="N182" i="13"/>
  <c r="M182" i="13"/>
  <c r="N219" i="13"/>
  <c r="M219" i="13"/>
  <c r="N245" i="13"/>
  <c r="M245" i="13"/>
  <c r="N131" i="13"/>
  <c r="M131" i="13"/>
  <c r="N148" i="13"/>
  <c r="N147" i="13"/>
  <c r="M148" i="13"/>
  <c r="M147" i="13"/>
  <c r="N171" i="13"/>
  <c r="M171" i="13"/>
  <c r="N140" i="13"/>
  <c r="M140" i="13"/>
  <c r="I147" i="13"/>
  <c r="N127" i="13"/>
  <c r="M127" i="13"/>
  <c r="N135" i="13"/>
  <c r="M135" i="13"/>
  <c r="N143" i="13"/>
  <c r="M143" i="13"/>
  <c r="J153" i="13"/>
  <c r="N156" i="13"/>
  <c r="M156" i="13"/>
  <c r="G166" i="13"/>
  <c r="N175" i="13"/>
  <c r="M175" i="13"/>
  <c r="N183" i="13"/>
  <c r="M183" i="13"/>
  <c r="N212" i="13"/>
  <c r="M212" i="13"/>
  <c r="N220" i="13"/>
  <c r="M220" i="13"/>
  <c r="I250" i="13"/>
  <c r="N240" i="13"/>
  <c r="M240" i="13"/>
  <c r="N246" i="13"/>
  <c r="M246" i="13"/>
  <c r="K211" i="13"/>
  <c r="K210" i="13"/>
  <c r="K239" i="13"/>
  <c r="K238" i="13"/>
  <c r="K157" i="13"/>
  <c r="K153" i="13"/>
  <c r="N231" i="13"/>
  <c r="M231" i="13"/>
  <c r="I225" i="13"/>
  <c r="M230" i="13"/>
  <c r="N229" i="13"/>
  <c r="M229" i="13"/>
  <c r="N228" i="13"/>
  <c r="M228" i="13"/>
  <c r="N227" i="13"/>
  <c r="M227" i="13"/>
  <c r="K225" i="13"/>
  <c r="K186" i="13"/>
  <c r="K124" i="13"/>
  <c r="K123" i="13"/>
  <c r="N189" i="13"/>
  <c r="M189" i="13"/>
  <c r="N188" i="13"/>
  <c r="M188" i="13"/>
  <c r="N192" i="13"/>
  <c r="M192" i="13"/>
  <c r="N191" i="13"/>
  <c r="M191" i="13"/>
  <c r="N190" i="13"/>
  <c r="M190" i="13"/>
  <c r="I124" i="13"/>
  <c r="G153" i="13"/>
  <c r="G238" i="13"/>
  <c r="N159" i="13"/>
  <c r="N157" i="13" s="1"/>
  <c r="L153" i="13"/>
  <c r="I211" i="13"/>
  <c r="I210" i="13"/>
  <c r="N230" i="13"/>
  <c r="K161" i="13"/>
  <c r="K160" i="13"/>
  <c r="K199" i="13"/>
  <c r="N217" i="13"/>
  <c r="N165" i="13"/>
  <c r="N164" i="13"/>
  <c r="I186" i="13"/>
  <c r="I166" i="13"/>
  <c r="K167" i="13"/>
  <c r="L198" i="13"/>
  <c r="G209" i="13"/>
  <c r="I239" i="13"/>
  <c r="I238" i="13"/>
  <c r="N252" i="13"/>
  <c r="L238" i="13"/>
  <c r="H238" i="13"/>
  <c r="J238" i="13"/>
  <c r="L209" i="13"/>
  <c r="H209" i="13"/>
  <c r="J209" i="13"/>
  <c r="H198" i="13"/>
  <c r="K202" i="13"/>
  <c r="J198" i="13"/>
  <c r="J166" i="13"/>
  <c r="L166" i="13"/>
  <c r="H166" i="13"/>
  <c r="N239" i="13"/>
  <c r="N202" i="13"/>
  <c r="M211" i="13"/>
  <c r="M210" i="13"/>
  <c r="N154" i="13"/>
  <c r="N124" i="13"/>
  <c r="N123" i="13"/>
  <c r="M154" i="13"/>
  <c r="K198" i="13"/>
  <c r="I123" i="13"/>
  <c r="M124" i="13"/>
  <c r="M123" i="13"/>
  <c r="N199" i="13"/>
  <c r="N198" i="13"/>
  <c r="M239" i="13"/>
  <c r="M238" i="13"/>
  <c r="M161" i="13"/>
  <c r="M160" i="13"/>
  <c r="N211" i="13"/>
  <c r="N210" i="13"/>
  <c r="M167" i="13"/>
  <c r="M202" i="13"/>
  <c r="M198" i="13"/>
  <c r="M157" i="13"/>
  <c r="M153" i="13"/>
  <c r="J152" i="13"/>
  <c r="W6" i="13"/>
  <c r="I209" i="13"/>
  <c r="I152" i="13"/>
  <c r="K209" i="13"/>
  <c r="K166" i="13"/>
  <c r="N238" i="13"/>
  <c r="M225" i="13"/>
  <c r="H152" i="13"/>
  <c r="N225" i="13"/>
  <c r="N209" i="13"/>
  <c r="N186" i="13"/>
  <c r="M186" i="13"/>
  <c r="L152" i="13"/>
  <c r="G152" i="13"/>
  <c r="N153" i="13"/>
  <c r="M209" i="13"/>
  <c r="M166" i="13"/>
  <c r="M152" i="13"/>
  <c r="K152" i="13"/>
  <c r="G149" i="13"/>
  <c r="G147" i="13"/>
  <c r="G124" i="13"/>
  <c r="N116" i="13"/>
  <c r="N115" i="13"/>
  <c r="N114" i="13"/>
  <c r="N110" i="13"/>
  <c r="N111" i="13"/>
  <c r="N112" i="13"/>
  <c r="N113" i="13"/>
  <c r="N109" i="13"/>
  <c r="N108" i="13"/>
  <c r="G123" i="13"/>
  <c r="N106" i="13"/>
  <c r="N105" i="13"/>
  <c r="N104" i="13"/>
  <c r="N103" i="13"/>
  <c r="N101" i="13"/>
  <c r="N102" i="13"/>
  <c r="N100" i="13"/>
  <c r="I119" i="13"/>
  <c r="I120" i="13"/>
  <c r="I118" i="13"/>
  <c r="I107" i="13"/>
  <c r="M118" i="13"/>
  <c r="N118" i="13"/>
  <c r="N107" i="13"/>
  <c r="N99" i="13"/>
  <c r="M107" i="13"/>
  <c r="M99" i="13"/>
  <c r="M120" i="13"/>
  <c r="N120" i="13"/>
  <c r="M119" i="13"/>
  <c r="N119" i="13"/>
  <c r="H121" i="13"/>
  <c r="I121" i="13"/>
  <c r="J121" i="13"/>
  <c r="K121" i="13"/>
  <c r="L121" i="13"/>
  <c r="N121" i="13"/>
  <c r="G121" i="13"/>
  <c r="H99" i="13"/>
  <c r="I99" i="13"/>
  <c r="J99" i="13"/>
  <c r="K99" i="13"/>
  <c r="L99" i="13"/>
  <c r="H117" i="13"/>
  <c r="I117" i="13"/>
  <c r="J117" i="13"/>
  <c r="K117" i="13"/>
  <c r="L117" i="13"/>
  <c r="G117" i="13"/>
  <c r="G99" i="13"/>
  <c r="R65" i="6"/>
  <c r="H65" i="6"/>
  <c r="I65" i="6"/>
  <c r="J65" i="6"/>
  <c r="K65" i="6"/>
  <c r="L65" i="6"/>
  <c r="M65" i="6"/>
  <c r="N65" i="6"/>
  <c r="O65" i="6"/>
  <c r="P65" i="6"/>
  <c r="N80" i="13"/>
  <c r="H71" i="13"/>
  <c r="I71" i="13"/>
  <c r="J71" i="13"/>
  <c r="J70" i="13"/>
  <c r="K71" i="13"/>
  <c r="K70" i="13"/>
  <c r="L71" i="13"/>
  <c r="G78" i="13"/>
  <c r="G71" i="13"/>
  <c r="H67" i="13"/>
  <c r="I67" i="13"/>
  <c r="J67" i="13"/>
  <c r="K67" i="13"/>
  <c r="L67" i="13"/>
  <c r="G67" i="13"/>
  <c r="N69" i="13"/>
  <c r="N68" i="13"/>
  <c r="N66" i="13"/>
  <c r="N65" i="13"/>
  <c r="H60" i="13"/>
  <c r="J60" i="13"/>
  <c r="K60" i="13"/>
  <c r="L60" i="13"/>
  <c r="G60" i="13"/>
  <c r="N32" i="13"/>
  <c r="N78" i="13"/>
  <c r="N70" i="13"/>
  <c r="G98" i="13"/>
  <c r="G97" i="13"/>
  <c r="M117" i="13"/>
  <c r="M98" i="13"/>
  <c r="M97" i="13"/>
  <c r="N117" i="13"/>
  <c r="N98" i="13"/>
  <c r="H70" i="13"/>
  <c r="I70" i="13"/>
  <c r="N67" i="13"/>
  <c r="H98" i="13"/>
  <c r="H97" i="13"/>
  <c r="L98" i="13"/>
  <c r="L97" i="13"/>
  <c r="K98" i="13"/>
  <c r="K97" i="13"/>
  <c r="J98" i="13"/>
  <c r="J97" i="13"/>
  <c r="W5" i="13"/>
  <c r="I98" i="13"/>
  <c r="I97" i="13"/>
  <c r="G70" i="13"/>
  <c r="L70" i="13"/>
  <c r="H32" i="13"/>
  <c r="I32" i="13"/>
  <c r="J32" i="13"/>
  <c r="K32" i="13"/>
  <c r="L32" i="13"/>
  <c r="G32" i="13"/>
  <c r="N18" i="13"/>
  <c r="I326" i="13"/>
  <c r="I325" i="13"/>
  <c r="V280" i="13"/>
  <c r="S280" i="13"/>
  <c r="I280" i="13"/>
  <c r="G280" i="13"/>
  <c r="S279" i="13"/>
  <c r="I279" i="13"/>
  <c r="G279" i="13"/>
  <c r="S278" i="13"/>
  <c r="I278" i="13"/>
  <c r="G278" i="13"/>
  <c r="S277" i="13"/>
  <c r="I277" i="13"/>
  <c r="W277" i="13"/>
  <c r="G277" i="13"/>
  <c r="S276" i="13"/>
  <c r="I276" i="13"/>
  <c r="W276" i="13"/>
  <c r="G276" i="13"/>
  <c r="S275" i="13"/>
  <c r="I275" i="13"/>
  <c r="G275" i="13"/>
  <c r="S274" i="13"/>
  <c r="I274" i="13"/>
  <c r="W274" i="13"/>
  <c r="G274" i="13"/>
  <c r="S273" i="13"/>
  <c r="I273" i="13"/>
  <c r="G273" i="13"/>
  <c r="S272" i="13"/>
  <c r="I272" i="13"/>
  <c r="G272" i="13"/>
  <c r="S271" i="13"/>
  <c r="I271" i="13"/>
  <c r="G271" i="13"/>
  <c r="S270" i="13"/>
  <c r="I270" i="13"/>
  <c r="G270" i="13"/>
  <c r="S269" i="13"/>
  <c r="I269" i="13"/>
  <c r="W269" i="13"/>
  <c r="G269" i="13"/>
  <c r="S268" i="13"/>
  <c r="I268" i="13"/>
  <c r="G268" i="13"/>
  <c r="S267" i="13"/>
  <c r="I267" i="13"/>
  <c r="G267" i="13"/>
  <c r="S266" i="13"/>
  <c r="I266" i="13"/>
  <c r="G266" i="13"/>
  <c r="S265" i="13"/>
  <c r="I265" i="13"/>
  <c r="G265" i="13"/>
  <c r="S264" i="13"/>
  <c r="I264" i="13"/>
  <c r="G264" i="13"/>
  <c r="S263" i="13"/>
  <c r="K96" i="13"/>
  <c r="I96" i="13"/>
  <c r="K95" i="13"/>
  <c r="I95" i="13"/>
  <c r="L94" i="13"/>
  <c r="J94" i="13"/>
  <c r="H94" i="13"/>
  <c r="G94" i="13"/>
  <c r="K93" i="13"/>
  <c r="K92" i="13"/>
  <c r="I93" i="13"/>
  <c r="I92" i="13"/>
  <c r="L92" i="13"/>
  <c r="J92" i="13"/>
  <c r="H92" i="13"/>
  <c r="G92" i="13"/>
  <c r="K90" i="13"/>
  <c r="K89" i="13"/>
  <c r="K88" i="13"/>
  <c r="I90" i="13"/>
  <c r="L89" i="13"/>
  <c r="L88" i="13"/>
  <c r="J89" i="13"/>
  <c r="J88" i="13"/>
  <c r="H89" i="13"/>
  <c r="H88" i="13"/>
  <c r="G89" i="13"/>
  <c r="G88" i="13"/>
  <c r="K86" i="13"/>
  <c r="I86" i="13"/>
  <c r="M86" i="13"/>
  <c r="N86" i="13"/>
  <c r="K85" i="13"/>
  <c r="I85" i="13"/>
  <c r="M85" i="13"/>
  <c r="L84" i="13"/>
  <c r="J84" i="13"/>
  <c r="H84" i="13"/>
  <c r="G84" i="13"/>
  <c r="K83" i="13"/>
  <c r="K82" i="13"/>
  <c r="I83" i="13"/>
  <c r="M83" i="13"/>
  <c r="L82" i="13"/>
  <c r="J82" i="13"/>
  <c r="H82" i="13"/>
  <c r="G82" i="13"/>
  <c r="I64" i="13"/>
  <c r="I63" i="13"/>
  <c r="I62" i="13"/>
  <c r="I61" i="13"/>
  <c r="I59" i="13"/>
  <c r="I58" i="13"/>
  <c r="I57" i="13"/>
  <c r="L56" i="13"/>
  <c r="K56" i="13"/>
  <c r="J56" i="13"/>
  <c r="H56" i="13"/>
  <c r="G56" i="13"/>
  <c r="I55" i="13"/>
  <c r="I54" i="13"/>
  <c r="I53" i="13"/>
  <c r="I52" i="13"/>
  <c r="I51" i="13"/>
  <c r="I50" i="13"/>
  <c r="I49" i="13"/>
  <c r="I48" i="13"/>
  <c r="L47" i="13"/>
  <c r="K47" i="13"/>
  <c r="J47" i="13"/>
  <c r="H47" i="13"/>
  <c r="G47" i="13"/>
  <c r="I46" i="13"/>
  <c r="I45" i="13"/>
  <c r="I44" i="13"/>
  <c r="L43" i="13"/>
  <c r="K43" i="13"/>
  <c r="J43" i="13"/>
  <c r="J36" i="13"/>
  <c r="H43" i="13"/>
  <c r="H36" i="13"/>
  <c r="G43" i="13"/>
  <c r="G36" i="13"/>
  <c r="K31" i="13"/>
  <c r="K30" i="13"/>
  <c r="I31" i="13"/>
  <c r="L30" i="13"/>
  <c r="J30" i="13"/>
  <c r="H30" i="13"/>
  <c r="G30" i="13"/>
  <c r="K29" i="13"/>
  <c r="K28" i="13"/>
  <c r="I29" i="13"/>
  <c r="L28" i="13"/>
  <c r="J28" i="13"/>
  <c r="H28" i="13"/>
  <c r="G28" i="13"/>
  <c r="K27" i="13"/>
  <c r="K26" i="13"/>
  <c r="K25" i="13"/>
  <c r="K24" i="13"/>
  <c r="K23" i="13"/>
  <c r="L22" i="13"/>
  <c r="J22" i="13"/>
  <c r="I22" i="13"/>
  <c r="H22" i="13"/>
  <c r="G22" i="13"/>
  <c r="L18" i="13"/>
  <c r="K18" i="13"/>
  <c r="J18" i="13"/>
  <c r="I18" i="13"/>
  <c r="H18" i="13"/>
  <c r="G18" i="13"/>
  <c r="AG17" i="13"/>
  <c r="AE17" i="13"/>
  <c r="V17" i="13"/>
  <c r="I17" i="13"/>
  <c r="AE16" i="13"/>
  <c r="I16" i="13"/>
  <c r="G16" i="13"/>
  <c r="F16" i="13"/>
  <c r="B16" i="13"/>
  <c r="L15" i="13"/>
  <c r="K15" i="13"/>
  <c r="J15" i="13"/>
  <c r="H15" i="13"/>
  <c r="AE14" i="13"/>
  <c r="W14" i="13"/>
  <c r="I14" i="13"/>
  <c r="Z14" i="13"/>
  <c r="AB14" i="13"/>
  <c r="G14" i="13"/>
  <c r="F14" i="13"/>
  <c r="B14" i="13"/>
  <c r="A14" i="13"/>
  <c r="AH13" i="13"/>
  <c r="AE13" i="13"/>
  <c r="X13" i="13"/>
  <c r="W13" i="13"/>
  <c r="I13" i="13"/>
  <c r="G13" i="13"/>
  <c r="M13" i="13"/>
  <c r="F13" i="13"/>
  <c r="B13" i="13"/>
  <c r="A13" i="13"/>
  <c r="L12" i="13"/>
  <c r="K12" i="13"/>
  <c r="J12" i="13"/>
  <c r="H12" i="13"/>
  <c r="V11" i="13"/>
  <c r="T11" i="13"/>
  <c r="B9" i="13"/>
  <c r="W8" i="13"/>
  <c r="T5" i="13"/>
  <c r="I28" i="13"/>
  <c r="M29" i="13"/>
  <c r="M28" i="13"/>
  <c r="N96" i="13"/>
  <c r="M96" i="13"/>
  <c r="N57" i="13"/>
  <c r="M57" i="13"/>
  <c r="H9" i="13"/>
  <c r="M14" i="13"/>
  <c r="M12" i="13"/>
  <c r="K36" i="13"/>
  <c r="N58" i="13"/>
  <c r="M58" i="13"/>
  <c r="N85" i="13"/>
  <c r="M84" i="13"/>
  <c r="M90" i="13"/>
  <c r="AD17" i="13"/>
  <c r="M17" i="13"/>
  <c r="J9" i="13"/>
  <c r="N59" i="13"/>
  <c r="N56" i="13" s="1"/>
  <c r="M59" i="13"/>
  <c r="N61" i="13"/>
  <c r="M61" i="13"/>
  <c r="N83" i="13"/>
  <c r="N82" i="13"/>
  <c r="M82" i="13"/>
  <c r="M81" i="13"/>
  <c r="I30" i="13"/>
  <c r="M31" i="13"/>
  <c r="M30" i="13"/>
  <c r="N62" i="13"/>
  <c r="M62" i="13"/>
  <c r="N63" i="13"/>
  <c r="M63" i="13"/>
  <c r="N95" i="13"/>
  <c r="N94" i="13"/>
  <c r="N91" i="13"/>
  <c r="M95" i="13"/>
  <c r="M94" i="13"/>
  <c r="N64" i="13"/>
  <c r="M64" i="13"/>
  <c r="G15" i="13"/>
  <c r="M16" i="13"/>
  <c r="M15" i="13"/>
  <c r="L36" i="13"/>
  <c r="I263" i="13"/>
  <c r="I262" i="13"/>
  <c r="N84" i="13"/>
  <c r="S262" i="13"/>
  <c r="G21" i="13"/>
  <c r="L91" i="13"/>
  <c r="L87" i="13"/>
  <c r="G12" i="13"/>
  <c r="G263" i="13"/>
  <c r="G262" i="13"/>
  <c r="I82" i="13"/>
  <c r="I89" i="13"/>
  <c r="I88" i="13"/>
  <c r="J81" i="13"/>
  <c r="I327" i="13"/>
  <c r="K9" i="13"/>
  <c r="N29" i="13"/>
  <c r="N28" i="13"/>
  <c r="W11" i="13"/>
  <c r="L9" i="13"/>
  <c r="I56" i="13"/>
  <c r="N17" i="13"/>
  <c r="N31" i="13"/>
  <c r="N30" i="13"/>
  <c r="I15" i="13"/>
  <c r="I43" i="13"/>
  <c r="I47" i="13"/>
  <c r="I60" i="13"/>
  <c r="I21" i="13"/>
  <c r="H21" i="13"/>
  <c r="L21" i="13"/>
  <c r="J21" i="13"/>
  <c r="N16" i="13"/>
  <c r="K84" i="13"/>
  <c r="K81" i="13"/>
  <c r="G91" i="13"/>
  <c r="G87" i="13"/>
  <c r="J91" i="13"/>
  <c r="J87" i="13"/>
  <c r="H81" i="13"/>
  <c r="K94" i="13"/>
  <c r="K91" i="13"/>
  <c r="K87" i="13"/>
  <c r="G81" i="13"/>
  <c r="L81" i="13"/>
  <c r="I84" i="13"/>
  <c r="I94" i="13"/>
  <c r="I91" i="13"/>
  <c r="K22" i="13"/>
  <c r="K21" i="13"/>
  <c r="H91" i="13"/>
  <c r="H87" i="13"/>
  <c r="W279" i="13"/>
  <c r="AD13" i="13"/>
  <c r="AD14" i="13"/>
  <c r="W16" i="13"/>
  <c r="W278" i="13"/>
  <c r="I12" i="13"/>
  <c r="I9" i="13"/>
  <c r="AD16" i="13"/>
  <c r="N60" i="13"/>
  <c r="I81" i="13"/>
  <c r="M60" i="13"/>
  <c r="N90" i="13"/>
  <c r="N89" i="13"/>
  <c r="N88" i="13"/>
  <c r="N87" i="13"/>
  <c r="M89" i="13"/>
  <c r="M88" i="13"/>
  <c r="M87" i="13"/>
  <c r="N36" i="13"/>
  <c r="I36" i="13"/>
  <c r="M21" i="13"/>
  <c r="M9" i="13"/>
  <c r="G9" i="13"/>
  <c r="N81" i="13"/>
  <c r="J35" i="13"/>
  <c r="J34" i="13"/>
  <c r="J20" i="13"/>
  <c r="J8" i="13"/>
  <c r="N21" i="13"/>
  <c r="N15" i="13"/>
  <c r="N9" i="13"/>
  <c r="I87" i="13"/>
  <c r="G35" i="13"/>
  <c r="G34" i="13"/>
  <c r="G20" i="13"/>
  <c r="H35" i="13"/>
  <c r="H34" i="13"/>
  <c r="H20" i="13"/>
  <c r="H8" i="13"/>
  <c r="L35" i="13"/>
  <c r="L34" i="13"/>
  <c r="L20" i="13"/>
  <c r="L8" i="13"/>
  <c r="K35" i="13"/>
  <c r="K34" i="13"/>
  <c r="K20" i="13"/>
  <c r="K8" i="13"/>
  <c r="I35" i="13"/>
  <c r="I34" i="13"/>
  <c r="I20" i="13"/>
  <c r="I8" i="13"/>
  <c r="V4" i="13"/>
  <c r="V2" i="13"/>
  <c r="N35" i="13"/>
  <c r="N34" i="13"/>
  <c r="G8" i="13"/>
  <c r="N20" i="13"/>
  <c r="T8" i="13"/>
  <c r="V8" i="13"/>
  <c r="R7" i="13"/>
  <c r="G142" i="12"/>
  <c r="H142" i="12"/>
  <c r="I142" i="12"/>
  <c r="L142" i="12"/>
  <c r="M142" i="12"/>
  <c r="Q142" i="12"/>
  <c r="R142" i="12"/>
  <c r="F142" i="12"/>
  <c r="G131" i="12"/>
  <c r="H131" i="12"/>
  <c r="I131" i="12"/>
  <c r="L131" i="12"/>
  <c r="M131" i="12"/>
  <c r="Q131" i="12"/>
  <c r="S131" i="12" s="1"/>
  <c r="R131" i="12"/>
  <c r="F131" i="12"/>
  <c r="F130" i="12" s="1"/>
  <c r="G108" i="12"/>
  <c r="G107" i="12" s="1"/>
  <c r="H108" i="12"/>
  <c r="I108" i="12"/>
  <c r="I107" i="12" s="1"/>
  <c r="L108" i="12"/>
  <c r="L107" i="12" s="1"/>
  <c r="M108" i="12"/>
  <c r="M107" i="12" s="1"/>
  <c r="Q108" i="12"/>
  <c r="R108" i="12"/>
  <c r="R107" i="12" s="1"/>
  <c r="F108" i="12"/>
  <c r="F107" i="12" s="1"/>
  <c r="G122" i="12"/>
  <c r="H122" i="12"/>
  <c r="I122" i="12"/>
  <c r="L122" i="12"/>
  <c r="M122" i="12"/>
  <c r="Q122" i="12"/>
  <c r="R122" i="12"/>
  <c r="F122" i="12"/>
  <c r="H107" i="12"/>
  <c r="G103" i="12"/>
  <c r="H103" i="12"/>
  <c r="I103" i="12"/>
  <c r="L103" i="12"/>
  <c r="M103" i="12"/>
  <c r="Q103" i="12"/>
  <c r="R103" i="12"/>
  <c r="F103" i="12"/>
  <c r="G100" i="12"/>
  <c r="H100" i="12"/>
  <c r="I100" i="12"/>
  <c r="L100" i="12"/>
  <c r="M100" i="12"/>
  <c r="Q100" i="12"/>
  <c r="S100" i="12" s="1"/>
  <c r="R100" i="12"/>
  <c r="F100" i="12"/>
  <c r="G92" i="12"/>
  <c r="H92" i="12"/>
  <c r="I92" i="12"/>
  <c r="L92" i="12"/>
  <c r="M92" i="12"/>
  <c r="Q92" i="12"/>
  <c r="R92" i="12"/>
  <c r="F92" i="12"/>
  <c r="G73" i="12"/>
  <c r="H73" i="12"/>
  <c r="I73" i="12"/>
  <c r="L73" i="12"/>
  <c r="M73" i="12"/>
  <c r="Q73" i="12"/>
  <c r="S73" i="12" s="1"/>
  <c r="R73" i="12"/>
  <c r="F73" i="12"/>
  <c r="G70" i="12"/>
  <c r="H70" i="12"/>
  <c r="I70" i="12"/>
  <c r="L70" i="12"/>
  <c r="M70" i="12"/>
  <c r="AC70" i="12"/>
  <c r="Q70" i="12"/>
  <c r="S70" i="12" s="1"/>
  <c r="R70" i="12"/>
  <c r="F70" i="12"/>
  <c r="G67" i="12"/>
  <c r="G66" i="12" s="1"/>
  <c r="H67" i="12"/>
  <c r="H66" i="12" s="1"/>
  <c r="I67" i="12"/>
  <c r="I66" i="12" s="1"/>
  <c r="L67" i="12"/>
  <c r="L66" i="12" s="1"/>
  <c r="M67" i="12"/>
  <c r="M66" i="12" s="1"/>
  <c r="Q67" i="12"/>
  <c r="Q66" i="12" s="1"/>
  <c r="R67" i="12"/>
  <c r="R66" i="12" s="1"/>
  <c r="F67" i="12"/>
  <c r="F66" i="12" s="1"/>
  <c r="G63" i="12"/>
  <c r="H63" i="12"/>
  <c r="I63" i="12"/>
  <c r="L63" i="12"/>
  <c r="M63" i="12"/>
  <c r="Q63" i="12"/>
  <c r="R63" i="12"/>
  <c r="F63" i="12"/>
  <c r="G60" i="12"/>
  <c r="H60" i="12"/>
  <c r="I60" i="12"/>
  <c r="I59" i="12" s="1"/>
  <c r="L60" i="12"/>
  <c r="M60" i="12"/>
  <c r="Q60" i="12"/>
  <c r="R60" i="12"/>
  <c r="F60" i="12"/>
  <c r="G56" i="12"/>
  <c r="H56" i="12"/>
  <c r="I56" i="12"/>
  <c r="L56" i="12"/>
  <c r="M56" i="12"/>
  <c r="Q56" i="12"/>
  <c r="R56" i="12"/>
  <c r="G33" i="12"/>
  <c r="H33" i="12"/>
  <c r="I33" i="12"/>
  <c r="L33" i="12"/>
  <c r="M33" i="12"/>
  <c r="Q33" i="12"/>
  <c r="R33" i="12"/>
  <c r="F56" i="12"/>
  <c r="F33" i="12"/>
  <c r="F32" i="12" s="1"/>
  <c r="AC32" i="12"/>
  <c r="G10" i="12"/>
  <c r="H10" i="12"/>
  <c r="I10" i="12"/>
  <c r="L10" i="12"/>
  <c r="M10" i="12"/>
  <c r="Q10" i="12"/>
  <c r="S10" i="12" s="1"/>
  <c r="R10" i="12"/>
  <c r="F27" i="12"/>
  <c r="F26" i="12"/>
  <c r="F25" i="12"/>
  <c r="F24" i="12"/>
  <c r="F23" i="12"/>
  <c r="F22" i="12"/>
  <c r="F21" i="12"/>
  <c r="F20" i="12"/>
  <c r="F19" i="12"/>
  <c r="F18" i="12"/>
  <c r="F17" i="12"/>
  <c r="F16" i="12"/>
  <c r="F15" i="12"/>
  <c r="F14" i="12"/>
  <c r="F13" i="12"/>
  <c r="F11" i="12"/>
  <c r="F10" i="12" s="1"/>
  <c r="F31" i="12"/>
  <c r="F30" i="12"/>
  <c r="F29" i="12"/>
  <c r="G28" i="12"/>
  <c r="H28" i="12"/>
  <c r="I28" i="12"/>
  <c r="L28" i="12"/>
  <c r="M28" i="12"/>
  <c r="Q28" i="12"/>
  <c r="R28" i="12"/>
  <c r="AB163" i="12"/>
  <c r="Y163" i="12"/>
  <c r="T163" i="12"/>
  <c r="I163" i="12"/>
  <c r="Y162" i="12"/>
  <c r="AC162" i="12"/>
  <c r="I162" i="12"/>
  <c r="Y161" i="12"/>
  <c r="AC161" i="12"/>
  <c r="I161" i="12"/>
  <c r="Y160" i="12"/>
  <c r="AC160" i="12"/>
  <c r="I160" i="12"/>
  <c r="Y159" i="12"/>
  <c r="AC159" i="12"/>
  <c r="I159" i="12"/>
  <c r="Y158" i="12"/>
  <c r="T158" i="12"/>
  <c r="I158" i="12"/>
  <c r="Y157" i="12"/>
  <c r="AC157" i="12"/>
  <c r="I157" i="12"/>
  <c r="Y156" i="12"/>
  <c r="T156" i="12"/>
  <c r="I156" i="12"/>
  <c r="Y155" i="12"/>
  <c r="T155" i="12"/>
  <c r="I155" i="12"/>
  <c r="Y154" i="12"/>
  <c r="T154" i="12"/>
  <c r="I154" i="12"/>
  <c r="Y153" i="12"/>
  <c r="T153" i="12"/>
  <c r="I153" i="12"/>
  <c r="Y152" i="12"/>
  <c r="AC152" i="12"/>
  <c r="I152" i="12"/>
  <c r="Y151" i="12"/>
  <c r="T151" i="12"/>
  <c r="I151" i="12"/>
  <c r="Y150" i="12"/>
  <c r="T150" i="12"/>
  <c r="I150" i="12"/>
  <c r="Y149" i="12"/>
  <c r="T149" i="12"/>
  <c r="I149" i="12"/>
  <c r="Y148" i="12"/>
  <c r="T148" i="12"/>
  <c r="I148" i="12"/>
  <c r="Y147" i="12"/>
  <c r="T147" i="12"/>
  <c r="I147" i="12"/>
  <c r="Y146" i="12"/>
  <c r="T146" i="12"/>
  <c r="I146" i="12"/>
  <c r="AJ141" i="12"/>
  <c r="AK141" i="12"/>
  <c r="AJ139" i="12"/>
  <c r="AK139" i="12"/>
  <c r="AJ138" i="12"/>
  <c r="AK138" i="12"/>
  <c r="AK137" i="12"/>
  <c r="AJ137" i="12"/>
  <c r="AK136" i="12"/>
  <c r="AJ136" i="12"/>
  <c r="AK135" i="12"/>
  <c r="AJ135" i="12"/>
  <c r="AK134" i="12"/>
  <c r="AJ134" i="12"/>
  <c r="AK133" i="12"/>
  <c r="AJ133" i="12"/>
  <c r="AK132" i="12"/>
  <c r="AJ132" i="12"/>
  <c r="AJ121" i="12"/>
  <c r="AK121" i="12"/>
  <c r="AJ120" i="12"/>
  <c r="AK120" i="12"/>
  <c r="AJ119" i="12"/>
  <c r="AK119" i="12"/>
  <c r="AJ118" i="12"/>
  <c r="AK118" i="12"/>
  <c r="AJ117" i="12"/>
  <c r="AK117" i="12"/>
  <c r="AJ116" i="12"/>
  <c r="AK116" i="12"/>
  <c r="AJ115" i="12"/>
  <c r="AK115" i="12"/>
  <c r="AJ114" i="12"/>
  <c r="AJ113" i="12"/>
  <c r="AK113" i="12"/>
  <c r="AJ111" i="12"/>
  <c r="AK111" i="12"/>
  <c r="AJ110" i="12"/>
  <c r="AK110" i="12"/>
  <c r="AK109" i="12"/>
  <c r="I99" i="12"/>
  <c r="AK102" i="12"/>
  <c r="AJ102" i="12"/>
  <c r="AK101" i="12"/>
  <c r="AJ91" i="12"/>
  <c r="AK89" i="12"/>
  <c r="AJ88" i="12"/>
  <c r="AK87" i="12"/>
  <c r="AJ86" i="12"/>
  <c r="AJ85" i="12"/>
  <c r="AJ84" i="12"/>
  <c r="AK83" i="12"/>
  <c r="AJ82" i="12"/>
  <c r="AK82" i="12"/>
  <c r="AK81" i="12"/>
  <c r="AJ81" i="12"/>
  <c r="AK80" i="12"/>
  <c r="AJ80" i="12"/>
  <c r="AK79" i="12"/>
  <c r="AJ79" i="12"/>
  <c r="AK78" i="12"/>
  <c r="AJ78" i="12"/>
  <c r="AK77" i="12"/>
  <c r="AJ77" i="12"/>
  <c r="AK76" i="12"/>
  <c r="AJ76" i="12"/>
  <c r="AJ75" i="12"/>
  <c r="AK74" i="12"/>
  <c r="AJ74" i="12"/>
  <c r="AK71" i="12"/>
  <c r="AK69" i="12"/>
  <c r="AJ69" i="12"/>
  <c r="AK68" i="12"/>
  <c r="AJ68" i="12"/>
  <c r="AK62" i="12"/>
  <c r="AJ62" i="12"/>
  <c r="AK61" i="12"/>
  <c r="AJ61" i="12"/>
  <c r="AJ55" i="12"/>
  <c r="AK55" i="12"/>
  <c r="AJ54" i="12"/>
  <c r="AK54" i="12"/>
  <c r="AJ53" i="12"/>
  <c r="AK53" i="12"/>
  <c r="AJ52" i="12"/>
  <c r="AK52" i="12"/>
  <c r="AJ51" i="12"/>
  <c r="AK50" i="12"/>
  <c r="AK49" i="12"/>
  <c r="AJ49" i="12"/>
  <c r="AK48" i="12"/>
  <c r="AJ48" i="12"/>
  <c r="AK47" i="12"/>
  <c r="AJ47" i="12"/>
  <c r="AK46" i="12"/>
  <c r="AJ46" i="12"/>
  <c r="AK45" i="12"/>
  <c r="AJ45" i="12"/>
  <c r="AJ44" i="12"/>
  <c r="AK44" i="12"/>
  <c r="AK43" i="12"/>
  <c r="AJ43" i="12"/>
  <c r="AK42" i="12"/>
  <c r="AJ42" i="12"/>
  <c r="AK41" i="12"/>
  <c r="AJ41" i="12"/>
  <c r="AK40" i="12"/>
  <c r="AJ40" i="12"/>
  <c r="AK39" i="12"/>
  <c r="AJ39" i="12"/>
  <c r="AJ38" i="12"/>
  <c r="AK37" i="12"/>
  <c r="AJ37" i="12"/>
  <c r="AK36" i="12"/>
  <c r="AK35" i="12"/>
  <c r="AJ35" i="12"/>
  <c r="AK34" i="12"/>
  <c r="AJ34" i="12"/>
  <c r="Z5" i="12"/>
  <c r="J73" i="9"/>
  <c r="J72" i="9" s="1"/>
  <c r="G78" i="9"/>
  <c r="J78" i="9"/>
  <c r="M78" i="9" s="1"/>
  <c r="K78" i="9"/>
  <c r="F78" i="9"/>
  <c r="G76" i="9"/>
  <c r="G75" i="9" s="1"/>
  <c r="J76" i="9"/>
  <c r="K76" i="9"/>
  <c r="F76" i="9"/>
  <c r="F75" i="9" s="1"/>
  <c r="G73" i="9"/>
  <c r="G72" i="9" s="1"/>
  <c r="K73" i="9"/>
  <c r="K72" i="9" s="1"/>
  <c r="F73" i="9"/>
  <c r="F72" i="9" s="1"/>
  <c r="G68" i="9"/>
  <c r="J68" i="9"/>
  <c r="K68" i="9"/>
  <c r="F68" i="9"/>
  <c r="G66" i="9"/>
  <c r="J66" i="9"/>
  <c r="K66" i="9"/>
  <c r="K65" i="9" s="1"/>
  <c r="F66" i="9"/>
  <c r="AJ70" i="12"/>
  <c r="AK91" i="12"/>
  <c r="AK70" i="12"/>
  <c r="AK130" i="12"/>
  <c r="AJ90" i="12"/>
  <c r="AK108" i="12"/>
  <c r="AJ71" i="12"/>
  <c r="AJ36" i="12"/>
  <c r="AK51" i="12"/>
  <c r="AK85" i="12"/>
  <c r="AJ89" i="12"/>
  <c r="AJ101" i="12"/>
  <c r="AK114" i="12"/>
  <c r="T162" i="12"/>
  <c r="AJ50" i="12"/>
  <c r="AK84" i="12"/>
  <c r="AK38" i="12"/>
  <c r="AK75" i="12"/>
  <c r="AK90" i="12"/>
  <c r="AJ83" i="12"/>
  <c r="T160" i="12"/>
  <c r="AJ109" i="12"/>
  <c r="AK86" i="12"/>
  <c r="AJ87" i="12"/>
  <c r="AJ112" i="12"/>
  <c r="AK88" i="12"/>
  <c r="AK112" i="12"/>
  <c r="AJ108" i="12"/>
  <c r="AK106" i="12"/>
  <c r="X7" i="12"/>
  <c r="G60" i="9"/>
  <c r="J60" i="9"/>
  <c r="K60" i="9"/>
  <c r="F60" i="9"/>
  <c r="G56" i="9"/>
  <c r="J56" i="9"/>
  <c r="K56" i="9"/>
  <c r="F56" i="9"/>
  <c r="G47" i="9"/>
  <c r="J47" i="9"/>
  <c r="K47" i="9"/>
  <c r="F47" i="9"/>
  <c r="G43" i="9"/>
  <c r="J43" i="9"/>
  <c r="K43" i="9"/>
  <c r="F43" i="9"/>
  <c r="G37" i="9"/>
  <c r="G36" i="9" s="1"/>
  <c r="J37" i="9"/>
  <c r="K37" i="9"/>
  <c r="F37" i="9"/>
  <c r="F36" i="9" s="1"/>
  <c r="J15" i="9"/>
  <c r="G32" i="9"/>
  <c r="J32" i="9"/>
  <c r="K32" i="9"/>
  <c r="F32" i="9"/>
  <c r="G30" i="9"/>
  <c r="J30" i="9"/>
  <c r="K30" i="9"/>
  <c r="F30" i="9"/>
  <c r="G18" i="9"/>
  <c r="J18" i="9"/>
  <c r="K18" i="9"/>
  <c r="G15" i="9"/>
  <c r="K15" i="9"/>
  <c r="G12" i="9"/>
  <c r="J12" i="9"/>
  <c r="H157" i="10"/>
  <c r="H156" i="10"/>
  <c r="H158" i="10" s="1"/>
  <c r="I160" i="10" s="1"/>
  <c r="Z111" i="10"/>
  <c r="W111" i="10"/>
  <c r="L111" i="10"/>
  <c r="K111" i="10"/>
  <c r="J111" i="10"/>
  <c r="I111" i="10"/>
  <c r="H111" i="10"/>
  <c r="Q111" i="10" s="1"/>
  <c r="G111" i="10"/>
  <c r="W110" i="10"/>
  <c r="L110" i="10"/>
  <c r="K110" i="10"/>
  <c r="J110" i="10"/>
  <c r="I110" i="10"/>
  <c r="H110" i="10"/>
  <c r="Q110" i="10" s="1"/>
  <c r="AA110" i="10"/>
  <c r="G110" i="10"/>
  <c r="W109" i="10"/>
  <c r="L109" i="10"/>
  <c r="K109" i="10"/>
  <c r="J109" i="10"/>
  <c r="I109" i="10"/>
  <c r="H109" i="10"/>
  <c r="Q109" i="10" s="1"/>
  <c r="AA109" i="10"/>
  <c r="G109" i="10"/>
  <c r="W108" i="10"/>
  <c r="L108" i="10"/>
  <c r="K108" i="10"/>
  <c r="J108" i="10"/>
  <c r="I108" i="10"/>
  <c r="H108" i="10"/>
  <c r="Q108" i="10" s="1"/>
  <c r="AA108" i="10"/>
  <c r="G108" i="10"/>
  <c r="W107" i="10"/>
  <c r="L107" i="10"/>
  <c r="K107" i="10"/>
  <c r="J107" i="10"/>
  <c r="I107" i="10"/>
  <c r="H107" i="10"/>
  <c r="Q107" i="10" s="1"/>
  <c r="AA107" i="10"/>
  <c r="G107" i="10"/>
  <c r="W106" i="10"/>
  <c r="L106" i="10"/>
  <c r="K106" i="10"/>
  <c r="J106" i="10"/>
  <c r="I106" i="10"/>
  <c r="H106" i="10"/>
  <c r="Q106" i="10" s="1"/>
  <c r="G106" i="10"/>
  <c r="W105" i="10"/>
  <c r="L105" i="10"/>
  <c r="K105" i="10"/>
  <c r="J105" i="10"/>
  <c r="I105" i="10"/>
  <c r="H105" i="10"/>
  <c r="Q105" i="10" s="1"/>
  <c r="AA105" i="10"/>
  <c r="G105" i="10"/>
  <c r="W104" i="10"/>
  <c r="L104" i="10"/>
  <c r="K104" i="10"/>
  <c r="J104" i="10"/>
  <c r="I104" i="10"/>
  <c r="H104" i="10"/>
  <c r="Q104" i="10" s="1"/>
  <c r="G104" i="10"/>
  <c r="W103" i="10"/>
  <c r="L103" i="10"/>
  <c r="K103" i="10"/>
  <c r="J103" i="10"/>
  <c r="I103" i="10"/>
  <c r="H103" i="10"/>
  <c r="Q103" i="10" s="1"/>
  <c r="G103" i="10"/>
  <c r="W102" i="10"/>
  <c r="L102" i="10"/>
  <c r="K102" i="10"/>
  <c r="J102" i="10"/>
  <c r="I102" i="10"/>
  <c r="H102" i="10"/>
  <c r="Q102" i="10" s="1"/>
  <c r="G102" i="10"/>
  <c r="W101" i="10"/>
  <c r="L101" i="10"/>
  <c r="J101" i="10"/>
  <c r="H101" i="10"/>
  <c r="G101" i="10"/>
  <c r="W100" i="10"/>
  <c r="L100" i="10"/>
  <c r="K100" i="10"/>
  <c r="J100" i="10"/>
  <c r="I100" i="10"/>
  <c r="H100" i="10"/>
  <c r="AA100" i="10"/>
  <c r="G100" i="10"/>
  <c r="W99" i="10"/>
  <c r="L99" i="10"/>
  <c r="K99" i="10"/>
  <c r="J99" i="10"/>
  <c r="I99" i="10"/>
  <c r="H99" i="10"/>
  <c r="Q99" i="10" s="1"/>
  <c r="G99" i="10"/>
  <c r="W98" i="10"/>
  <c r="L98" i="10"/>
  <c r="K98" i="10"/>
  <c r="J98" i="10"/>
  <c r="I98" i="10"/>
  <c r="H98" i="10"/>
  <c r="Q98" i="10" s="1"/>
  <c r="G98" i="10"/>
  <c r="W97" i="10"/>
  <c r="L97" i="10"/>
  <c r="K97" i="10"/>
  <c r="J97" i="10"/>
  <c r="I97" i="10"/>
  <c r="H97" i="10"/>
  <c r="Q97" i="10" s="1"/>
  <c r="G97" i="10"/>
  <c r="W96" i="10"/>
  <c r="L96" i="10"/>
  <c r="K96" i="10"/>
  <c r="J96" i="10"/>
  <c r="H96" i="10"/>
  <c r="Q96" i="10" s="1"/>
  <c r="W95" i="10"/>
  <c r="L95" i="10"/>
  <c r="J95" i="10"/>
  <c r="I95" i="10"/>
  <c r="H95" i="10"/>
  <c r="G95" i="10"/>
  <c r="W94" i="10"/>
  <c r="L94" i="10"/>
  <c r="J94" i="10"/>
  <c r="H94" i="10"/>
  <c r="W93" i="10"/>
  <c r="L93" i="10"/>
  <c r="H93" i="10"/>
  <c r="R90" i="10"/>
  <c r="K90" i="10"/>
  <c r="K101" i="10"/>
  <c r="Q101" i="10"/>
  <c r="I90" i="10"/>
  <c r="I101" i="10"/>
  <c r="R89" i="10"/>
  <c r="R88" i="10"/>
  <c r="P88" i="10"/>
  <c r="O88" i="10"/>
  <c r="N88" i="10"/>
  <c r="M88" i="10"/>
  <c r="L88" i="10"/>
  <c r="K88" i="10"/>
  <c r="J88" i="10"/>
  <c r="H88" i="10"/>
  <c r="G88" i="10"/>
  <c r="K87" i="10"/>
  <c r="K95" i="10"/>
  <c r="Q95" i="10"/>
  <c r="R86" i="10"/>
  <c r="R85" i="10" s="1"/>
  <c r="P86" i="10"/>
  <c r="O86" i="10"/>
  <c r="O85" i="10"/>
  <c r="N86" i="10"/>
  <c r="M86" i="10"/>
  <c r="L86" i="10"/>
  <c r="K86" i="10"/>
  <c r="K85" i="10"/>
  <c r="J86" i="10"/>
  <c r="I86" i="10"/>
  <c r="H86" i="10"/>
  <c r="G86" i="10"/>
  <c r="G85" i="10"/>
  <c r="P85" i="10"/>
  <c r="N85" i="10"/>
  <c r="M85" i="10"/>
  <c r="L85" i="10"/>
  <c r="J85" i="10"/>
  <c r="H85" i="10"/>
  <c r="R84" i="10"/>
  <c r="K84" i="10"/>
  <c r="AH84" i="10"/>
  <c r="I84" i="10"/>
  <c r="AI84" i="10" s="1"/>
  <c r="F84" i="10"/>
  <c r="B84" i="10"/>
  <c r="A84" i="10"/>
  <c r="R83" i="10"/>
  <c r="P83" i="10"/>
  <c r="O83" i="10"/>
  <c r="N83" i="10"/>
  <c r="N82" i="10"/>
  <c r="N81" i="10"/>
  <c r="M83" i="10"/>
  <c r="L83" i="10"/>
  <c r="J83" i="10"/>
  <c r="J82" i="10"/>
  <c r="J81" i="10"/>
  <c r="I83" i="10"/>
  <c r="H83" i="10"/>
  <c r="G83" i="10"/>
  <c r="R82" i="10"/>
  <c r="R81" i="10" s="1"/>
  <c r="P82" i="10"/>
  <c r="O82" i="10"/>
  <c r="O81" i="10"/>
  <c r="M82" i="10"/>
  <c r="M81" i="10"/>
  <c r="L82" i="10"/>
  <c r="I82" i="10"/>
  <c r="H82" i="10"/>
  <c r="G82" i="10"/>
  <c r="AA81" i="10"/>
  <c r="P81" i="10"/>
  <c r="L81" i="10"/>
  <c r="H81" i="10"/>
  <c r="B81" i="10"/>
  <c r="R80" i="10"/>
  <c r="R79" i="10"/>
  <c r="R78" i="10"/>
  <c r="P78" i="10"/>
  <c r="O78" i="10"/>
  <c r="N78" i="10"/>
  <c r="M78" i="10"/>
  <c r="L78" i="10"/>
  <c r="K78" i="10"/>
  <c r="J78" i="10"/>
  <c r="I78" i="10"/>
  <c r="H78" i="10"/>
  <c r="G78" i="10"/>
  <c r="R77" i="10"/>
  <c r="R76" i="10"/>
  <c r="R75" i="10"/>
  <c r="P76" i="10"/>
  <c r="P75" i="10"/>
  <c r="O76" i="10"/>
  <c r="N76" i="10"/>
  <c r="M76" i="10"/>
  <c r="L76" i="10"/>
  <c r="L75" i="10"/>
  <c r="K76" i="10"/>
  <c r="J76" i="10"/>
  <c r="I76" i="10"/>
  <c r="H76" i="10"/>
  <c r="H75" i="10"/>
  <c r="G76" i="10"/>
  <c r="O75" i="10"/>
  <c r="N75" i="10"/>
  <c r="M75" i="10"/>
  <c r="K75" i="10"/>
  <c r="J75" i="10"/>
  <c r="I75" i="10"/>
  <c r="G75" i="10"/>
  <c r="R74" i="10"/>
  <c r="R72" i="10"/>
  <c r="P72" i="10"/>
  <c r="O72" i="10"/>
  <c r="N72" i="10"/>
  <c r="M72" i="10"/>
  <c r="L72" i="10"/>
  <c r="K72" i="10"/>
  <c r="J72" i="10"/>
  <c r="I72" i="10"/>
  <c r="H72" i="10"/>
  <c r="G72" i="10"/>
  <c r="R65" i="10"/>
  <c r="Q65" i="10"/>
  <c r="P65" i="10"/>
  <c r="O65" i="10"/>
  <c r="O64" i="10"/>
  <c r="N65" i="10"/>
  <c r="M65" i="10"/>
  <c r="L65" i="10"/>
  <c r="K65" i="10"/>
  <c r="K64" i="10"/>
  <c r="J65" i="10"/>
  <c r="I65" i="10"/>
  <c r="H65" i="10"/>
  <c r="G65" i="10"/>
  <c r="G64" i="10"/>
  <c r="R64" i="10"/>
  <c r="P64" i="10"/>
  <c r="N64" i="10"/>
  <c r="M64" i="10"/>
  <c r="L64" i="10"/>
  <c r="J64" i="10"/>
  <c r="I64" i="10"/>
  <c r="H64" i="10"/>
  <c r="R63" i="10"/>
  <c r="R62" i="10"/>
  <c r="R61" i="10"/>
  <c r="P61" i="10"/>
  <c r="O61" i="10"/>
  <c r="N61" i="10"/>
  <c r="M61" i="10"/>
  <c r="L61" i="10"/>
  <c r="K61" i="10"/>
  <c r="J61" i="10"/>
  <c r="I61" i="10"/>
  <c r="H61" i="10"/>
  <c r="G61" i="10"/>
  <c r="R60" i="10"/>
  <c r="R59" i="10"/>
  <c r="R58" i="10"/>
  <c r="R57" i="10"/>
  <c r="R56" i="10"/>
  <c r="K56" i="10"/>
  <c r="K54" i="10"/>
  <c r="AI55" i="10"/>
  <c r="AH55" i="10"/>
  <c r="G55" i="10"/>
  <c r="R55" i="10" s="1"/>
  <c r="R54" i="10" s="1"/>
  <c r="G54" i="10"/>
  <c r="F55" i="10"/>
  <c r="B55" i="10"/>
  <c r="P54" i="10"/>
  <c r="O54" i="10"/>
  <c r="N54" i="10"/>
  <c r="M54" i="10"/>
  <c r="L54" i="10"/>
  <c r="J54" i="10"/>
  <c r="I54" i="10"/>
  <c r="H54" i="10"/>
  <c r="AH53" i="10"/>
  <c r="AA53" i="10"/>
  <c r="I53" i="10"/>
  <c r="AI53" i="10"/>
  <c r="G53" i="10"/>
  <c r="R53" i="10"/>
  <c r="F53" i="10"/>
  <c r="B53" i="10"/>
  <c r="A53" i="10"/>
  <c r="AI52" i="10"/>
  <c r="AH52" i="10"/>
  <c r="G52" i="10"/>
  <c r="R52" i="10"/>
  <c r="F52" i="10"/>
  <c r="B52" i="10"/>
  <c r="A52" i="10"/>
  <c r="AI51" i="10"/>
  <c r="AH51" i="10"/>
  <c r="AB51" i="10"/>
  <c r="Z51" i="10"/>
  <c r="G51" i="10"/>
  <c r="R51" i="10" s="1"/>
  <c r="R50" i="10" s="1"/>
  <c r="F51" i="10"/>
  <c r="B51" i="10"/>
  <c r="A51" i="10"/>
  <c r="P50" i="10"/>
  <c r="O50" i="10"/>
  <c r="N50" i="10"/>
  <c r="M50" i="10"/>
  <c r="L50" i="10"/>
  <c r="K50" i="10"/>
  <c r="J50" i="10"/>
  <c r="H50" i="10"/>
  <c r="Q50" i="10" s="1"/>
  <c r="G50" i="10"/>
  <c r="AH49" i="10"/>
  <c r="I49" i="10"/>
  <c r="AI49" i="10" s="1"/>
  <c r="G49" i="10"/>
  <c r="F49" i="10"/>
  <c r="B49" i="10"/>
  <c r="A49" i="10"/>
  <c r="AH48" i="10"/>
  <c r="I48" i="10"/>
  <c r="AI48" i="10" s="1"/>
  <c r="G48" i="10"/>
  <c r="F48" i="10"/>
  <c r="B48" i="10"/>
  <c r="A48" i="10"/>
  <c r="AH47" i="10"/>
  <c r="I47" i="10"/>
  <c r="AI47" i="10"/>
  <c r="G47" i="10"/>
  <c r="F47" i="10"/>
  <c r="B47" i="10"/>
  <c r="A47" i="10"/>
  <c r="AH46" i="10"/>
  <c r="I46" i="10"/>
  <c r="AI46" i="10"/>
  <c r="G46" i="10"/>
  <c r="F46" i="10"/>
  <c r="B46" i="10"/>
  <c r="A46" i="10"/>
  <c r="AH45" i="10"/>
  <c r="I45" i="10"/>
  <c r="AI45" i="10" s="1"/>
  <c r="I96" i="10"/>
  <c r="G45" i="10"/>
  <c r="G96" i="10"/>
  <c r="F45" i="10"/>
  <c r="B45" i="10"/>
  <c r="A45" i="10"/>
  <c r="AH44" i="10"/>
  <c r="I44" i="10"/>
  <c r="AI44" i="10" s="1"/>
  <c r="G44" i="10"/>
  <c r="F44" i="10"/>
  <c r="B44" i="10"/>
  <c r="A44" i="10"/>
  <c r="AH43" i="10"/>
  <c r="I43" i="10"/>
  <c r="AI43" i="10"/>
  <c r="G43" i="10"/>
  <c r="F43" i="10"/>
  <c r="B43" i="10"/>
  <c r="A43" i="10"/>
  <c r="AH42" i="10"/>
  <c r="I42" i="10"/>
  <c r="I41" i="10"/>
  <c r="G42" i="10"/>
  <c r="G41" i="10"/>
  <c r="F42" i="10"/>
  <c r="B42" i="10"/>
  <c r="A42" i="10"/>
  <c r="R41" i="10"/>
  <c r="P41" i="10"/>
  <c r="O41" i="10"/>
  <c r="N41" i="10"/>
  <c r="M41" i="10"/>
  <c r="L41" i="10"/>
  <c r="K41" i="10"/>
  <c r="J41" i="10"/>
  <c r="H41" i="10"/>
  <c r="AH40" i="10"/>
  <c r="I40" i="10"/>
  <c r="AI40" i="10" s="1"/>
  <c r="G40" i="10"/>
  <c r="F40" i="10"/>
  <c r="B40" i="10"/>
  <c r="A40" i="10"/>
  <c r="AH39" i="10"/>
  <c r="I39" i="10"/>
  <c r="AI39" i="10"/>
  <c r="G39" i="10"/>
  <c r="F39" i="10"/>
  <c r="B39" i="10"/>
  <c r="A39" i="10"/>
  <c r="AH38" i="10"/>
  <c r="AB38" i="10"/>
  <c r="AC38" i="10" s="1"/>
  <c r="I38" i="10"/>
  <c r="AI38" i="10"/>
  <c r="G38" i="10"/>
  <c r="F38" i="10"/>
  <c r="B38" i="10"/>
  <c r="A38" i="10"/>
  <c r="R37" i="10"/>
  <c r="P37" i="10"/>
  <c r="O37" i="10"/>
  <c r="N37" i="10"/>
  <c r="M37" i="10"/>
  <c r="L37" i="10"/>
  <c r="K37" i="10"/>
  <c r="J37" i="10"/>
  <c r="H37" i="10"/>
  <c r="G37" i="10"/>
  <c r="B37" i="10"/>
  <c r="I35" i="10"/>
  <c r="K34" i="10"/>
  <c r="K31" i="10"/>
  <c r="K30" i="10"/>
  <c r="I34" i="10"/>
  <c r="I33" i="10"/>
  <c r="I32" i="10"/>
  <c r="R31" i="10"/>
  <c r="R30" i="10"/>
  <c r="P31" i="10"/>
  <c r="P30" i="10" s="1"/>
  <c r="P29" i="10" s="1"/>
  <c r="P28" i="10" s="1"/>
  <c r="P27" i="10" s="1"/>
  <c r="O31" i="10"/>
  <c r="O30" i="10" s="1"/>
  <c r="O29" i="10" s="1"/>
  <c r="O28" i="10" s="1"/>
  <c r="O27" i="10" s="1"/>
  <c r="N31" i="10"/>
  <c r="N30" i="10" s="1"/>
  <c r="N29" i="10" s="1"/>
  <c r="N28" i="10" s="1"/>
  <c r="M31" i="10"/>
  <c r="L31" i="10"/>
  <c r="L30" i="10" s="1"/>
  <c r="L29" i="10" s="1"/>
  <c r="L28" i="10" s="1"/>
  <c r="L27" i="10" s="1"/>
  <c r="J31" i="10"/>
  <c r="J30" i="10" s="1"/>
  <c r="J29" i="10" s="1"/>
  <c r="J28" i="10" s="1"/>
  <c r="J27" i="10" s="1"/>
  <c r="I31" i="10"/>
  <c r="H31" i="10"/>
  <c r="H30" i="10" s="1"/>
  <c r="G31" i="10"/>
  <c r="G30" i="10" s="1"/>
  <c r="G29" i="10" s="1"/>
  <c r="G28" i="10" s="1"/>
  <c r="A31" i="10"/>
  <c r="M30" i="10"/>
  <c r="M29" i="10"/>
  <c r="M28" i="10"/>
  <c r="M27" i="10"/>
  <c r="B27" i="10"/>
  <c r="A27" i="10"/>
  <c r="R26" i="10"/>
  <c r="R25" i="10"/>
  <c r="P25" i="10"/>
  <c r="O25" i="10"/>
  <c r="N25" i="10"/>
  <c r="M25" i="10"/>
  <c r="L25" i="10"/>
  <c r="K25" i="10"/>
  <c r="J25" i="10"/>
  <c r="I25" i="10"/>
  <c r="H25" i="10"/>
  <c r="G25" i="10"/>
  <c r="R24" i="10"/>
  <c r="R13" i="10" s="1"/>
  <c r="I24" i="10"/>
  <c r="I23" i="10"/>
  <c r="R23" i="10"/>
  <c r="P23" i="10"/>
  <c r="O23" i="10"/>
  <c r="N23" i="10"/>
  <c r="M23" i="10"/>
  <c r="L23" i="10"/>
  <c r="K23" i="10"/>
  <c r="J23" i="10"/>
  <c r="H23" i="10"/>
  <c r="G23" i="10"/>
  <c r="AI22" i="10"/>
  <c r="AH22" i="10"/>
  <c r="G22" i="10"/>
  <c r="F22" i="10"/>
  <c r="B22" i="10"/>
  <c r="A22" i="10"/>
  <c r="P21" i="10"/>
  <c r="O21" i="10"/>
  <c r="N21" i="10"/>
  <c r="M21" i="10"/>
  <c r="L21" i="10"/>
  <c r="K21" i="10"/>
  <c r="J21" i="10"/>
  <c r="I21" i="10"/>
  <c r="H21" i="10"/>
  <c r="G21" i="10"/>
  <c r="K20" i="10"/>
  <c r="AH20" i="10"/>
  <c r="I20" i="10"/>
  <c r="AI20" i="10"/>
  <c r="K19" i="10"/>
  <c r="AH19" i="10"/>
  <c r="I19" i="10"/>
  <c r="AI19" i="10"/>
  <c r="K18" i="10"/>
  <c r="AH18" i="10"/>
  <c r="I18" i="10"/>
  <c r="AI18" i="10"/>
  <c r="K17" i="10"/>
  <c r="AH17" i="10"/>
  <c r="I17" i="10"/>
  <c r="AI17" i="10"/>
  <c r="A17" i="10"/>
  <c r="K16" i="10"/>
  <c r="AH16" i="10" s="1"/>
  <c r="K94" i="10"/>
  <c r="I16" i="10"/>
  <c r="I94" i="10"/>
  <c r="I93" i="10"/>
  <c r="A16" i="10"/>
  <c r="R15" i="10"/>
  <c r="P15" i="10"/>
  <c r="P14" i="10"/>
  <c r="P8" i="10"/>
  <c r="O15" i="10"/>
  <c r="N15" i="10"/>
  <c r="N14" i="10" s="1"/>
  <c r="M15" i="10"/>
  <c r="M14" i="10"/>
  <c r="M8" i="10"/>
  <c r="L15" i="10"/>
  <c r="L14" i="10"/>
  <c r="L8" i="10"/>
  <c r="J15" i="10"/>
  <c r="J14" i="10" s="1"/>
  <c r="J8" i="10" s="1"/>
  <c r="I15" i="10"/>
  <c r="I14" i="10"/>
  <c r="H15" i="10"/>
  <c r="H14" i="10"/>
  <c r="G15" i="10"/>
  <c r="B15" i="10"/>
  <c r="A15" i="10"/>
  <c r="O14" i="10"/>
  <c r="G14" i="10"/>
  <c r="S13" i="10"/>
  <c r="P13" i="10"/>
  <c r="O13" i="10"/>
  <c r="N13" i="10"/>
  <c r="M13" i="10"/>
  <c r="L13" i="10"/>
  <c r="K13" i="10"/>
  <c r="J13" i="10"/>
  <c r="H13" i="10"/>
  <c r="Q13" i="10" s="1"/>
  <c r="G13" i="10"/>
  <c r="S12" i="10"/>
  <c r="P12" i="10"/>
  <c r="O12" i="10"/>
  <c r="N12" i="10"/>
  <c r="M12" i="10"/>
  <c r="L12" i="10"/>
  <c r="K12" i="10"/>
  <c r="J12" i="10"/>
  <c r="I12" i="10"/>
  <c r="H12" i="10"/>
  <c r="G12" i="10"/>
  <c r="S11" i="10"/>
  <c r="P11" i="10"/>
  <c r="O11" i="10"/>
  <c r="N11" i="10"/>
  <c r="M11" i="10"/>
  <c r="L11" i="10"/>
  <c r="K11" i="10"/>
  <c r="J11" i="10"/>
  <c r="I11" i="10"/>
  <c r="H11" i="10"/>
  <c r="Q11" i="10"/>
  <c r="S10" i="10"/>
  <c r="R10" i="10"/>
  <c r="P10" i="10"/>
  <c r="O10" i="10"/>
  <c r="N10" i="10"/>
  <c r="M10" i="10"/>
  <c r="L10" i="10"/>
  <c r="K10" i="10"/>
  <c r="J10" i="10"/>
  <c r="H10" i="10"/>
  <c r="Q10" i="10" s="1"/>
  <c r="G10" i="10"/>
  <c r="S9" i="10"/>
  <c r="R9" i="10"/>
  <c r="P9" i="10"/>
  <c r="O9" i="10"/>
  <c r="N9" i="10"/>
  <c r="M9" i="10"/>
  <c r="L9" i="10"/>
  <c r="K9" i="10"/>
  <c r="J9" i="10"/>
  <c r="I9" i="10"/>
  <c r="H9" i="10"/>
  <c r="Q9" i="10" s="1"/>
  <c r="G9" i="10"/>
  <c r="AA8" i="10"/>
  <c r="AA10" i="10" s="1"/>
  <c r="S8" i="10"/>
  <c r="O8" i="10"/>
  <c r="X5" i="10"/>
  <c r="V101" i="9"/>
  <c r="K101" i="9"/>
  <c r="J101" i="9"/>
  <c r="F101" i="9"/>
  <c r="K100" i="9"/>
  <c r="J100" i="9"/>
  <c r="W100" i="9"/>
  <c r="F100" i="9"/>
  <c r="K99" i="9"/>
  <c r="J99" i="9"/>
  <c r="W99" i="9"/>
  <c r="F99" i="9"/>
  <c r="K98" i="9"/>
  <c r="J98" i="9"/>
  <c r="W98" i="9"/>
  <c r="F98" i="9"/>
  <c r="K97" i="9"/>
  <c r="J97" i="9"/>
  <c r="W97" i="9"/>
  <c r="F97" i="9"/>
  <c r="K96" i="9"/>
  <c r="J96" i="9"/>
  <c r="F96" i="9"/>
  <c r="K95" i="9"/>
  <c r="J95" i="9"/>
  <c r="W95" i="9"/>
  <c r="F95" i="9"/>
  <c r="K94" i="9"/>
  <c r="J94" i="9"/>
  <c r="F94" i="9"/>
  <c r="K93" i="9"/>
  <c r="J93" i="9"/>
  <c r="F93" i="9"/>
  <c r="K92" i="9"/>
  <c r="J92" i="9"/>
  <c r="F92" i="9"/>
  <c r="K91" i="9"/>
  <c r="J91" i="9"/>
  <c r="F91" i="9"/>
  <c r="K90" i="9"/>
  <c r="J90" i="9"/>
  <c r="W90" i="9"/>
  <c r="F90" i="9"/>
  <c r="K89" i="9"/>
  <c r="J89" i="9"/>
  <c r="F89" i="9"/>
  <c r="K88" i="9"/>
  <c r="J88" i="9"/>
  <c r="F88" i="9"/>
  <c r="K87" i="9"/>
  <c r="J87" i="9"/>
  <c r="F87" i="9"/>
  <c r="K86" i="9"/>
  <c r="J86" i="9"/>
  <c r="F86" i="9"/>
  <c r="K85" i="9"/>
  <c r="J85" i="9"/>
  <c r="F85" i="9"/>
  <c r="J84" i="9"/>
  <c r="F18" i="9"/>
  <c r="AG17" i="9"/>
  <c r="AE17" i="9"/>
  <c r="AD17" i="9"/>
  <c r="V17" i="9"/>
  <c r="AE16" i="9"/>
  <c r="AD16" i="9"/>
  <c r="F16" i="9"/>
  <c r="F15" i="9" s="1"/>
  <c r="E16" i="9"/>
  <c r="B16" i="9"/>
  <c r="AE14" i="9"/>
  <c r="AD14" i="9"/>
  <c r="Z14" i="9"/>
  <c r="AB14" i="9" s="1"/>
  <c r="W14" i="9"/>
  <c r="B14" i="9"/>
  <c r="A14" i="9"/>
  <c r="AH13" i="9"/>
  <c r="AD13" i="9"/>
  <c r="W13" i="9"/>
  <c r="B13" i="9"/>
  <c r="A13" i="9"/>
  <c r="V11" i="9"/>
  <c r="T11" i="9"/>
  <c r="B9" i="9"/>
  <c r="W8" i="9"/>
  <c r="T5" i="9"/>
  <c r="F12" i="9"/>
  <c r="F84" i="9"/>
  <c r="R29" i="10"/>
  <c r="R28" i="10"/>
  <c r="R27" i="10"/>
  <c r="Q30" i="10"/>
  <c r="Z30" i="10"/>
  <c r="K29" i="10"/>
  <c r="K28" i="10"/>
  <c r="H29" i="10"/>
  <c r="H28" i="10"/>
  <c r="H27" i="10"/>
  <c r="H8" i="10"/>
  <c r="X30" i="10"/>
  <c r="AA30" i="10" s="1"/>
  <c r="N27" i="10"/>
  <c r="N8" i="10"/>
  <c r="G81" i="10"/>
  <c r="K93" i="10"/>
  <c r="Q93" i="10"/>
  <c r="J93" i="10"/>
  <c r="Q94" i="10"/>
  <c r="G27" i="10"/>
  <c r="G8" i="10"/>
  <c r="R11" i="10"/>
  <c r="I10" i="10"/>
  <c r="G11" i="10"/>
  <c r="I13" i="10"/>
  <c r="AI16" i="10"/>
  <c r="I37" i="10"/>
  <c r="K83" i="10"/>
  <c r="K82" i="10"/>
  <c r="K81" i="10"/>
  <c r="Q81" i="10"/>
  <c r="Q100" i="10"/>
  <c r="K15" i="10"/>
  <c r="K14" i="10"/>
  <c r="AI42" i="10"/>
  <c r="I50" i="10"/>
  <c r="Z84" i="10"/>
  <c r="I88" i="10"/>
  <c r="I85" i="10"/>
  <c r="I81" i="10"/>
  <c r="Q14" i="10"/>
  <c r="I30" i="10"/>
  <c r="I29" i="10"/>
  <c r="I28" i="10"/>
  <c r="I27" i="10"/>
  <c r="I8" i="10"/>
  <c r="I158" i="10"/>
  <c r="V7" i="10"/>
  <c r="Z8" i="10"/>
  <c r="K27" i="10"/>
  <c r="Q27" i="10"/>
  <c r="K148" i="9"/>
  <c r="L158" i="10"/>
  <c r="J158" i="10"/>
  <c r="K8" i="10"/>
  <c r="Q8" i="10"/>
  <c r="X8" i="10"/>
  <c r="J32" i="8"/>
  <c r="I32" i="8"/>
  <c r="I30" i="8"/>
  <c r="J30" i="8"/>
  <c r="O14" i="8"/>
  <c r="R63" i="8"/>
  <c r="R62" i="8"/>
  <c r="J10" i="2"/>
  <c r="R74" i="6"/>
  <c r="R105" i="8"/>
  <c r="R165" i="8"/>
  <c r="R163" i="8"/>
  <c r="R164" i="8"/>
  <c r="R162" i="8"/>
  <c r="R161" i="8"/>
  <c r="H161" i="8"/>
  <c r="I161" i="8"/>
  <c r="J161" i="8"/>
  <c r="K161" i="8"/>
  <c r="L161" i="8"/>
  <c r="M161" i="8"/>
  <c r="N161" i="8"/>
  <c r="O161" i="8"/>
  <c r="P161" i="8"/>
  <c r="G161" i="8"/>
  <c r="R160" i="8"/>
  <c r="R158" i="8"/>
  <c r="R157" i="8"/>
  <c r="R156" i="8"/>
  <c r="R155" i="8"/>
  <c r="R154" i="8"/>
  <c r="R153" i="8"/>
  <c r="R152" i="8"/>
  <c r="R151" i="8"/>
  <c r="R150" i="8"/>
  <c r="R149" i="8"/>
  <c r="R144" i="8"/>
  <c r="H144" i="8"/>
  <c r="I144" i="8"/>
  <c r="J144" i="8"/>
  <c r="K144" i="8"/>
  <c r="L144" i="8"/>
  <c r="M144" i="8"/>
  <c r="N144" i="8"/>
  <c r="O144" i="8"/>
  <c r="P144" i="8"/>
  <c r="G144" i="8"/>
  <c r="R138" i="8"/>
  <c r="R139" i="8"/>
  <c r="R140" i="8"/>
  <c r="R141" i="8"/>
  <c r="R142" i="8"/>
  <c r="R137" i="8"/>
  <c r="R135" i="8"/>
  <c r="R134" i="8"/>
  <c r="R133" i="8"/>
  <c r="R132" i="8"/>
  <c r="R131" i="8"/>
  <c r="R130" i="8"/>
  <c r="R129" i="8"/>
  <c r="R128" i="8"/>
  <c r="R127" i="8"/>
  <c r="R126" i="8"/>
  <c r="R125" i="8"/>
  <c r="R124" i="8"/>
  <c r="R123" i="8"/>
  <c r="R119" i="8"/>
  <c r="R118" i="8"/>
  <c r="H117" i="8"/>
  <c r="I117" i="8"/>
  <c r="J117" i="8"/>
  <c r="K117" i="8"/>
  <c r="L117" i="8"/>
  <c r="M117" i="8"/>
  <c r="N117" i="8"/>
  <c r="O117" i="8"/>
  <c r="P117" i="8"/>
  <c r="G117" i="8"/>
  <c r="R116" i="8"/>
  <c r="R115" i="8"/>
  <c r="R113" i="8"/>
  <c r="R112" i="8"/>
  <c r="H98" i="8"/>
  <c r="J98" i="8"/>
  <c r="L98" i="8"/>
  <c r="M98" i="8"/>
  <c r="N98" i="8"/>
  <c r="O98" i="8"/>
  <c r="P98" i="8"/>
  <c r="G98" i="8"/>
  <c r="R108" i="8"/>
  <c r="R109" i="8"/>
  <c r="R107" i="8"/>
  <c r="H106" i="8"/>
  <c r="I106" i="8"/>
  <c r="J106" i="8"/>
  <c r="K106" i="8"/>
  <c r="L106" i="8"/>
  <c r="M106" i="8"/>
  <c r="N106" i="8"/>
  <c r="O106" i="8"/>
  <c r="P106" i="8"/>
  <c r="G106" i="8"/>
  <c r="R117" i="8"/>
  <c r="R106" i="8"/>
  <c r="R122" i="8"/>
  <c r="R104" i="8"/>
  <c r="R103" i="8"/>
  <c r="R102" i="8"/>
  <c r="R101" i="8"/>
  <c r="R100" i="8"/>
  <c r="R99" i="8"/>
  <c r="R97" i="8"/>
  <c r="R96" i="8"/>
  <c r="R95" i="8"/>
  <c r="R94" i="8"/>
  <c r="R93" i="8"/>
  <c r="R92" i="8"/>
  <c r="R91" i="8"/>
  <c r="R90" i="8"/>
  <c r="R89" i="8"/>
  <c r="R88" i="8"/>
  <c r="R87" i="8"/>
  <c r="R86" i="8"/>
  <c r="R85" i="8"/>
  <c r="R84" i="8"/>
  <c r="R83" i="8"/>
  <c r="R82" i="8"/>
  <c r="R81" i="8"/>
  <c r="R80" i="8"/>
  <c r="R75" i="8"/>
  <c r="R74" i="8"/>
  <c r="R71" i="8"/>
  <c r="R70" i="8"/>
  <c r="R68" i="8"/>
  <c r="R67" i="8"/>
  <c r="H61" i="8"/>
  <c r="I61" i="8"/>
  <c r="J61" i="8"/>
  <c r="K61" i="8"/>
  <c r="L61" i="8"/>
  <c r="M61" i="8"/>
  <c r="N61" i="8"/>
  <c r="O61" i="8"/>
  <c r="P61" i="8"/>
  <c r="G61" i="8"/>
  <c r="R60" i="8"/>
  <c r="R58" i="8"/>
  <c r="R57" i="8"/>
  <c r="R56" i="8"/>
  <c r="R55" i="8"/>
  <c r="R54" i="8"/>
  <c r="R53" i="8"/>
  <c r="R52" i="8"/>
  <c r="R51" i="8"/>
  <c r="R50" i="8"/>
  <c r="R49" i="8"/>
  <c r="R48" i="8"/>
  <c r="R47" i="8"/>
  <c r="R46" i="8"/>
  <c r="R45" i="8"/>
  <c r="R44" i="8"/>
  <c r="R43" i="8"/>
  <c r="R42" i="8"/>
  <c r="R41" i="8"/>
  <c r="R40" i="8"/>
  <c r="R39" i="8"/>
  <c r="R38" i="8"/>
  <c r="R37" i="8"/>
  <c r="R98" i="8"/>
  <c r="R61" i="8"/>
  <c r="R66" i="8"/>
  <c r="R30" i="8"/>
  <c r="R28" i="8"/>
  <c r="R27" i="8"/>
  <c r="R26" i="8"/>
  <c r="R25" i="8"/>
  <c r="R24" i="8"/>
  <c r="R23" i="8"/>
  <c r="R22" i="8"/>
  <c r="R21" i="8"/>
  <c r="R20" i="8"/>
  <c r="R19" i="8"/>
  <c r="R18" i="8"/>
  <c r="R17" i="8"/>
  <c r="R16" i="8"/>
  <c r="H13" i="8"/>
  <c r="J13" i="8"/>
  <c r="L13" i="8"/>
  <c r="M13" i="8"/>
  <c r="N13" i="8"/>
  <c r="O13" i="8"/>
  <c r="P13" i="8"/>
  <c r="G13" i="8"/>
  <c r="R15" i="8"/>
  <c r="R34" i="8"/>
  <c r="R33" i="8"/>
  <c r="H33" i="8"/>
  <c r="I33" i="8"/>
  <c r="J33" i="8"/>
  <c r="K33" i="8"/>
  <c r="L33" i="8"/>
  <c r="M33" i="8"/>
  <c r="N33" i="8"/>
  <c r="O33" i="8"/>
  <c r="P33" i="8"/>
  <c r="G33" i="8"/>
  <c r="R32" i="8"/>
  <c r="R31" i="8"/>
  <c r="R14" i="8"/>
  <c r="R13" i="8"/>
  <c r="M122" i="8"/>
  <c r="N122" i="8"/>
  <c r="O122" i="8"/>
  <c r="P122" i="8"/>
  <c r="M66" i="8"/>
  <c r="N66" i="8"/>
  <c r="O66" i="8"/>
  <c r="P66" i="8"/>
  <c r="R72" i="6"/>
  <c r="H72" i="6"/>
  <c r="I72" i="6"/>
  <c r="J72" i="6"/>
  <c r="K72" i="6"/>
  <c r="L72" i="6"/>
  <c r="M72" i="6"/>
  <c r="N72" i="6"/>
  <c r="O72" i="6"/>
  <c r="P72" i="6"/>
  <c r="G72" i="6"/>
  <c r="G65" i="6"/>
  <c r="G64" i="6"/>
  <c r="R90" i="6"/>
  <c r="R89" i="6"/>
  <c r="H64" i="6"/>
  <c r="I64" i="6"/>
  <c r="J64" i="6"/>
  <c r="K64" i="6"/>
  <c r="L64" i="6"/>
  <c r="M64" i="6"/>
  <c r="N64" i="6"/>
  <c r="O64" i="6"/>
  <c r="P64" i="6"/>
  <c r="Q65" i="6"/>
  <c r="R64" i="6"/>
  <c r="H54" i="6"/>
  <c r="I54" i="6"/>
  <c r="J54" i="6"/>
  <c r="L54" i="6"/>
  <c r="M54" i="6"/>
  <c r="N54" i="6"/>
  <c r="O54" i="6"/>
  <c r="P54" i="6"/>
  <c r="R60" i="6"/>
  <c r="R59" i="6"/>
  <c r="R24" i="6"/>
  <c r="R26" i="6"/>
  <c r="S25" i="7"/>
  <c r="R63" i="6"/>
  <c r="R62" i="6"/>
  <c r="R61" i="6"/>
  <c r="H61" i="6"/>
  <c r="I61" i="6"/>
  <c r="J61" i="6"/>
  <c r="K61" i="6"/>
  <c r="L61" i="6"/>
  <c r="M61" i="6"/>
  <c r="N61" i="6"/>
  <c r="O61" i="6"/>
  <c r="P61" i="6"/>
  <c r="G61" i="6"/>
  <c r="R84" i="6"/>
  <c r="R80" i="6"/>
  <c r="R79" i="6"/>
  <c r="R77" i="6"/>
  <c r="R58" i="6"/>
  <c r="R57" i="6"/>
  <c r="R56" i="6"/>
  <c r="R9" i="6"/>
  <c r="P10" i="6"/>
  <c r="P11" i="6"/>
  <c r="P12" i="6"/>
  <c r="P13" i="6"/>
  <c r="P9" i="6"/>
  <c r="O10" i="6"/>
  <c r="O11" i="6"/>
  <c r="O12" i="6"/>
  <c r="O13" i="6"/>
  <c r="O9" i="6"/>
  <c r="N10" i="6"/>
  <c r="N11" i="6"/>
  <c r="N12" i="6"/>
  <c r="N13" i="6"/>
  <c r="N9" i="6"/>
  <c r="M10" i="6"/>
  <c r="M11" i="6"/>
  <c r="M12" i="6"/>
  <c r="M13" i="6"/>
  <c r="M9" i="6"/>
  <c r="R13" i="6"/>
  <c r="R23" i="6"/>
  <c r="H23" i="6"/>
  <c r="J23" i="6"/>
  <c r="K23" i="6"/>
  <c r="L23" i="6"/>
  <c r="M23" i="6"/>
  <c r="N23" i="6"/>
  <c r="O23" i="6"/>
  <c r="P23" i="6"/>
  <c r="H21" i="6"/>
  <c r="I21" i="6"/>
  <c r="J21" i="6"/>
  <c r="K21" i="6"/>
  <c r="L21" i="6"/>
  <c r="M21" i="6"/>
  <c r="N21" i="6"/>
  <c r="O21" i="6"/>
  <c r="P21" i="6"/>
  <c r="G23" i="6"/>
  <c r="R25" i="6"/>
  <c r="H25" i="6"/>
  <c r="I25" i="6"/>
  <c r="J25" i="6"/>
  <c r="K25" i="6"/>
  <c r="L25" i="6"/>
  <c r="M25" i="6"/>
  <c r="N25" i="6"/>
  <c r="O25" i="6"/>
  <c r="P25" i="6"/>
  <c r="G25" i="6"/>
  <c r="S23" i="7"/>
  <c r="S10" i="7"/>
  <c r="S11" i="7"/>
  <c r="S13" i="7"/>
  <c r="S9" i="7"/>
  <c r="Q10" i="7"/>
  <c r="Q11" i="7"/>
  <c r="Q12" i="7"/>
  <c r="Q13" i="7"/>
  <c r="Q9" i="7"/>
  <c r="P10" i="7"/>
  <c r="P11" i="7"/>
  <c r="P12" i="7"/>
  <c r="P13" i="7"/>
  <c r="P9" i="7"/>
  <c r="O10" i="7"/>
  <c r="O11" i="7"/>
  <c r="O12" i="7"/>
  <c r="O13" i="7"/>
  <c r="O9" i="7"/>
  <c r="N10" i="7"/>
  <c r="N11" i="7"/>
  <c r="N12" i="7"/>
  <c r="N13" i="7"/>
  <c r="N9" i="7"/>
  <c r="M13" i="7"/>
  <c r="M12" i="7"/>
  <c r="M10" i="7"/>
  <c r="M9" i="7"/>
  <c r="L13" i="7"/>
  <c r="L12" i="7"/>
  <c r="L11" i="7"/>
  <c r="L10" i="7"/>
  <c r="L9" i="7"/>
  <c r="K11" i="7"/>
  <c r="K12" i="7"/>
  <c r="K13" i="7"/>
  <c r="K9" i="7"/>
  <c r="J10" i="7"/>
  <c r="J11" i="7"/>
  <c r="J13" i="7"/>
  <c r="J9" i="7"/>
  <c r="I13" i="7"/>
  <c r="I11" i="7"/>
  <c r="I10" i="7"/>
  <c r="I9" i="7"/>
  <c r="I12" i="7"/>
  <c r="H12" i="7"/>
  <c r="R12" i="7" s="1"/>
  <c r="H11" i="7"/>
  <c r="H10" i="7"/>
  <c r="H9" i="7"/>
  <c r="G11" i="7"/>
  <c r="G10" i="7"/>
  <c r="G13" i="7"/>
  <c r="G9" i="7"/>
  <c r="T13" i="7"/>
  <c r="H13" i="7"/>
  <c r="S24" i="7"/>
  <c r="H24" i="7"/>
  <c r="I24" i="7"/>
  <c r="J24" i="7"/>
  <c r="K24" i="7"/>
  <c r="L24" i="7"/>
  <c r="M24" i="7"/>
  <c r="N24" i="7"/>
  <c r="O24" i="7"/>
  <c r="P24" i="7"/>
  <c r="Q24" i="7"/>
  <c r="G24" i="7"/>
  <c r="I21" i="7"/>
  <c r="I18" i="7"/>
  <c r="I15" i="7" s="1"/>
  <c r="I14" i="7" s="1"/>
  <c r="I8" i="7" s="1"/>
  <c r="H231" i="8"/>
  <c r="H230" i="8"/>
  <c r="Z185" i="8"/>
  <c r="W185" i="8"/>
  <c r="L185" i="8"/>
  <c r="J185" i="8"/>
  <c r="I185" i="8"/>
  <c r="H185" i="8"/>
  <c r="G185" i="8"/>
  <c r="W184" i="8"/>
  <c r="L184" i="8"/>
  <c r="J184" i="8"/>
  <c r="H184" i="8"/>
  <c r="AA184" i="8"/>
  <c r="G184" i="8"/>
  <c r="W183" i="8"/>
  <c r="L183" i="8"/>
  <c r="J183" i="8"/>
  <c r="H183" i="8"/>
  <c r="AA183" i="8"/>
  <c r="G183" i="8"/>
  <c r="W182" i="8"/>
  <c r="L182" i="8"/>
  <c r="J182" i="8"/>
  <c r="H182" i="8"/>
  <c r="AA182" i="8"/>
  <c r="G182" i="8"/>
  <c r="W181" i="8"/>
  <c r="L181" i="8"/>
  <c r="J181" i="8"/>
  <c r="H181" i="8"/>
  <c r="AA181" i="8"/>
  <c r="G181" i="8"/>
  <c r="W180" i="8"/>
  <c r="L180" i="8"/>
  <c r="J180" i="8"/>
  <c r="H180" i="8"/>
  <c r="G180" i="8"/>
  <c r="W179" i="8"/>
  <c r="L179" i="8"/>
  <c r="J179" i="8"/>
  <c r="H179" i="8"/>
  <c r="AA179" i="8"/>
  <c r="G179" i="8"/>
  <c r="W178" i="8"/>
  <c r="L178" i="8"/>
  <c r="J178" i="8"/>
  <c r="H178" i="8"/>
  <c r="G178" i="8"/>
  <c r="W177" i="8"/>
  <c r="L177" i="8"/>
  <c r="K177" i="8"/>
  <c r="J177" i="8"/>
  <c r="H177" i="8"/>
  <c r="G177" i="8"/>
  <c r="W176" i="8"/>
  <c r="L176" i="8"/>
  <c r="J176" i="8"/>
  <c r="H176" i="8"/>
  <c r="G176" i="8"/>
  <c r="W175" i="8"/>
  <c r="L175" i="8"/>
  <c r="J175" i="8"/>
  <c r="H175" i="8"/>
  <c r="G175" i="8"/>
  <c r="W174" i="8"/>
  <c r="L174" i="8"/>
  <c r="J174" i="8"/>
  <c r="H174" i="8"/>
  <c r="AA174" i="8"/>
  <c r="G174" i="8"/>
  <c r="W173" i="8"/>
  <c r="L173" i="8"/>
  <c r="J173" i="8"/>
  <c r="H173" i="8"/>
  <c r="G173" i="8"/>
  <c r="W172" i="8"/>
  <c r="L172" i="8"/>
  <c r="J172" i="8"/>
  <c r="H172" i="8"/>
  <c r="G172" i="8"/>
  <c r="W171" i="8"/>
  <c r="L171" i="8"/>
  <c r="K171" i="8"/>
  <c r="J171" i="8"/>
  <c r="H171" i="8"/>
  <c r="G171" i="8"/>
  <c r="W170" i="8"/>
  <c r="L170" i="8"/>
  <c r="K170" i="8"/>
  <c r="J170" i="8"/>
  <c r="H170" i="8"/>
  <c r="W169" i="8"/>
  <c r="L169" i="8"/>
  <c r="J169" i="8"/>
  <c r="I169" i="8"/>
  <c r="H169" i="8"/>
  <c r="G169" i="8"/>
  <c r="W168" i="8"/>
  <c r="L168" i="8"/>
  <c r="H168" i="8"/>
  <c r="R159" i="8"/>
  <c r="P159" i="8"/>
  <c r="O159" i="8"/>
  <c r="N159" i="8"/>
  <c r="M159" i="8"/>
  <c r="L159" i="8"/>
  <c r="K159" i="8"/>
  <c r="J159" i="8"/>
  <c r="I159" i="8"/>
  <c r="H159" i="8"/>
  <c r="G159" i="8"/>
  <c r="K158" i="8"/>
  <c r="AH158" i="8"/>
  <c r="I158" i="8"/>
  <c r="AI158" i="8"/>
  <c r="AH157" i="8"/>
  <c r="I157" i="8"/>
  <c r="AI157" i="8"/>
  <c r="AH156" i="8"/>
  <c r="I156" i="8"/>
  <c r="AI156" i="8"/>
  <c r="K155" i="8"/>
  <c r="AH155" i="8"/>
  <c r="I155" i="8"/>
  <c r="AI154" i="8"/>
  <c r="AH154" i="8"/>
  <c r="AI153" i="8"/>
  <c r="AH153" i="8"/>
  <c r="AI152" i="8"/>
  <c r="AH152" i="8"/>
  <c r="AI151" i="8"/>
  <c r="AH151" i="8"/>
  <c r="AI150" i="8"/>
  <c r="AH150" i="8"/>
  <c r="AI149" i="8"/>
  <c r="AH149" i="8"/>
  <c r="R148" i="8"/>
  <c r="R147" i="8"/>
  <c r="P148" i="8"/>
  <c r="O148" i="8"/>
  <c r="O147" i="8"/>
  <c r="N148" i="8"/>
  <c r="M148" i="8"/>
  <c r="M147" i="8"/>
  <c r="L148" i="8"/>
  <c r="J148" i="8"/>
  <c r="H148" i="8"/>
  <c r="G148" i="8"/>
  <c r="G147" i="8"/>
  <c r="K142" i="8"/>
  <c r="I142" i="8"/>
  <c r="K141" i="8"/>
  <c r="I141" i="8"/>
  <c r="K140" i="8"/>
  <c r="I140" i="8"/>
  <c r="K139" i="8"/>
  <c r="I139" i="8"/>
  <c r="K138" i="8"/>
  <c r="I138" i="8"/>
  <c r="K137" i="8"/>
  <c r="I137" i="8"/>
  <c r="R136" i="8"/>
  <c r="P136" i="8"/>
  <c r="O136" i="8"/>
  <c r="N136" i="8"/>
  <c r="M136" i="8"/>
  <c r="L136" i="8"/>
  <c r="J136" i="8"/>
  <c r="H136" i="8"/>
  <c r="G136" i="8"/>
  <c r="AH135" i="8"/>
  <c r="I135" i="8"/>
  <c r="AI135" i="8"/>
  <c r="K134" i="8"/>
  <c r="AH134" i="8"/>
  <c r="I134" i="8"/>
  <c r="AI134" i="8"/>
  <c r="K133" i="8"/>
  <c r="AH133" i="8"/>
  <c r="I133" i="8"/>
  <c r="AI133" i="8"/>
  <c r="K132" i="8"/>
  <c r="AH132" i="8"/>
  <c r="I132" i="8"/>
  <c r="AI132" i="8"/>
  <c r="K131" i="8"/>
  <c r="AH131" i="8"/>
  <c r="I131" i="8"/>
  <c r="AI131" i="8"/>
  <c r="K130" i="8"/>
  <c r="AH130" i="8"/>
  <c r="I130" i="8"/>
  <c r="AI130" i="8"/>
  <c r="K129" i="8"/>
  <c r="AH129" i="8"/>
  <c r="I129" i="8"/>
  <c r="AI129" i="8"/>
  <c r="K128" i="8"/>
  <c r="AH128" i="8"/>
  <c r="I128" i="8"/>
  <c r="AI128" i="8"/>
  <c r="K127" i="8"/>
  <c r="AH127" i="8"/>
  <c r="I127" i="8"/>
  <c r="AI127" i="8"/>
  <c r="K126" i="8"/>
  <c r="I126" i="8"/>
  <c r="K125" i="8"/>
  <c r="AH125" i="8"/>
  <c r="I125" i="8"/>
  <c r="AI125" i="8"/>
  <c r="K124" i="8"/>
  <c r="AH124" i="8"/>
  <c r="I124" i="8"/>
  <c r="AI124" i="8"/>
  <c r="K123" i="8"/>
  <c r="I123" i="8"/>
  <c r="L122" i="8"/>
  <c r="L121" i="8"/>
  <c r="L120" i="8"/>
  <c r="J122" i="8"/>
  <c r="J121" i="8"/>
  <c r="H122" i="8"/>
  <c r="G122" i="8"/>
  <c r="G121" i="8"/>
  <c r="R121" i="8"/>
  <c r="P121" i="8"/>
  <c r="O121" i="8"/>
  <c r="N121" i="8"/>
  <c r="M121" i="8"/>
  <c r="R114" i="8"/>
  <c r="P114" i="8"/>
  <c r="O114" i="8"/>
  <c r="N114" i="8"/>
  <c r="M114" i="8"/>
  <c r="L114" i="8"/>
  <c r="K114" i="8"/>
  <c r="J114" i="8"/>
  <c r="I114" i="8"/>
  <c r="H114" i="8"/>
  <c r="G114" i="8"/>
  <c r="AI113" i="8"/>
  <c r="K113" i="8"/>
  <c r="AH113" i="8"/>
  <c r="AI112" i="8"/>
  <c r="K112" i="8"/>
  <c r="AH112" i="8"/>
  <c r="R111" i="8"/>
  <c r="P111" i="8"/>
  <c r="O111" i="8"/>
  <c r="N111" i="8"/>
  <c r="M111" i="8"/>
  <c r="L111" i="8"/>
  <c r="J111" i="8"/>
  <c r="I111" i="8"/>
  <c r="H111" i="8"/>
  <c r="H110" i="8"/>
  <c r="G111" i="8"/>
  <c r="K102" i="8"/>
  <c r="K100" i="8"/>
  <c r="I100" i="8"/>
  <c r="K99" i="8"/>
  <c r="I99" i="8"/>
  <c r="AH97" i="8"/>
  <c r="I97" i="8"/>
  <c r="I171" i="8"/>
  <c r="K96" i="8"/>
  <c r="I96" i="8"/>
  <c r="K95" i="8"/>
  <c r="AH95" i="8"/>
  <c r="I95" i="8"/>
  <c r="AH94" i="8"/>
  <c r="I94" i="8"/>
  <c r="I177" i="8"/>
  <c r="K93" i="8"/>
  <c r="I93" i="8"/>
  <c r="K92" i="8"/>
  <c r="AH92" i="8"/>
  <c r="I92" i="8"/>
  <c r="K91" i="8"/>
  <c r="I91" i="8"/>
  <c r="AH90" i="8"/>
  <c r="I90" i="8"/>
  <c r="K89" i="8"/>
  <c r="I89" i="8"/>
  <c r="I183" i="8"/>
  <c r="K88" i="8"/>
  <c r="AH88" i="8"/>
  <c r="I88" i="8"/>
  <c r="AI88" i="8"/>
  <c r="AI87" i="8"/>
  <c r="AH87" i="8"/>
  <c r="AI86" i="8"/>
  <c r="AH86" i="8"/>
  <c r="AI85" i="8"/>
  <c r="AH85" i="8"/>
  <c r="AI84" i="8"/>
  <c r="AH84" i="8"/>
  <c r="AI83" i="8"/>
  <c r="AH83" i="8"/>
  <c r="AI82" i="8"/>
  <c r="K82" i="8"/>
  <c r="AH82" i="8"/>
  <c r="AH81" i="8"/>
  <c r="J81" i="8"/>
  <c r="I81" i="8"/>
  <c r="AI80" i="8"/>
  <c r="AH80" i="8"/>
  <c r="R79" i="8"/>
  <c r="R78" i="8"/>
  <c r="P79" i="8"/>
  <c r="P78" i="8"/>
  <c r="O79" i="8"/>
  <c r="O78" i="8"/>
  <c r="N79" i="8"/>
  <c r="N78" i="8"/>
  <c r="M79" i="8"/>
  <c r="M78" i="8"/>
  <c r="L79" i="8"/>
  <c r="L78" i="8"/>
  <c r="H79" i="8"/>
  <c r="H78" i="8"/>
  <c r="G79" i="8"/>
  <c r="G78" i="8"/>
  <c r="AI77" i="8"/>
  <c r="K77" i="8"/>
  <c r="AH77" i="8"/>
  <c r="R76" i="8"/>
  <c r="P76" i="8"/>
  <c r="O76" i="8"/>
  <c r="N76" i="8"/>
  <c r="M76" i="8"/>
  <c r="L76" i="8"/>
  <c r="J76" i="8"/>
  <c r="I76" i="8"/>
  <c r="H76" i="8"/>
  <c r="AI75" i="8"/>
  <c r="AH75" i="8"/>
  <c r="AI74" i="8"/>
  <c r="K74" i="8"/>
  <c r="AH74" i="8"/>
  <c r="R73" i="8"/>
  <c r="R72" i="8"/>
  <c r="P73" i="8"/>
  <c r="P72" i="8"/>
  <c r="O73" i="8"/>
  <c r="O72" i="8"/>
  <c r="N73" i="8"/>
  <c r="N72" i="8"/>
  <c r="M73" i="8"/>
  <c r="M72" i="8"/>
  <c r="L73" i="8"/>
  <c r="L72" i="8"/>
  <c r="J73" i="8"/>
  <c r="J72" i="8"/>
  <c r="I73" i="8"/>
  <c r="I72" i="8"/>
  <c r="H73" i="8"/>
  <c r="H72" i="8"/>
  <c r="G73" i="8"/>
  <c r="G72" i="8"/>
  <c r="K71" i="8"/>
  <c r="K69" i="8"/>
  <c r="I71" i="8"/>
  <c r="I70" i="8"/>
  <c r="R69" i="8"/>
  <c r="R65" i="8"/>
  <c r="P69" i="8"/>
  <c r="P65" i="8"/>
  <c r="O69" i="8"/>
  <c r="O65" i="8"/>
  <c r="N69" i="8"/>
  <c r="N65" i="8"/>
  <c r="M69" i="8"/>
  <c r="M65" i="8"/>
  <c r="L69" i="8"/>
  <c r="J69" i="8"/>
  <c r="H69" i="8"/>
  <c r="G69" i="8"/>
  <c r="AI68" i="8"/>
  <c r="K68" i="8"/>
  <c r="AH68" i="8"/>
  <c r="AI67" i="8"/>
  <c r="K67" i="8"/>
  <c r="L66" i="8"/>
  <c r="L65" i="8"/>
  <c r="J66" i="8"/>
  <c r="I66" i="8"/>
  <c r="H66" i="8"/>
  <c r="G66" i="8"/>
  <c r="K60" i="8"/>
  <c r="I60" i="8"/>
  <c r="I59" i="8"/>
  <c r="R59" i="8"/>
  <c r="P59" i="8"/>
  <c r="O59" i="8"/>
  <c r="N59" i="8"/>
  <c r="M59" i="8"/>
  <c r="L59" i="8"/>
  <c r="K59" i="8"/>
  <c r="J59" i="8"/>
  <c r="H59" i="8"/>
  <c r="G59" i="8"/>
  <c r="K58" i="8"/>
  <c r="AH58" i="8"/>
  <c r="I58" i="8"/>
  <c r="AI58" i="8"/>
  <c r="K57" i="8"/>
  <c r="AH57" i="8"/>
  <c r="I57" i="8"/>
  <c r="AI57" i="8"/>
  <c r="K56" i="8"/>
  <c r="AH56" i="8"/>
  <c r="I56" i="8"/>
  <c r="AI56" i="8"/>
  <c r="K55" i="8"/>
  <c r="AH55" i="8"/>
  <c r="I55" i="8"/>
  <c r="AI55" i="8"/>
  <c r="K54" i="8"/>
  <c r="AH54" i="8"/>
  <c r="I54" i="8"/>
  <c r="I172" i="8"/>
  <c r="AI53" i="8"/>
  <c r="K53" i="8"/>
  <c r="AI52" i="8"/>
  <c r="AH52" i="8"/>
  <c r="AI51" i="8"/>
  <c r="AH51" i="8"/>
  <c r="AI50" i="8"/>
  <c r="AH50" i="8"/>
  <c r="AI49" i="8"/>
  <c r="AH49" i="8"/>
  <c r="AI48" i="8"/>
  <c r="K48" i="8"/>
  <c r="AH48" i="8"/>
  <c r="K47" i="8"/>
  <c r="AH47" i="8"/>
  <c r="I47" i="8"/>
  <c r="AI47" i="8"/>
  <c r="AI46" i="8"/>
  <c r="AH46" i="8"/>
  <c r="AI45" i="8"/>
  <c r="AH45" i="8"/>
  <c r="AI44" i="8"/>
  <c r="AH44" i="8"/>
  <c r="AI43" i="8"/>
  <c r="AH43" i="8"/>
  <c r="AI42" i="8"/>
  <c r="AH42" i="8"/>
  <c r="AH41" i="8"/>
  <c r="J41" i="8"/>
  <c r="J36" i="8"/>
  <c r="AI40" i="8"/>
  <c r="AH40" i="8"/>
  <c r="AI39" i="8"/>
  <c r="K39" i="8"/>
  <c r="AH39" i="8"/>
  <c r="AI38" i="8"/>
  <c r="AH38" i="8"/>
  <c r="AI37" i="8"/>
  <c r="AH37" i="8"/>
  <c r="R36" i="8"/>
  <c r="P36" i="8"/>
  <c r="O36" i="8"/>
  <c r="O35" i="8"/>
  <c r="N36" i="8"/>
  <c r="M36" i="8"/>
  <c r="L36" i="8"/>
  <c r="H36" i="8"/>
  <c r="H35" i="8"/>
  <c r="G36" i="8"/>
  <c r="G35" i="8"/>
  <c r="K32" i="8"/>
  <c r="K30" i="8"/>
  <c r="R29" i="8"/>
  <c r="P29" i="8"/>
  <c r="O29" i="8"/>
  <c r="N29" i="8"/>
  <c r="M29" i="8"/>
  <c r="L29" i="8"/>
  <c r="J29" i="8"/>
  <c r="J12" i="8"/>
  <c r="H29" i="8"/>
  <c r="H12" i="8"/>
  <c r="G29" i="8"/>
  <c r="G12" i="8"/>
  <c r="K14" i="8"/>
  <c r="K13" i="8"/>
  <c r="I14" i="8"/>
  <c r="I13" i="8"/>
  <c r="K169" i="8"/>
  <c r="I170" i="8"/>
  <c r="G170" i="8"/>
  <c r="G9" i="8"/>
  <c r="S10" i="8"/>
  <c r="P10" i="8"/>
  <c r="O10" i="8"/>
  <c r="N10" i="8"/>
  <c r="M10" i="8"/>
  <c r="L10" i="8"/>
  <c r="J10" i="8"/>
  <c r="H10" i="8"/>
  <c r="G10" i="8"/>
  <c r="S9" i="8"/>
  <c r="P9" i="8"/>
  <c r="O9" i="8"/>
  <c r="N9" i="8"/>
  <c r="M9" i="8"/>
  <c r="L9" i="8"/>
  <c r="H9" i="8"/>
  <c r="AA8" i="8"/>
  <c r="X5" i="8"/>
  <c r="H93" i="7"/>
  <c r="H92" i="7"/>
  <c r="AA47" i="7"/>
  <c r="X47" i="7"/>
  <c r="M47" i="7"/>
  <c r="K47" i="7"/>
  <c r="J47" i="7"/>
  <c r="H47" i="7"/>
  <c r="G47" i="7"/>
  <c r="X46" i="7"/>
  <c r="M46" i="7"/>
  <c r="K46" i="7"/>
  <c r="H46" i="7"/>
  <c r="AB46" i="7"/>
  <c r="G46" i="7"/>
  <c r="X45" i="7"/>
  <c r="M45" i="7"/>
  <c r="K45" i="7"/>
  <c r="H45" i="7"/>
  <c r="AB45" i="7"/>
  <c r="G45" i="7"/>
  <c r="X44" i="7"/>
  <c r="M44" i="7"/>
  <c r="K44" i="7"/>
  <c r="H44" i="7"/>
  <c r="AB44" i="7"/>
  <c r="G44" i="7"/>
  <c r="X43" i="7"/>
  <c r="M43" i="7"/>
  <c r="K43" i="7"/>
  <c r="H43" i="7"/>
  <c r="AB43" i="7"/>
  <c r="G43" i="7"/>
  <c r="X42" i="7"/>
  <c r="M42" i="7"/>
  <c r="K42" i="7"/>
  <c r="H42" i="7"/>
  <c r="G42" i="7"/>
  <c r="X41" i="7"/>
  <c r="M41" i="7"/>
  <c r="K41" i="7"/>
  <c r="H41" i="7"/>
  <c r="AB41" i="7"/>
  <c r="G41" i="7"/>
  <c r="X40" i="7"/>
  <c r="M40" i="7"/>
  <c r="K40" i="7"/>
  <c r="H40" i="7"/>
  <c r="G40" i="7"/>
  <c r="X39" i="7"/>
  <c r="M39" i="7"/>
  <c r="L39" i="7"/>
  <c r="K39" i="7"/>
  <c r="H39" i="7"/>
  <c r="G39" i="7"/>
  <c r="X38" i="7"/>
  <c r="M38" i="7"/>
  <c r="K38" i="7"/>
  <c r="H38" i="7"/>
  <c r="G38" i="7"/>
  <c r="X37" i="7"/>
  <c r="M37" i="7"/>
  <c r="K37" i="7"/>
  <c r="H37" i="7"/>
  <c r="G37" i="7"/>
  <c r="X36" i="7"/>
  <c r="M36" i="7"/>
  <c r="K36" i="7"/>
  <c r="H36" i="7"/>
  <c r="AB36" i="7"/>
  <c r="G36" i="7"/>
  <c r="X35" i="7"/>
  <c r="M35" i="7"/>
  <c r="K35" i="7"/>
  <c r="H35" i="7"/>
  <c r="G35" i="7"/>
  <c r="X34" i="7"/>
  <c r="M34" i="7"/>
  <c r="K34" i="7"/>
  <c r="H34" i="7"/>
  <c r="G34" i="7"/>
  <c r="X33" i="7"/>
  <c r="M33" i="7"/>
  <c r="L33" i="7"/>
  <c r="K33" i="7"/>
  <c r="H33" i="7"/>
  <c r="G33" i="7"/>
  <c r="X32" i="7"/>
  <c r="M32" i="7"/>
  <c r="L32" i="7"/>
  <c r="K32" i="7"/>
  <c r="H32" i="7"/>
  <c r="X31" i="7"/>
  <c r="M31" i="7"/>
  <c r="K31" i="7"/>
  <c r="J31" i="7"/>
  <c r="H31" i="7"/>
  <c r="G31" i="7"/>
  <c r="X30" i="7"/>
  <c r="M30" i="7"/>
  <c r="H30" i="7"/>
  <c r="J40" i="7"/>
  <c r="L38" i="7"/>
  <c r="R38" i="7"/>
  <c r="J38" i="7"/>
  <c r="J33" i="7"/>
  <c r="L35" i="7"/>
  <c r="R35" i="7"/>
  <c r="J35" i="7"/>
  <c r="J39" i="7"/>
  <c r="L36" i="7"/>
  <c r="R36" i="7"/>
  <c r="L43" i="7"/>
  <c r="R43" i="7"/>
  <c r="L41" i="7"/>
  <c r="R41" i="7"/>
  <c r="J45" i="7"/>
  <c r="J34" i="7"/>
  <c r="L42" i="7"/>
  <c r="R42" i="7"/>
  <c r="J42" i="7"/>
  <c r="J46" i="7"/>
  <c r="J37" i="7"/>
  <c r="L31" i="7"/>
  <c r="R31" i="7"/>
  <c r="J32" i="7"/>
  <c r="G32" i="7"/>
  <c r="L30" i="7"/>
  <c r="AL23" i="7"/>
  <c r="AJ23" i="7"/>
  <c r="AI23" i="7"/>
  <c r="AA23" i="7"/>
  <c r="AJ22" i="7"/>
  <c r="AI22" i="7"/>
  <c r="AB22" i="7"/>
  <c r="G22" i="7"/>
  <c r="S22" i="7" s="1"/>
  <c r="S12" i="7" s="1"/>
  <c r="G21" i="7"/>
  <c r="F22" i="7"/>
  <c r="B22" i="7"/>
  <c r="S21" i="7"/>
  <c r="Q21" i="7"/>
  <c r="P21" i="7"/>
  <c r="O21" i="7"/>
  <c r="N21" i="7"/>
  <c r="M21" i="7"/>
  <c r="L21" i="7"/>
  <c r="K21" i="7"/>
  <c r="J21" i="7"/>
  <c r="H21" i="7"/>
  <c r="AJ20" i="7"/>
  <c r="AI20" i="7"/>
  <c r="AE20" i="7"/>
  <c r="AG20" i="7"/>
  <c r="AB20" i="7"/>
  <c r="G20" i="7"/>
  <c r="F20" i="7"/>
  <c r="B20" i="7"/>
  <c r="A20" i="7"/>
  <c r="AM19" i="7"/>
  <c r="AI19" i="7"/>
  <c r="AC19" i="7"/>
  <c r="AB19" i="7"/>
  <c r="J19" i="7"/>
  <c r="J12" i="7" s="1"/>
  <c r="J18" i="7"/>
  <c r="J15" i="7" s="1"/>
  <c r="J14" i="7" s="1"/>
  <c r="J8" i="7" s="1"/>
  <c r="G19" i="7"/>
  <c r="G12" i="7" s="1"/>
  <c r="F19" i="7"/>
  <c r="B19" i="7"/>
  <c r="A19" i="7"/>
  <c r="S18" i="7"/>
  <c r="S15" i="7" s="1"/>
  <c r="Q18" i="7"/>
  <c r="Q15" i="7"/>
  <c r="Q14" i="7"/>
  <c r="Q8" i="7"/>
  <c r="P18" i="7"/>
  <c r="P15" i="7" s="1"/>
  <c r="P14" i="7" s="1"/>
  <c r="P8" i="7" s="1"/>
  <c r="O18" i="7"/>
  <c r="O15" i="7" s="1"/>
  <c r="O14" i="7" s="1"/>
  <c r="O8" i="7" s="1"/>
  <c r="N18" i="7"/>
  <c r="N15" i="7" s="1"/>
  <c r="N14" i="7" s="1"/>
  <c r="N8" i="7" s="1"/>
  <c r="M18" i="7"/>
  <c r="M15" i="7" s="1"/>
  <c r="M14" i="7" s="1"/>
  <c r="M8" i="7" s="1"/>
  <c r="L18" i="7"/>
  <c r="L15" i="7" s="1"/>
  <c r="L14" i="7" s="1"/>
  <c r="K18" i="7"/>
  <c r="K15" i="7" s="1"/>
  <c r="K14" i="7" s="1"/>
  <c r="K8" i="7" s="1"/>
  <c r="H18" i="7"/>
  <c r="H15" i="7" s="1"/>
  <c r="H14" i="7" s="1"/>
  <c r="H8" i="7" s="1"/>
  <c r="B15" i="7"/>
  <c r="A15" i="7"/>
  <c r="T12" i="7"/>
  <c r="T11" i="7"/>
  <c r="M11" i="7"/>
  <c r="T10" i="7"/>
  <c r="K10" i="7"/>
  <c r="T9" i="7"/>
  <c r="T8" i="7" s="1"/>
  <c r="AB8" i="7"/>
  <c r="AB10" i="7"/>
  <c r="Y5" i="7"/>
  <c r="H157" i="6"/>
  <c r="H156" i="6"/>
  <c r="Z111" i="6"/>
  <c r="W111" i="6"/>
  <c r="L111" i="6"/>
  <c r="J111" i="6"/>
  <c r="I111" i="6"/>
  <c r="H111" i="6"/>
  <c r="G111" i="6"/>
  <c r="W110" i="6"/>
  <c r="L110" i="6"/>
  <c r="J110" i="6"/>
  <c r="H110" i="6"/>
  <c r="AA110" i="6"/>
  <c r="G110" i="6"/>
  <c r="W109" i="6"/>
  <c r="L109" i="6"/>
  <c r="J109" i="6"/>
  <c r="H109" i="6"/>
  <c r="AA109" i="6"/>
  <c r="G109" i="6"/>
  <c r="W108" i="6"/>
  <c r="L108" i="6"/>
  <c r="J108" i="6"/>
  <c r="H108" i="6"/>
  <c r="AA108" i="6"/>
  <c r="G108" i="6"/>
  <c r="W107" i="6"/>
  <c r="L107" i="6"/>
  <c r="J107" i="6"/>
  <c r="H107" i="6"/>
  <c r="AA107" i="6"/>
  <c r="G107" i="6"/>
  <c r="W106" i="6"/>
  <c r="L106" i="6"/>
  <c r="J106" i="6"/>
  <c r="H106" i="6"/>
  <c r="G106" i="6"/>
  <c r="W105" i="6"/>
  <c r="L105" i="6"/>
  <c r="J105" i="6"/>
  <c r="H105" i="6"/>
  <c r="AA105" i="6"/>
  <c r="G105" i="6"/>
  <c r="W104" i="6"/>
  <c r="L104" i="6"/>
  <c r="J104" i="6"/>
  <c r="H104" i="6"/>
  <c r="G104" i="6"/>
  <c r="W103" i="6"/>
  <c r="L103" i="6"/>
  <c r="K103" i="6"/>
  <c r="J103" i="6"/>
  <c r="H103" i="6"/>
  <c r="G103" i="6"/>
  <c r="W102" i="6"/>
  <c r="L102" i="6"/>
  <c r="J102" i="6"/>
  <c r="H102" i="6"/>
  <c r="G102" i="6"/>
  <c r="W101" i="6"/>
  <c r="L101" i="6"/>
  <c r="J101" i="6"/>
  <c r="H101" i="6"/>
  <c r="G101" i="6"/>
  <c r="W100" i="6"/>
  <c r="L100" i="6"/>
  <c r="J100" i="6"/>
  <c r="H100" i="6"/>
  <c r="AA100" i="6"/>
  <c r="G100" i="6"/>
  <c r="W99" i="6"/>
  <c r="L99" i="6"/>
  <c r="J99" i="6"/>
  <c r="H99" i="6"/>
  <c r="G99" i="6"/>
  <c r="W98" i="6"/>
  <c r="L98" i="6"/>
  <c r="J98" i="6"/>
  <c r="H98" i="6"/>
  <c r="G98" i="6"/>
  <c r="W97" i="6"/>
  <c r="L97" i="6"/>
  <c r="K97" i="6"/>
  <c r="J97" i="6"/>
  <c r="H97" i="6"/>
  <c r="G97" i="6"/>
  <c r="W96" i="6"/>
  <c r="L96" i="6"/>
  <c r="K96" i="6"/>
  <c r="J96" i="6"/>
  <c r="H96" i="6"/>
  <c r="W95" i="6"/>
  <c r="L95" i="6"/>
  <c r="J95" i="6"/>
  <c r="I95" i="6"/>
  <c r="H95" i="6"/>
  <c r="G95" i="6"/>
  <c r="W94" i="6"/>
  <c r="L94" i="6"/>
  <c r="H94" i="6"/>
  <c r="I104" i="6"/>
  <c r="K102" i="6"/>
  <c r="I102" i="6"/>
  <c r="I97" i="6"/>
  <c r="I103" i="6"/>
  <c r="I109" i="6"/>
  <c r="I98" i="6"/>
  <c r="K90" i="6"/>
  <c r="I90" i="6"/>
  <c r="I88" i="6"/>
  <c r="R88" i="6"/>
  <c r="P88" i="6"/>
  <c r="O88" i="6"/>
  <c r="N88" i="6"/>
  <c r="M88" i="6"/>
  <c r="L88" i="6"/>
  <c r="K88" i="6"/>
  <c r="J88" i="6"/>
  <c r="H88" i="6"/>
  <c r="G88" i="6"/>
  <c r="K87" i="6"/>
  <c r="K95" i="6"/>
  <c r="R86" i="6"/>
  <c r="P86" i="6"/>
  <c r="O86" i="6"/>
  <c r="O85" i="6"/>
  <c r="N86" i="6"/>
  <c r="M86" i="6"/>
  <c r="L86" i="6"/>
  <c r="J86" i="6"/>
  <c r="I86" i="6"/>
  <c r="H86" i="6"/>
  <c r="G86" i="6"/>
  <c r="K84" i="6"/>
  <c r="AH84" i="6"/>
  <c r="I84" i="6"/>
  <c r="AI84" i="6"/>
  <c r="F84" i="6"/>
  <c r="B84" i="6"/>
  <c r="A84" i="6"/>
  <c r="R83" i="6"/>
  <c r="R82" i="6"/>
  <c r="P83" i="6"/>
  <c r="P82" i="6"/>
  <c r="O83" i="6"/>
  <c r="O82" i="6"/>
  <c r="N83" i="6"/>
  <c r="N82" i="6"/>
  <c r="M83" i="6"/>
  <c r="M82" i="6"/>
  <c r="L83" i="6"/>
  <c r="L82" i="6"/>
  <c r="J83" i="6"/>
  <c r="J82" i="6"/>
  <c r="H83" i="6"/>
  <c r="H82" i="6"/>
  <c r="G83" i="6"/>
  <c r="G82" i="6"/>
  <c r="AA81" i="6"/>
  <c r="B81" i="6"/>
  <c r="R78" i="6"/>
  <c r="P78" i="6"/>
  <c r="O78" i="6"/>
  <c r="N78" i="6"/>
  <c r="M78" i="6"/>
  <c r="L78" i="6"/>
  <c r="K78" i="6"/>
  <c r="J78" i="6"/>
  <c r="I78" i="6"/>
  <c r="H78" i="6"/>
  <c r="G78" i="6"/>
  <c r="R76" i="6"/>
  <c r="P76" i="6"/>
  <c r="O76" i="6"/>
  <c r="N76" i="6"/>
  <c r="M76" i="6"/>
  <c r="L76" i="6"/>
  <c r="K76" i="6"/>
  <c r="J76" i="6"/>
  <c r="I76" i="6"/>
  <c r="H76" i="6"/>
  <c r="G76" i="6"/>
  <c r="K56" i="6"/>
  <c r="K54" i="6"/>
  <c r="AI55" i="6"/>
  <c r="AH55" i="6"/>
  <c r="G55" i="6"/>
  <c r="F55" i="6"/>
  <c r="B55" i="6"/>
  <c r="AH53" i="6"/>
  <c r="AA53" i="6"/>
  <c r="I53" i="6"/>
  <c r="AI53" i="6"/>
  <c r="G53" i="6"/>
  <c r="R53" i="6"/>
  <c r="F53" i="6"/>
  <c r="B53" i="6"/>
  <c r="A53" i="6"/>
  <c r="AI52" i="6"/>
  <c r="AH52" i="6"/>
  <c r="G52" i="6"/>
  <c r="R52" i="6"/>
  <c r="F52" i="6"/>
  <c r="B52" i="6"/>
  <c r="A52" i="6"/>
  <c r="AI51" i="6"/>
  <c r="AH51" i="6"/>
  <c r="AB51" i="6"/>
  <c r="Z51" i="6"/>
  <c r="G51" i="6"/>
  <c r="R51" i="6"/>
  <c r="F51" i="6"/>
  <c r="B51" i="6"/>
  <c r="A51" i="6"/>
  <c r="P50" i="6"/>
  <c r="O50" i="6"/>
  <c r="N50" i="6"/>
  <c r="M50" i="6"/>
  <c r="L50" i="6"/>
  <c r="K50" i="6"/>
  <c r="J50" i="6"/>
  <c r="H50" i="6"/>
  <c r="AH49" i="6"/>
  <c r="I49" i="6"/>
  <c r="AI49" i="6"/>
  <c r="G49" i="6"/>
  <c r="F49" i="6"/>
  <c r="B49" i="6"/>
  <c r="A49" i="6"/>
  <c r="AH48" i="6"/>
  <c r="I48" i="6"/>
  <c r="AI48" i="6"/>
  <c r="G48" i="6"/>
  <c r="F48" i="6"/>
  <c r="B48" i="6"/>
  <c r="A48" i="6"/>
  <c r="AH47" i="6"/>
  <c r="I47" i="6"/>
  <c r="AI47" i="6"/>
  <c r="G47" i="6"/>
  <c r="F47" i="6"/>
  <c r="B47" i="6"/>
  <c r="A47" i="6"/>
  <c r="AH46" i="6"/>
  <c r="I46" i="6"/>
  <c r="AI46" i="6"/>
  <c r="G46" i="6"/>
  <c r="F46" i="6"/>
  <c r="B46" i="6"/>
  <c r="A46" i="6"/>
  <c r="AH45" i="6"/>
  <c r="I45" i="6"/>
  <c r="I96" i="6"/>
  <c r="G45" i="6"/>
  <c r="G96" i="6"/>
  <c r="F45" i="6"/>
  <c r="B45" i="6"/>
  <c r="A45" i="6"/>
  <c r="AH44" i="6"/>
  <c r="I44" i="6"/>
  <c r="AI44" i="6"/>
  <c r="G44" i="6"/>
  <c r="F44" i="6"/>
  <c r="B44" i="6"/>
  <c r="A44" i="6"/>
  <c r="AH43" i="6"/>
  <c r="I43" i="6"/>
  <c r="AI43" i="6"/>
  <c r="G43" i="6"/>
  <c r="F43" i="6"/>
  <c r="B43" i="6"/>
  <c r="A43" i="6"/>
  <c r="AH42" i="6"/>
  <c r="I42" i="6"/>
  <c r="AI42" i="6"/>
  <c r="G42" i="6"/>
  <c r="R10" i="6"/>
  <c r="F42" i="6"/>
  <c r="B42" i="6"/>
  <c r="A42" i="6"/>
  <c r="P41" i="6"/>
  <c r="O41" i="6"/>
  <c r="N41" i="6"/>
  <c r="M41" i="6"/>
  <c r="L41" i="6"/>
  <c r="K41" i="6"/>
  <c r="J41" i="6"/>
  <c r="H41" i="6"/>
  <c r="AH40" i="6"/>
  <c r="I40" i="6"/>
  <c r="AI40" i="6"/>
  <c r="G40" i="6"/>
  <c r="F40" i="6"/>
  <c r="B40" i="6"/>
  <c r="A40" i="6"/>
  <c r="AH39" i="6"/>
  <c r="I39" i="6"/>
  <c r="AI39" i="6"/>
  <c r="G39" i="6"/>
  <c r="F39" i="6"/>
  <c r="B39" i="6"/>
  <c r="A39" i="6"/>
  <c r="AH38" i="6"/>
  <c r="AB38" i="6"/>
  <c r="AC38" i="6"/>
  <c r="I38" i="6"/>
  <c r="AI38" i="6"/>
  <c r="G38" i="6"/>
  <c r="F38" i="6"/>
  <c r="B38" i="6"/>
  <c r="A38" i="6"/>
  <c r="R37" i="6"/>
  <c r="P37" i="6"/>
  <c r="O37" i="6"/>
  <c r="N37" i="6"/>
  <c r="M37" i="6"/>
  <c r="L37" i="6"/>
  <c r="K37" i="6"/>
  <c r="J37" i="6"/>
  <c r="H37" i="6"/>
  <c r="B37" i="6"/>
  <c r="I35" i="6"/>
  <c r="K34" i="6"/>
  <c r="K31" i="6"/>
  <c r="I34" i="6"/>
  <c r="I33" i="6"/>
  <c r="I32" i="6"/>
  <c r="R31" i="6"/>
  <c r="P31" i="6"/>
  <c r="O31" i="6"/>
  <c r="N31" i="6"/>
  <c r="N30" i="6"/>
  <c r="M31" i="6"/>
  <c r="L31" i="6"/>
  <c r="J31" i="6"/>
  <c r="H31" i="6"/>
  <c r="G31" i="6"/>
  <c r="A31" i="6"/>
  <c r="B27" i="6"/>
  <c r="A27" i="6"/>
  <c r="I24" i="6"/>
  <c r="I23" i="6"/>
  <c r="AI22" i="6"/>
  <c r="AH22" i="6"/>
  <c r="G22" i="6"/>
  <c r="F22" i="6"/>
  <c r="B22" i="6"/>
  <c r="A22" i="6"/>
  <c r="K20" i="6"/>
  <c r="AH20" i="6"/>
  <c r="I20" i="6"/>
  <c r="AI20" i="6"/>
  <c r="K19" i="6"/>
  <c r="AH19" i="6"/>
  <c r="I19" i="6"/>
  <c r="AI19" i="6"/>
  <c r="K18" i="6"/>
  <c r="AH18" i="6"/>
  <c r="I18" i="6"/>
  <c r="AI18" i="6"/>
  <c r="K17" i="6"/>
  <c r="AH17" i="6"/>
  <c r="I17" i="6"/>
  <c r="AI17" i="6"/>
  <c r="A17" i="6"/>
  <c r="K16" i="6"/>
  <c r="I16" i="6"/>
  <c r="A16" i="6"/>
  <c r="R15" i="6"/>
  <c r="P15" i="6"/>
  <c r="P14" i="6" s="1"/>
  <c r="O15" i="6"/>
  <c r="O14" i="6" s="1"/>
  <c r="N15" i="6"/>
  <c r="N14" i="6" s="1"/>
  <c r="M15" i="6"/>
  <c r="M14" i="6" s="1"/>
  <c r="L15" i="6"/>
  <c r="L14" i="6" s="1"/>
  <c r="J15" i="6"/>
  <c r="J14" i="6" s="1"/>
  <c r="H15" i="6"/>
  <c r="H14" i="6" s="1"/>
  <c r="G15" i="6"/>
  <c r="B15" i="6"/>
  <c r="A15" i="6"/>
  <c r="S13" i="6"/>
  <c r="L13" i="6"/>
  <c r="J13" i="6"/>
  <c r="H13" i="6"/>
  <c r="G13" i="6"/>
  <c r="S12" i="6"/>
  <c r="L12" i="6"/>
  <c r="H12" i="6"/>
  <c r="S11" i="6"/>
  <c r="L11" i="6"/>
  <c r="K11" i="6"/>
  <c r="J11" i="6"/>
  <c r="H11" i="6"/>
  <c r="S10" i="6"/>
  <c r="L10" i="6"/>
  <c r="K10" i="6"/>
  <c r="J10" i="6"/>
  <c r="H10" i="6"/>
  <c r="S9" i="6"/>
  <c r="L9" i="6"/>
  <c r="J9" i="6"/>
  <c r="H9" i="6"/>
  <c r="G9" i="6"/>
  <c r="AA8" i="6"/>
  <c r="AA10" i="6"/>
  <c r="X5" i="6"/>
  <c r="X29" i="7"/>
  <c r="L8" i="7"/>
  <c r="R14" i="7"/>
  <c r="M30" i="6"/>
  <c r="H30" i="6"/>
  <c r="H85" i="6"/>
  <c r="M85" i="6"/>
  <c r="R85" i="6"/>
  <c r="J30" i="6"/>
  <c r="H147" i="8"/>
  <c r="N147" i="8"/>
  <c r="I98" i="8"/>
  <c r="J110" i="8"/>
  <c r="J147" i="8"/>
  <c r="L110" i="8"/>
  <c r="P110" i="8"/>
  <c r="P120" i="8"/>
  <c r="L147" i="8"/>
  <c r="P147" i="8"/>
  <c r="G110" i="8"/>
  <c r="J120" i="8"/>
  <c r="K148" i="8"/>
  <c r="K147" i="8"/>
  <c r="Q147" i="8"/>
  <c r="O110" i="8"/>
  <c r="O120" i="8"/>
  <c r="M110" i="8"/>
  <c r="R110" i="8"/>
  <c r="M120" i="8"/>
  <c r="R120" i="8"/>
  <c r="I110" i="8"/>
  <c r="N110" i="8"/>
  <c r="N120" i="8"/>
  <c r="G120" i="8"/>
  <c r="K98" i="8"/>
  <c r="L35" i="8"/>
  <c r="P35" i="8"/>
  <c r="I176" i="8"/>
  <c r="M35" i="8"/>
  <c r="R35" i="8"/>
  <c r="N35" i="8"/>
  <c r="J35" i="8"/>
  <c r="K176" i="8"/>
  <c r="Q176" i="8"/>
  <c r="I69" i="8"/>
  <c r="I65" i="8"/>
  <c r="I136" i="8"/>
  <c r="I173" i="8"/>
  <c r="L12" i="8"/>
  <c r="P12" i="8"/>
  <c r="M12" i="8"/>
  <c r="R12" i="8"/>
  <c r="G65" i="8"/>
  <c r="H65" i="8"/>
  <c r="I175" i="8"/>
  <c r="N12" i="8"/>
  <c r="K173" i="8"/>
  <c r="Q173" i="8"/>
  <c r="O12" i="8"/>
  <c r="K73" i="8"/>
  <c r="K72" i="8"/>
  <c r="Q72" i="8"/>
  <c r="AI89" i="8"/>
  <c r="K180" i="8"/>
  <c r="Q180" i="8"/>
  <c r="Q169" i="8"/>
  <c r="K10" i="8"/>
  <c r="Q10" i="8"/>
  <c r="K66" i="8"/>
  <c r="K65" i="8"/>
  <c r="AI95" i="8"/>
  <c r="K9" i="8"/>
  <c r="Q9" i="8"/>
  <c r="N64" i="8"/>
  <c r="K122" i="8"/>
  <c r="K121" i="8"/>
  <c r="K136" i="8"/>
  <c r="J65" i="8"/>
  <c r="L167" i="8"/>
  <c r="S8" i="8"/>
  <c r="K168" i="8"/>
  <c r="Q168" i="8"/>
  <c r="I184" i="8"/>
  <c r="AH67" i="8"/>
  <c r="K179" i="8"/>
  <c r="Q179" i="8"/>
  <c r="W167" i="8"/>
  <c r="H232" i="8"/>
  <c r="J9" i="8"/>
  <c r="K29" i="8"/>
  <c r="K174" i="8"/>
  <c r="Q174" i="8"/>
  <c r="AI97" i="8"/>
  <c r="I180" i="8"/>
  <c r="K181" i="8"/>
  <c r="Q181" i="8"/>
  <c r="AH93" i="8"/>
  <c r="AI96" i="8"/>
  <c r="I122" i="8"/>
  <c r="I121" i="8"/>
  <c r="I178" i="8"/>
  <c r="H167" i="8"/>
  <c r="Q171" i="8"/>
  <c r="Q177" i="8"/>
  <c r="O30" i="6"/>
  <c r="I85" i="6"/>
  <c r="N85" i="6"/>
  <c r="L30" i="6"/>
  <c r="P30" i="6"/>
  <c r="J85" i="6"/>
  <c r="K30" i="6"/>
  <c r="G85" i="6"/>
  <c r="L85" i="6"/>
  <c r="P85" i="6"/>
  <c r="I83" i="6"/>
  <c r="I82" i="6"/>
  <c r="R55" i="6"/>
  <c r="R54" i="6"/>
  <c r="G54" i="6"/>
  <c r="H75" i="6"/>
  <c r="L75" i="6"/>
  <c r="P75" i="6"/>
  <c r="P29" i="6" s="1"/>
  <c r="P28" i="6" s="1"/>
  <c r="K83" i="6"/>
  <c r="K82" i="6"/>
  <c r="Z84" i="6"/>
  <c r="Q102" i="6"/>
  <c r="R50" i="6"/>
  <c r="R41" i="6"/>
  <c r="R30" i="6"/>
  <c r="R11" i="6"/>
  <c r="R22" i="6"/>
  <c r="G21" i="6"/>
  <c r="O81" i="6"/>
  <c r="G10" i="6"/>
  <c r="I31" i="6"/>
  <c r="G81" i="6"/>
  <c r="K106" i="6"/>
  <c r="Q106" i="6"/>
  <c r="K99" i="6"/>
  <c r="Q99" i="6"/>
  <c r="I75" i="6"/>
  <c r="M75" i="6"/>
  <c r="R75" i="6"/>
  <c r="M81" i="6"/>
  <c r="K13" i="6"/>
  <c r="Q13" i="6"/>
  <c r="K100" i="6"/>
  <c r="Q100" i="6"/>
  <c r="H158" i="6"/>
  <c r="K12" i="6"/>
  <c r="Q12" i="6"/>
  <c r="G11" i="6"/>
  <c r="N81" i="6"/>
  <c r="Q95" i="6"/>
  <c r="I99" i="6"/>
  <c r="W93" i="6"/>
  <c r="H93" i="6"/>
  <c r="L93" i="6"/>
  <c r="G41" i="6"/>
  <c r="S8" i="6"/>
  <c r="G12" i="6"/>
  <c r="J81" i="6"/>
  <c r="P81" i="6"/>
  <c r="K9" i="6"/>
  <c r="Q9" i="6"/>
  <c r="I11" i="6"/>
  <c r="I15" i="6"/>
  <c r="I14" i="6" s="1"/>
  <c r="I50" i="6"/>
  <c r="J75" i="6"/>
  <c r="J29" i="6"/>
  <c r="J28" i="6"/>
  <c r="J27" i="6"/>
  <c r="N75" i="6"/>
  <c r="N29" i="6"/>
  <c r="N28" i="6"/>
  <c r="N27" i="6"/>
  <c r="G75" i="6"/>
  <c r="K75" i="6"/>
  <c r="O75" i="6"/>
  <c r="L81" i="6"/>
  <c r="I81" i="6"/>
  <c r="R81" i="6"/>
  <c r="I106" i="6"/>
  <c r="K107" i="6"/>
  <c r="Q107" i="6"/>
  <c r="K94" i="6"/>
  <c r="Q94" i="6"/>
  <c r="H29" i="6"/>
  <c r="H28" i="6"/>
  <c r="L29" i="6"/>
  <c r="H81" i="6"/>
  <c r="X30" i="6"/>
  <c r="I101" i="6"/>
  <c r="I10" i="6"/>
  <c r="I9" i="6"/>
  <c r="J12" i="6"/>
  <c r="Q30" i="6"/>
  <c r="I37" i="6"/>
  <c r="M29" i="6"/>
  <c r="M28" i="6"/>
  <c r="M27" i="6"/>
  <c r="G37" i="6"/>
  <c r="Q50" i="6"/>
  <c r="G50" i="6"/>
  <c r="G30" i="6" s="1"/>
  <c r="K86" i="6"/>
  <c r="I110" i="6"/>
  <c r="K105" i="6"/>
  <c r="Q105" i="6"/>
  <c r="Q103" i="6"/>
  <c r="Q10" i="6"/>
  <c r="Q11" i="6"/>
  <c r="Q97" i="6"/>
  <c r="S14" i="7"/>
  <c r="S8" i="7"/>
  <c r="H29" i="7"/>
  <c r="M29" i="7"/>
  <c r="R15" i="7"/>
  <c r="R33" i="7"/>
  <c r="H94" i="7"/>
  <c r="R39" i="7"/>
  <c r="AI81" i="8"/>
  <c r="I79" i="8"/>
  <c r="I78" i="8"/>
  <c r="K175" i="8"/>
  <c r="Q175" i="8"/>
  <c r="AI14" i="8"/>
  <c r="K172" i="8"/>
  <c r="Q172" i="8"/>
  <c r="AH53" i="8"/>
  <c r="AI54" i="8"/>
  <c r="AI76" i="8"/>
  <c r="J79" i="8"/>
  <c r="J78" i="8"/>
  <c r="K79" i="8"/>
  <c r="K78" i="8"/>
  <c r="I181" i="8"/>
  <c r="AI92" i="8"/>
  <c r="AI94" i="8"/>
  <c r="K111" i="8"/>
  <c r="K110" i="8"/>
  <c r="H121" i="8"/>
  <c r="H120" i="8"/>
  <c r="AI126" i="8"/>
  <c r="G168" i="8"/>
  <c r="G167" i="8"/>
  <c r="Q170" i="8"/>
  <c r="I10" i="8"/>
  <c r="L64" i="8"/>
  <c r="P64" i="8"/>
  <c r="K185" i="8"/>
  <c r="Q185" i="8"/>
  <c r="K76" i="8"/>
  <c r="AH76" i="8"/>
  <c r="K183" i="8"/>
  <c r="Q183" i="8"/>
  <c r="AH89" i="8"/>
  <c r="I179" i="8"/>
  <c r="AI91" i="8"/>
  <c r="K182" i="8"/>
  <c r="Q182" i="8"/>
  <c r="AH123" i="8"/>
  <c r="AI155" i="8"/>
  <c r="I148" i="8"/>
  <c r="J168" i="8"/>
  <c r="K184" i="8"/>
  <c r="Q184" i="8"/>
  <c r="AH14" i="8"/>
  <c r="I29" i="8"/>
  <c r="K36" i="8"/>
  <c r="K35" i="8"/>
  <c r="I41" i="8"/>
  <c r="I182" i="8"/>
  <c r="AI90" i="8"/>
  <c r="AH91" i="8"/>
  <c r="I174" i="8"/>
  <c r="AI93" i="8"/>
  <c r="AH96" i="8"/>
  <c r="AI123" i="8"/>
  <c r="K178" i="8"/>
  <c r="Q178" i="8"/>
  <c r="AH126" i="8"/>
  <c r="R30" i="7"/>
  <c r="G18" i="7"/>
  <c r="G15" i="7" s="1"/>
  <c r="G14" i="7" s="1"/>
  <c r="G8" i="7" s="1"/>
  <c r="L37" i="7"/>
  <c r="R37" i="7"/>
  <c r="L34" i="7"/>
  <c r="R34" i="7"/>
  <c r="J43" i="7"/>
  <c r="G30" i="7"/>
  <c r="G29" i="7"/>
  <c r="R32" i="7"/>
  <c r="J96" i="7"/>
  <c r="L47" i="7"/>
  <c r="R47" i="7"/>
  <c r="L45" i="7"/>
  <c r="R45" i="7"/>
  <c r="J41" i="7"/>
  <c r="L44" i="7"/>
  <c r="R44" i="7"/>
  <c r="K30" i="7"/>
  <c r="AJ19" i="7"/>
  <c r="L46" i="7"/>
  <c r="R46" i="7"/>
  <c r="J30" i="7"/>
  <c r="J44" i="7"/>
  <c r="J36" i="7"/>
  <c r="L40" i="7"/>
  <c r="R40" i="7"/>
  <c r="AI16" i="6"/>
  <c r="I41" i="6"/>
  <c r="AI45" i="6"/>
  <c r="K101" i="6"/>
  <c r="Q101" i="6"/>
  <c r="K98" i="6"/>
  <c r="Q98" i="6"/>
  <c r="I107" i="6"/>
  <c r="G94" i="6"/>
  <c r="G93" i="6"/>
  <c r="Q96" i="6"/>
  <c r="I13" i="6"/>
  <c r="K15" i="6"/>
  <c r="K14" i="6" s="1"/>
  <c r="I160" i="6"/>
  <c r="K111" i="6"/>
  <c r="Q111" i="6"/>
  <c r="K109" i="6"/>
  <c r="Q109" i="6"/>
  <c r="I105" i="6"/>
  <c r="K108" i="6"/>
  <c r="Q108" i="6"/>
  <c r="J94" i="6"/>
  <c r="AH16" i="6"/>
  <c r="K110" i="6"/>
  <c r="Q110" i="6"/>
  <c r="I108" i="6"/>
  <c r="I100" i="6"/>
  <c r="K104" i="6"/>
  <c r="Q104" i="6"/>
  <c r="P11" i="8"/>
  <c r="P8" i="8"/>
  <c r="I147" i="8"/>
  <c r="AI147" i="8" s="1"/>
  <c r="K120" i="8"/>
  <c r="AH120" i="8"/>
  <c r="I120" i="8"/>
  <c r="AI120" i="8"/>
  <c r="AH147" i="8"/>
  <c r="I12" i="8"/>
  <c r="J64" i="8"/>
  <c r="J11" i="8"/>
  <c r="J8" i="8"/>
  <c r="N11" i="8"/>
  <c r="N8" i="8"/>
  <c r="M64" i="8"/>
  <c r="M11" i="8"/>
  <c r="M8" i="8"/>
  <c r="Q65" i="8"/>
  <c r="H64" i="8"/>
  <c r="H11" i="8"/>
  <c r="H8" i="8"/>
  <c r="R64" i="8"/>
  <c r="R11" i="8"/>
  <c r="R8" i="8"/>
  <c r="L11" i="8"/>
  <c r="L8" i="8"/>
  <c r="AH122" i="8"/>
  <c r="O64" i="8"/>
  <c r="O11" i="8"/>
  <c r="O8" i="8"/>
  <c r="K12" i="8"/>
  <c r="Q12" i="8"/>
  <c r="AI122" i="8"/>
  <c r="G64" i="8"/>
  <c r="G11" i="8"/>
  <c r="G8" i="8"/>
  <c r="I234" i="8"/>
  <c r="I64" i="8"/>
  <c r="K85" i="6"/>
  <c r="K81" i="6"/>
  <c r="Q81" i="6"/>
  <c r="I30" i="6"/>
  <c r="P27" i="6"/>
  <c r="R29" i="6"/>
  <c r="R28" i="6"/>
  <c r="R27" i="6"/>
  <c r="I29" i="6"/>
  <c r="I28" i="6"/>
  <c r="I27" i="6"/>
  <c r="H27" i="6"/>
  <c r="G29" i="6"/>
  <c r="L28" i="6"/>
  <c r="L27" i="6"/>
  <c r="L8" i="6"/>
  <c r="K29" i="6"/>
  <c r="K28" i="6"/>
  <c r="N8" i="6"/>
  <c r="M8" i="6"/>
  <c r="R12" i="6"/>
  <c r="R21" i="6"/>
  <c r="J8" i="6"/>
  <c r="O29" i="6"/>
  <c r="O28" i="6"/>
  <c r="O27" i="6"/>
  <c r="J29" i="7"/>
  <c r="AI41" i="8"/>
  <c r="I36" i="8"/>
  <c r="I35" i="8"/>
  <c r="I9" i="8"/>
  <c r="J167" i="8"/>
  <c r="Q78" i="8"/>
  <c r="Q35" i="8"/>
  <c r="K167" i="8"/>
  <c r="Q167" i="8"/>
  <c r="I168" i="8"/>
  <c r="I167" i="8"/>
  <c r="L29" i="7"/>
  <c r="R29" i="7"/>
  <c r="K29" i="7"/>
  <c r="I12" i="6"/>
  <c r="I94" i="6"/>
  <c r="I93" i="6"/>
  <c r="K93" i="6"/>
  <c r="Q93" i="6"/>
  <c r="J93" i="6"/>
  <c r="P8" i="6"/>
  <c r="K64" i="8"/>
  <c r="I11" i="8"/>
  <c r="I8" i="8"/>
  <c r="K27" i="6"/>
  <c r="G28" i="6"/>
  <c r="G27" i="6"/>
  <c r="O8" i="6"/>
  <c r="Z30" i="6"/>
  <c r="AA30" i="6"/>
  <c r="I8" i="6"/>
  <c r="Y17" i="7"/>
  <c r="H8" i="6"/>
  <c r="Q14" i="6"/>
  <c r="H12" i="5"/>
  <c r="H11" i="5"/>
  <c r="I12" i="5"/>
  <c r="I11" i="5"/>
  <c r="J12" i="5"/>
  <c r="J11" i="5"/>
  <c r="K12" i="5"/>
  <c r="G12" i="5"/>
  <c r="G11" i="5"/>
  <c r="H129" i="5"/>
  <c r="H128" i="5"/>
  <c r="S83" i="5"/>
  <c r="P83" i="5"/>
  <c r="J83" i="5"/>
  <c r="H83" i="5"/>
  <c r="G83" i="5"/>
  <c r="P82" i="5"/>
  <c r="J82" i="5"/>
  <c r="H82" i="5"/>
  <c r="T82" i="5"/>
  <c r="G82" i="5"/>
  <c r="P81" i="5"/>
  <c r="J81" i="5"/>
  <c r="H81" i="5"/>
  <c r="T81" i="5"/>
  <c r="G81" i="5"/>
  <c r="P80" i="5"/>
  <c r="J80" i="5"/>
  <c r="H80" i="5"/>
  <c r="T80" i="5"/>
  <c r="G80" i="5"/>
  <c r="P79" i="5"/>
  <c r="J79" i="5"/>
  <c r="H79" i="5"/>
  <c r="T79" i="5"/>
  <c r="G79" i="5"/>
  <c r="P78" i="5"/>
  <c r="J78" i="5"/>
  <c r="H78" i="5"/>
  <c r="G78" i="5"/>
  <c r="P77" i="5"/>
  <c r="J77" i="5"/>
  <c r="H77" i="5"/>
  <c r="T77" i="5"/>
  <c r="G77" i="5"/>
  <c r="P76" i="5"/>
  <c r="J76" i="5"/>
  <c r="H76" i="5"/>
  <c r="G76" i="5"/>
  <c r="P75" i="5"/>
  <c r="J75" i="5"/>
  <c r="H75" i="5"/>
  <c r="G75" i="5"/>
  <c r="P74" i="5"/>
  <c r="J74" i="5"/>
  <c r="H74" i="5"/>
  <c r="G74" i="5"/>
  <c r="P73" i="5"/>
  <c r="J73" i="5"/>
  <c r="H73" i="5"/>
  <c r="G73" i="5"/>
  <c r="P72" i="5"/>
  <c r="J72" i="5"/>
  <c r="H72" i="5"/>
  <c r="T72" i="5"/>
  <c r="G72" i="5"/>
  <c r="P71" i="5"/>
  <c r="J71" i="5"/>
  <c r="H71" i="5"/>
  <c r="G71" i="5"/>
  <c r="P70" i="5"/>
  <c r="J70" i="5"/>
  <c r="H70" i="5"/>
  <c r="G70" i="5"/>
  <c r="P69" i="5"/>
  <c r="J69" i="5"/>
  <c r="H69" i="5"/>
  <c r="G69" i="5"/>
  <c r="P68" i="5"/>
  <c r="J68" i="5"/>
  <c r="H68" i="5"/>
  <c r="I65" i="5"/>
  <c r="AA65" i="5"/>
  <c r="AB65" i="5"/>
  <c r="AA64" i="5"/>
  <c r="AB64" i="5"/>
  <c r="I63" i="5"/>
  <c r="AA63" i="5"/>
  <c r="AB63" i="5"/>
  <c r="J62" i="5"/>
  <c r="J61" i="5"/>
  <c r="H62" i="5"/>
  <c r="H61" i="5"/>
  <c r="G62" i="5"/>
  <c r="G61" i="5"/>
  <c r="I60" i="5"/>
  <c r="AA60" i="5"/>
  <c r="AB60" i="5"/>
  <c r="I59" i="5"/>
  <c r="AA59" i="5"/>
  <c r="AB59" i="5"/>
  <c r="I58" i="5"/>
  <c r="AA58" i="5"/>
  <c r="AB58" i="5"/>
  <c r="I57" i="5"/>
  <c r="AA57" i="5"/>
  <c r="AB57" i="5"/>
  <c r="I56" i="5"/>
  <c r="AA56" i="5"/>
  <c r="AB56" i="5"/>
  <c r="I55" i="5"/>
  <c r="AA55" i="5"/>
  <c r="AB55" i="5"/>
  <c r="I54" i="5"/>
  <c r="AA54" i="5"/>
  <c r="AB54" i="5"/>
  <c r="I53" i="5"/>
  <c r="AA53" i="5"/>
  <c r="AB53" i="5"/>
  <c r="I52" i="5"/>
  <c r="AA52" i="5"/>
  <c r="AB52" i="5"/>
  <c r="I51" i="5"/>
  <c r="J50" i="5"/>
  <c r="J49" i="5"/>
  <c r="J48" i="5"/>
  <c r="H50" i="5"/>
  <c r="H49" i="5"/>
  <c r="H48" i="5"/>
  <c r="G50" i="5"/>
  <c r="G49" i="5"/>
  <c r="G48" i="5"/>
  <c r="I47" i="5"/>
  <c r="AA47" i="5"/>
  <c r="AB47" i="5"/>
  <c r="J46" i="5"/>
  <c r="J45" i="5"/>
  <c r="H46" i="5"/>
  <c r="H45" i="5"/>
  <c r="G46" i="5"/>
  <c r="G45" i="5"/>
  <c r="I44" i="5"/>
  <c r="I69" i="5"/>
  <c r="I43" i="5"/>
  <c r="I75" i="5"/>
  <c r="I42" i="5"/>
  <c r="I41" i="5"/>
  <c r="I81" i="5"/>
  <c r="I40" i="5"/>
  <c r="AA40" i="5"/>
  <c r="AB40" i="5"/>
  <c r="I39" i="5"/>
  <c r="AA39" i="5"/>
  <c r="AB39" i="5"/>
  <c r="J38" i="5"/>
  <c r="J37" i="5"/>
  <c r="H38" i="5"/>
  <c r="H37" i="5"/>
  <c r="G38" i="5"/>
  <c r="G37" i="5"/>
  <c r="AB36" i="5"/>
  <c r="Q36" i="5"/>
  <c r="I36" i="5"/>
  <c r="I83" i="5"/>
  <c r="J35" i="5"/>
  <c r="H35" i="5"/>
  <c r="H34" i="5"/>
  <c r="I33" i="5"/>
  <c r="AA33" i="5"/>
  <c r="AB33" i="5"/>
  <c r="I32" i="5"/>
  <c r="AA32" i="5"/>
  <c r="AB32" i="5"/>
  <c r="I31" i="5"/>
  <c r="AA31" i="5"/>
  <c r="AB31" i="5"/>
  <c r="I30" i="5"/>
  <c r="AA30" i="5"/>
  <c r="AB30" i="5"/>
  <c r="I29" i="5"/>
  <c r="AA28" i="5"/>
  <c r="AB28" i="5"/>
  <c r="I27" i="5"/>
  <c r="AA27" i="5"/>
  <c r="AB27" i="5"/>
  <c r="I26" i="5"/>
  <c r="AA26" i="5"/>
  <c r="AB26" i="5"/>
  <c r="I25" i="5"/>
  <c r="AA25" i="5"/>
  <c r="AB25" i="5"/>
  <c r="J24" i="5"/>
  <c r="J23" i="5"/>
  <c r="H24" i="5"/>
  <c r="H23" i="5"/>
  <c r="G24" i="5"/>
  <c r="G23" i="5"/>
  <c r="L9" i="5"/>
  <c r="J9" i="5"/>
  <c r="H9" i="5"/>
  <c r="G9" i="5"/>
  <c r="T8" i="5"/>
  <c r="Q5" i="5"/>
  <c r="Q64" i="8"/>
  <c r="K11" i="8"/>
  <c r="K8" i="8"/>
  <c r="I232" i="8"/>
  <c r="Z8" i="8"/>
  <c r="V7" i="8"/>
  <c r="J94" i="7"/>
  <c r="AA8" i="7"/>
  <c r="W7" i="7"/>
  <c r="I158" i="6"/>
  <c r="Z8" i="6"/>
  <c r="V7" i="6"/>
  <c r="J34" i="5"/>
  <c r="G34" i="5"/>
  <c r="K81" i="5"/>
  <c r="I77" i="5"/>
  <c r="K77" i="5"/>
  <c r="K83" i="5"/>
  <c r="K75" i="5"/>
  <c r="H130" i="5"/>
  <c r="I78" i="5"/>
  <c r="K78" i="5"/>
  <c r="AB35" i="5"/>
  <c r="K69" i="5"/>
  <c r="H67" i="5"/>
  <c r="P67" i="5"/>
  <c r="AA42" i="5"/>
  <c r="I68" i="5"/>
  <c r="K68" i="5"/>
  <c r="I35" i="5"/>
  <c r="I79" i="5"/>
  <c r="K79" i="5"/>
  <c r="AB61" i="5"/>
  <c r="I9" i="5"/>
  <c r="K9" i="5"/>
  <c r="I24" i="5"/>
  <c r="I23" i="5"/>
  <c r="AA41" i="5"/>
  <c r="AA43" i="5"/>
  <c r="I46" i="5"/>
  <c r="I45" i="5"/>
  <c r="I70" i="5"/>
  <c r="K70" i="5"/>
  <c r="AA36" i="5"/>
  <c r="I72" i="5"/>
  <c r="K72" i="5"/>
  <c r="I71" i="5"/>
  <c r="K71" i="5"/>
  <c r="J67" i="5"/>
  <c r="I73" i="5"/>
  <c r="K73" i="5"/>
  <c r="I82" i="5"/>
  <c r="K82" i="5"/>
  <c r="I80" i="5"/>
  <c r="K80" i="5"/>
  <c r="I74" i="5"/>
  <c r="K74" i="5"/>
  <c r="I50" i="5"/>
  <c r="I49" i="5"/>
  <c r="I48" i="5"/>
  <c r="L8" i="5"/>
  <c r="AB42" i="5"/>
  <c r="AA29" i="5"/>
  <c r="I38" i="5"/>
  <c r="I37" i="5"/>
  <c r="AB43" i="5"/>
  <c r="I62" i="5"/>
  <c r="I61" i="5"/>
  <c r="AB41" i="5"/>
  <c r="AB44" i="5"/>
  <c r="G68" i="5"/>
  <c r="G67" i="5"/>
  <c r="AB29" i="5"/>
  <c r="I76" i="5"/>
  <c r="K76" i="5"/>
  <c r="AA51" i="5"/>
  <c r="AA44" i="5"/>
  <c r="AB51" i="5"/>
  <c r="D62" i="2"/>
  <c r="D61" i="2"/>
  <c r="U11" i="8"/>
  <c r="Q11" i="8"/>
  <c r="Q8" i="8"/>
  <c r="X8" i="8"/>
  <c r="L232" i="8"/>
  <c r="J232" i="8"/>
  <c r="M94" i="7"/>
  <c r="K94" i="7"/>
  <c r="L158" i="6"/>
  <c r="J158" i="6"/>
  <c r="AA35" i="5"/>
  <c r="I34" i="5"/>
  <c r="K61" i="5"/>
  <c r="G10" i="5"/>
  <c r="G8" i="5"/>
  <c r="K37" i="5"/>
  <c r="AA50" i="5"/>
  <c r="AA48" i="5"/>
  <c r="K23" i="5"/>
  <c r="H10" i="5"/>
  <c r="H8" i="5"/>
  <c r="AA61" i="5"/>
  <c r="J10" i="5"/>
  <c r="J8" i="5"/>
  <c r="AB48" i="5"/>
  <c r="AB50" i="5"/>
  <c r="K11" i="5"/>
  <c r="I67" i="5"/>
  <c r="K67" i="5"/>
  <c r="AA17" i="7"/>
  <c r="AB17" i="7"/>
  <c r="R8" i="7"/>
  <c r="Y8" i="7"/>
  <c r="Q27" i="6"/>
  <c r="K8" i="6"/>
  <c r="Q8" i="6"/>
  <c r="X8" i="6"/>
  <c r="K34" i="5"/>
  <c r="I10" i="5"/>
  <c r="S8" i="5"/>
  <c r="O7" i="5"/>
  <c r="I8" i="5"/>
  <c r="N10" i="5"/>
  <c r="K10" i="5"/>
  <c r="K8" i="5"/>
  <c r="Q8" i="5"/>
  <c r="J130" i="5"/>
  <c r="V8" i="2"/>
  <c r="S5" i="2"/>
  <c r="H18" i="1"/>
  <c r="H17" i="1"/>
  <c r="D49" i="1"/>
  <c r="F29" i="1"/>
  <c r="F12" i="1"/>
  <c r="F9" i="1"/>
  <c r="E12" i="1"/>
  <c r="E9" i="1"/>
  <c r="D12" i="1"/>
  <c r="D9" i="1"/>
  <c r="Q12" i="1"/>
  <c r="P12" i="1"/>
  <c r="N12" i="1"/>
  <c r="M12" i="1"/>
  <c r="M9" i="1"/>
  <c r="L12" i="1"/>
  <c r="L9" i="1"/>
  <c r="J12" i="1"/>
  <c r="J9" i="1"/>
  <c r="N9" i="1"/>
  <c r="P9" i="1"/>
  <c r="Q9" i="1"/>
  <c r="G39" i="1"/>
  <c r="D39" i="1"/>
  <c r="E35" i="1"/>
  <c r="G35" i="1"/>
  <c r="H35" i="1"/>
  <c r="I35" i="1"/>
  <c r="J35" i="1"/>
  <c r="K35" i="1"/>
  <c r="L35" i="1"/>
  <c r="M35" i="1"/>
  <c r="N35" i="1"/>
  <c r="O35" i="1"/>
  <c r="P35" i="1"/>
  <c r="Q35" i="1"/>
  <c r="D35" i="1"/>
  <c r="G24" i="1"/>
  <c r="H24" i="1"/>
  <c r="I24" i="1"/>
  <c r="J24" i="1"/>
  <c r="K24" i="1"/>
  <c r="L24" i="1"/>
  <c r="M24" i="1"/>
  <c r="N24" i="1"/>
  <c r="O24" i="1"/>
  <c r="P24" i="1"/>
  <c r="Q24" i="1"/>
  <c r="E24" i="1"/>
  <c r="F20" i="1"/>
  <c r="G20" i="1"/>
  <c r="I20" i="1"/>
  <c r="J20" i="1"/>
  <c r="K20" i="1"/>
  <c r="L20" i="1"/>
  <c r="M20" i="1"/>
  <c r="N20" i="1"/>
  <c r="O20" i="1"/>
  <c r="P20" i="1"/>
  <c r="Q20" i="1"/>
  <c r="E20" i="1"/>
  <c r="G17" i="1"/>
  <c r="I17" i="1"/>
  <c r="J17" i="1"/>
  <c r="K17" i="1"/>
  <c r="L17" i="1"/>
  <c r="M17" i="1"/>
  <c r="M16" i="1"/>
  <c r="N17" i="1"/>
  <c r="O17" i="1"/>
  <c r="O16" i="1" s="1"/>
  <c r="P17" i="1"/>
  <c r="Q17" i="1"/>
  <c r="I16" i="1"/>
  <c r="J16" i="1"/>
  <c r="Q16" i="1"/>
  <c r="G12" i="1"/>
  <c r="G9" i="1"/>
  <c r="H12" i="1"/>
  <c r="H9" i="1"/>
  <c r="I12" i="1"/>
  <c r="I9" i="1"/>
  <c r="I8" i="1"/>
  <c r="K12" i="1"/>
  <c r="K9" i="1"/>
  <c r="O12" i="1"/>
  <c r="O9" i="1"/>
  <c r="R50" i="1"/>
  <c r="F53" i="1"/>
  <c r="R53" i="1"/>
  <c r="H52" i="1"/>
  <c r="R52" i="1"/>
  <c r="H51" i="1"/>
  <c r="R51" i="1"/>
  <c r="F44" i="1"/>
  <c r="R44" i="1"/>
  <c r="F43" i="1"/>
  <c r="R43" i="1"/>
  <c r="P46" i="1"/>
  <c r="R46" i="1"/>
  <c r="P47" i="1"/>
  <c r="R47" i="1"/>
  <c r="P45" i="1"/>
  <c r="R45" i="1"/>
  <c r="O42" i="1"/>
  <c r="R42" i="1"/>
  <c r="N41" i="1"/>
  <c r="R41" i="1"/>
  <c r="L40" i="1"/>
  <c r="R40" i="1"/>
  <c r="F38" i="1"/>
  <c r="R38" i="1"/>
  <c r="F37" i="1"/>
  <c r="R37" i="1"/>
  <c r="F36" i="1"/>
  <c r="H34" i="1"/>
  <c r="H33" i="1"/>
  <c r="R33" i="1"/>
  <c r="H32" i="1"/>
  <c r="R32" i="1"/>
  <c r="H31" i="1"/>
  <c r="H30" i="1"/>
  <c r="H29" i="1"/>
  <c r="R29" i="1"/>
  <c r="R31" i="1"/>
  <c r="F25" i="1"/>
  <c r="F24" i="1"/>
  <c r="H21" i="1"/>
  <c r="R21" i="1" s="1"/>
  <c r="R20" i="1" s="1"/>
  <c r="H20" i="1"/>
  <c r="F19" i="1"/>
  <c r="F17" i="1"/>
  <c r="R18" i="1"/>
  <c r="R14" i="1"/>
  <c r="R15" i="1"/>
  <c r="R13" i="1"/>
  <c r="N16" i="1"/>
  <c r="N8" i="1"/>
  <c r="F35" i="1"/>
  <c r="R12" i="1"/>
  <c r="R9" i="1"/>
  <c r="J8" i="1"/>
  <c r="M8" i="1"/>
  <c r="O8" i="1"/>
  <c r="Q8" i="1"/>
  <c r="R36" i="1"/>
  <c r="R35" i="1"/>
  <c r="F16" i="1"/>
  <c r="F8" i="1"/>
  <c r="R25" i="1"/>
  <c r="R24" i="1"/>
  <c r="R19" i="1"/>
  <c r="R17" i="1"/>
  <c r="H28" i="1"/>
  <c r="K16" i="1"/>
  <c r="K8" i="1"/>
  <c r="G16" i="1"/>
  <c r="G8" i="1"/>
  <c r="P16" i="1"/>
  <c r="P8" i="1"/>
  <c r="L16" i="1"/>
  <c r="L8" i="1"/>
  <c r="H16" i="1"/>
  <c r="H8" i="1"/>
  <c r="R30" i="1"/>
  <c r="R34" i="1"/>
  <c r="R16" i="1"/>
  <c r="R8" i="1"/>
  <c r="D17" i="1"/>
  <c r="D20" i="1"/>
  <c r="D16" i="1" s="1"/>
  <c r="D8" i="1" s="1"/>
  <c r="D28" i="1"/>
  <c r="D27" i="1"/>
  <c r="E62" i="1"/>
  <c r="F62" i="1"/>
  <c r="G62" i="1"/>
  <c r="H62" i="1"/>
  <c r="I62" i="1"/>
  <c r="J62" i="1"/>
  <c r="K62" i="1"/>
  <c r="L62" i="1"/>
  <c r="M62" i="1"/>
  <c r="N62" i="1"/>
  <c r="O62" i="1"/>
  <c r="P62" i="1"/>
  <c r="Q62" i="1"/>
  <c r="R62" i="1"/>
  <c r="D62" i="1"/>
  <c r="E59" i="1"/>
  <c r="E58" i="1"/>
  <c r="F59" i="1"/>
  <c r="F58" i="1"/>
  <c r="G59" i="1"/>
  <c r="G58" i="1"/>
  <c r="H59" i="1"/>
  <c r="H58" i="1" s="1"/>
  <c r="I59" i="1"/>
  <c r="I58" i="1"/>
  <c r="J59" i="1"/>
  <c r="J58" i="1"/>
  <c r="K59" i="1"/>
  <c r="K58" i="1"/>
  <c r="L59" i="1"/>
  <c r="M59" i="1"/>
  <c r="M58" i="1"/>
  <c r="N59" i="1"/>
  <c r="N58" i="1"/>
  <c r="O59" i="1"/>
  <c r="O58" i="1"/>
  <c r="P59" i="1"/>
  <c r="P58" i="1" s="1"/>
  <c r="Q59" i="1"/>
  <c r="Q58" i="1"/>
  <c r="R59" i="1"/>
  <c r="R58" i="1"/>
  <c r="D59" i="1"/>
  <c r="D58" i="1"/>
  <c r="E55" i="1"/>
  <c r="F55" i="1"/>
  <c r="G55" i="1"/>
  <c r="H55" i="1"/>
  <c r="I55" i="1"/>
  <c r="J55" i="1"/>
  <c r="K55" i="1"/>
  <c r="L55" i="1"/>
  <c r="M55" i="1"/>
  <c r="N55" i="1"/>
  <c r="O55" i="1"/>
  <c r="P55" i="1"/>
  <c r="Q55" i="1"/>
  <c r="R55" i="1"/>
  <c r="D55" i="1"/>
  <c r="E49" i="1"/>
  <c r="F49" i="1"/>
  <c r="G49" i="1"/>
  <c r="H49" i="1"/>
  <c r="I49" i="1"/>
  <c r="J49" i="1"/>
  <c r="K49" i="1"/>
  <c r="L49" i="1"/>
  <c r="M49" i="1"/>
  <c r="N49" i="1"/>
  <c r="O49" i="1"/>
  <c r="P49" i="1"/>
  <c r="Q49" i="1"/>
  <c r="R49" i="1"/>
  <c r="F39" i="1"/>
  <c r="H39" i="1"/>
  <c r="I39" i="1"/>
  <c r="J39" i="1"/>
  <c r="K39" i="1"/>
  <c r="L39" i="1"/>
  <c r="M39" i="1"/>
  <c r="N39" i="1"/>
  <c r="O39" i="1"/>
  <c r="P39" i="1"/>
  <c r="Q39" i="1"/>
  <c r="R39" i="1"/>
  <c r="E39" i="1"/>
  <c r="F28" i="1"/>
  <c r="G28" i="1"/>
  <c r="G27" i="1"/>
  <c r="G26" i="1"/>
  <c r="G7" i="1"/>
  <c r="I28" i="1"/>
  <c r="J28" i="1"/>
  <c r="J27" i="1"/>
  <c r="J26" i="1"/>
  <c r="J7" i="1"/>
  <c r="K28" i="1"/>
  <c r="L28" i="1"/>
  <c r="M28" i="1"/>
  <c r="N28" i="1"/>
  <c r="O28" i="1"/>
  <c r="O27" i="1" s="1"/>
  <c r="O26" i="1" s="1"/>
  <c r="O7" i="1" s="1"/>
  <c r="P28" i="1"/>
  <c r="Q28" i="1"/>
  <c r="Q27" i="1" s="1"/>
  <c r="Q26" i="1" s="1"/>
  <c r="Q7" i="1" s="1"/>
  <c r="R28" i="1"/>
  <c r="E28" i="1"/>
  <c r="E17" i="1"/>
  <c r="E16" i="1"/>
  <c r="E8" i="1"/>
  <c r="N27" i="1"/>
  <c r="N26" i="1"/>
  <c r="N7" i="1"/>
  <c r="L58" i="1"/>
  <c r="M27" i="1"/>
  <c r="M26" i="1"/>
  <c r="M7" i="1"/>
  <c r="E27" i="1"/>
  <c r="K27" i="1"/>
  <c r="K26" i="1"/>
  <c r="K7" i="1"/>
  <c r="P27" i="1"/>
  <c r="P26" i="1"/>
  <c r="P7" i="1"/>
  <c r="D54" i="1"/>
  <c r="D26" i="1"/>
  <c r="D7" i="1"/>
  <c r="I27" i="1"/>
  <c r="I26" i="1"/>
  <c r="I7" i="1"/>
  <c r="L27" i="1"/>
  <c r="L26" i="1"/>
  <c r="L7" i="1"/>
  <c r="E54" i="1"/>
  <c r="F27" i="1"/>
  <c r="F26" i="1"/>
  <c r="F7" i="1"/>
  <c r="H27" i="1"/>
  <c r="H26" i="1"/>
  <c r="H7" i="1"/>
  <c r="R27" i="1"/>
  <c r="R26" i="1"/>
  <c r="R7" i="1"/>
  <c r="E26" i="1"/>
  <c r="E7" i="1"/>
  <c r="I75" i="9" l="1"/>
  <c r="I36" i="9"/>
  <c r="H21" i="9"/>
  <c r="F11" i="2" s="1"/>
  <c r="G14" i="6"/>
  <c r="G8" i="6" s="1"/>
  <c r="R14" i="6"/>
  <c r="R8" i="6" s="1"/>
  <c r="Q12" i="10"/>
  <c r="G94" i="10"/>
  <c r="G93" i="10" s="1"/>
  <c r="R22" i="10"/>
  <c r="Q32" i="12"/>
  <c r="S33" i="12"/>
  <c r="Q107" i="12"/>
  <c r="S107" i="12" s="1"/>
  <c r="S108" i="12"/>
  <c r="M56" i="13"/>
  <c r="M36" i="13" s="1"/>
  <c r="M35" i="13" s="1"/>
  <c r="M34" i="13" s="1"/>
  <c r="M20" i="13" s="1"/>
  <c r="M8" i="13" s="1"/>
  <c r="N167" i="13"/>
  <c r="N166" i="13" s="1"/>
  <c r="N152" i="13" s="1"/>
  <c r="N97" i="13" s="1"/>
  <c r="N8" i="13" s="1"/>
  <c r="K4" i="14"/>
  <c r="D63" i="2"/>
  <c r="F65" i="2" s="1"/>
  <c r="Y145" i="12"/>
  <c r="F28" i="12"/>
  <c r="H59" i="12"/>
  <c r="G72" i="12"/>
  <c r="P14" i="2"/>
  <c r="H9" i="12"/>
  <c r="F72" i="12"/>
  <c r="Q59" i="12"/>
  <c r="G32" i="12"/>
  <c r="I106" i="12"/>
  <c r="T159" i="12"/>
  <c r="H32" i="12"/>
  <c r="G99" i="12"/>
  <c r="R130" i="12"/>
  <c r="F59" i="12"/>
  <c r="F99" i="12"/>
  <c r="G130" i="12"/>
  <c r="M59" i="12"/>
  <c r="G59" i="12"/>
  <c r="Q130" i="12"/>
  <c r="S130" i="12" s="1"/>
  <c r="R32" i="12"/>
  <c r="L32" i="12"/>
  <c r="F15" i="2" s="1"/>
  <c r="R59" i="12"/>
  <c r="L59" i="12"/>
  <c r="AB72" i="12"/>
  <c r="H72" i="12"/>
  <c r="AJ130" i="12"/>
  <c r="AC130" i="12"/>
  <c r="H130" i="12"/>
  <c r="F9" i="12"/>
  <c r="AC99" i="12"/>
  <c r="AJ106" i="12"/>
  <c r="F106" i="12"/>
  <c r="K75" i="9"/>
  <c r="H75" i="9"/>
  <c r="X13" i="9"/>
  <c r="F9" i="9"/>
  <c r="K84" i="9"/>
  <c r="K83" i="9" s="1"/>
  <c r="AE13" i="9"/>
  <c r="W11" i="9"/>
  <c r="J75" i="9"/>
  <c r="J71" i="9" s="1"/>
  <c r="F21" i="9"/>
  <c r="K36" i="9"/>
  <c r="K35" i="9" s="1"/>
  <c r="F65" i="9"/>
  <c r="F35" i="9" s="1"/>
  <c r="F34" i="9" s="1"/>
  <c r="F20" i="9" s="1"/>
  <c r="G65" i="9"/>
  <c r="G35" i="9" s="1"/>
  <c r="F71" i="9"/>
  <c r="M85" i="9"/>
  <c r="M86" i="9"/>
  <c r="M87" i="9"/>
  <c r="M88" i="9"/>
  <c r="M89" i="9"/>
  <c r="M90" i="9"/>
  <c r="M92" i="9"/>
  <c r="M93" i="9"/>
  <c r="M94" i="9"/>
  <c r="M97" i="9"/>
  <c r="M98" i="9"/>
  <c r="M99" i="9"/>
  <c r="M47" i="9"/>
  <c r="M56" i="9"/>
  <c r="F83" i="9"/>
  <c r="R99" i="12"/>
  <c r="H99" i="12"/>
  <c r="M32" i="12"/>
  <c r="G15" i="2" s="1"/>
  <c r="I32" i="12"/>
  <c r="T152" i="12"/>
  <c r="I145" i="12"/>
  <c r="M99" i="12"/>
  <c r="M32" i="9"/>
  <c r="M43" i="9"/>
  <c r="I71" i="9"/>
  <c r="M84" i="9"/>
  <c r="M91" i="9"/>
  <c r="G71" i="9"/>
  <c r="M12" i="9"/>
  <c r="T161" i="12"/>
  <c r="AC9" i="12"/>
  <c r="G106" i="12"/>
  <c r="I130" i="12"/>
  <c r="G9" i="12"/>
  <c r="I72" i="12"/>
  <c r="AC106" i="12"/>
  <c r="H106" i="12"/>
  <c r="L9" i="12"/>
  <c r="F14" i="2" s="1"/>
  <c r="Q9" i="12"/>
  <c r="I9" i="12"/>
  <c r="Q99" i="12"/>
  <c r="S99" i="12" s="1"/>
  <c r="R106" i="12"/>
  <c r="T145" i="12"/>
  <c r="R72" i="12"/>
  <c r="L99" i="12"/>
  <c r="Q106" i="12"/>
  <c r="S106" i="12" s="1"/>
  <c r="T157" i="12"/>
  <c r="M9" i="12"/>
  <c r="G14" i="2" s="1"/>
  <c r="R9" i="12"/>
  <c r="Q72" i="12"/>
  <c r="S72" i="12" s="1"/>
  <c r="G9" i="9"/>
  <c r="D9" i="2" s="1"/>
  <c r="J21" i="9"/>
  <c r="K21" i="9"/>
  <c r="M30" i="9"/>
  <c r="K71" i="9"/>
  <c r="J65" i="9"/>
  <c r="G21" i="9"/>
  <c r="D11" i="2" s="1"/>
  <c r="M60" i="9"/>
  <c r="H65" i="9"/>
  <c r="M95" i="9"/>
  <c r="M96" i="9"/>
  <c r="M100" i="9"/>
  <c r="M101" i="9"/>
  <c r="K9" i="9"/>
  <c r="J36" i="9"/>
  <c r="M37" i="9"/>
  <c r="I21" i="9"/>
  <c r="G11" i="2" s="1"/>
  <c r="H71" i="9"/>
  <c r="M72" i="12"/>
  <c r="I65" i="9"/>
  <c r="H36" i="9"/>
  <c r="I9" i="9"/>
  <c r="G9" i="2" s="1"/>
  <c r="H9" i="9"/>
  <c r="M130" i="12"/>
  <c r="L130" i="12"/>
  <c r="L106" i="12"/>
  <c r="M106" i="12"/>
  <c r="L72" i="12"/>
  <c r="J9" i="9"/>
  <c r="M15" i="9"/>
  <c r="W16" i="9"/>
  <c r="I35" i="9" l="1"/>
  <c r="I34" i="9" s="1"/>
  <c r="G12" i="2" s="1"/>
  <c r="G10" i="2" s="1"/>
  <c r="J14" i="2"/>
  <c r="S9" i="12"/>
  <c r="J15" i="2"/>
  <c r="S32" i="12"/>
  <c r="R21" i="10"/>
  <c r="R14" i="10" s="1"/>
  <c r="R8" i="10" s="1"/>
  <c r="R12" i="10"/>
  <c r="I58" i="12"/>
  <c r="I8" i="12" s="1"/>
  <c r="G58" i="12"/>
  <c r="G8" i="12" s="1"/>
  <c r="C15" i="2"/>
  <c r="F58" i="12"/>
  <c r="F8" i="12" s="1"/>
  <c r="H58" i="12"/>
  <c r="H8" i="12" s="1"/>
  <c r="R58" i="12"/>
  <c r="R8" i="12" s="1"/>
  <c r="F8" i="9"/>
  <c r="J83" i="9"/>
  <c r="M83" i="9" s="1"/>
  <c r="H35" i="9"/>
  <c r="H34" i="9" s="1"/>
  <c r="F12" i="2" s="1"/>
  <c r="F10" i="2" s="1"/>
  <c r="K34" i="9"/>
  <c r="K20" i="9" s="1"/>
  <c r="K8" i="9" s="1"/>
  <c r="M65" i="9"/>
  <c r="G34" i="9"/>
  <c r="D12" i="2" s="1"/>
  <c r="C12" i="2" s="1"/>
  <c r="M71" i="9"/>
  <c r="I11" i="2"/>
  <c r="AQ8" i="9"/>
  <c r="C14" i="2"/>
  <c r="Q58" i="12"/>
  <c r="M58" i="12"/>
  <c r="G16" i="2" s="1"/>
  <c r="G13" i="2" s="1"/>
  <c r="P15" i="2"/>
  <c r="V8" i="9"/>
  <c r="R7" i="9"/>
  <c r="G20" i="9"/>
  <c r="G8" i="9" s="1"/>
  <c r="M21" i="9"/>
  <c r="J35" i="9"/>
  <c r="J34" i="9" s="1"/>
  <c r="M36" i="9"/>
  <c r="C9" i="2"/>
  <c r="C11" i="2"/>
  <c r="F9" i="2"/>
  <c r="L58" i="12"/>
  <c r="M9" i="9"/>
  <c r="I9" i="2"/>
  <c r="H9" i="2" l="1"/>
  <c r="L9" i="2"/>
  <c r="Q15" i="2"/>
  <c r="M15" i="2"/>
  <c r="H14" i="2"/>
  <c r="M14" i="2"/>
  <c r="I20" i="9"/>
  <c r="I8" i="9" s="1"/>
  <c r="H11" i="2"/>
  <c r="K11" i="2" s="1"/>
  <c r="L11" i="2"/>
  <c r="J16" i="2"/>
  <c r="S58" i="12"/>
  <c r="Q8" i="9"/>
  <c r="H20" i="9"/>
  <c r="H8" i="9" s="1"/>
  <c r="D10" i="2"/>
  <c r="C10" i="2" s="1"/>
  <c r="Q14" i="2"/>
  <c r="H15" i="2"/>
  <c r="K15" i="2" s="1"/>
  <c r="Q8" i="12"/>
  <c r="S8" i="12" s="1"/>
  <c r="M8" i="12"/>
  <c r="AC58" i="12"/>
  <c r="K9" i="2"/>
  <c r="J20" i="9"/>
  <c r="M34" i="9"/>
  <c r="I12" i="2"/>
  <c r="L12" i="2" s="1"/>
  <c r="G8" i="2"/>
  <c r="F16" i="2"/>
  <c r="F13" i="2" s="1"/>
  <c r="F8" i="2" s="1"/>
  <c r="L8" i="12"/>
  <c r="K14" i="2"/>
  <c r="O14" i="2"/>
  <c r="J13" i="2" l="1"/>
  <c r="M13" i="2" s="1"/>
  <c r="M16" i="2"/>
  <c r="J8" i="2"/>
  <c r="D13" i="2"/>
  <c r="AP8" i="9"/>
  <c r="AP10" i="9" s="1"/>
  <c r="P16" i="2"/>
  <c r="W8" i="12"/>
  <c r="W6" i="12"/>
  <c r="W4" i="12" s="1"/>
  <c r="W58" i="12" s="1"/>
  <c r="V8" i="12"/>
  <c r="AT8" i="9"/>
  <c r="AW8" i="9" s="1"/>
  <c r="I13" i="2"/>
  <c r="L13" i="2" s="1"/>
  <c r="H16" i="2"/>
  <c r="H13" i="2" s="1"/>
  <c r="O15" i="2"/>
  <c r="C16" i="2"/>
  <c r="C13" i="2" s="1"/>
  <c r="C8" i="2" s="1"/>
  <c r="Q7" i="2" s="1"/>
  <c r="E13" i="2"/>
  <c r="Q16" i="2"/>
  <c r="H12" i="2"/>
  <c r="K12" i="2" s="1"/>
  <c r="I10" i="2"/>
  <c r="M20" i="9"/>
  <c r="J8" i="9"/>
  <c r="Q13" i="2" l="1"/>
  <c r="H10" i="2"/>
  <c r="K10" i="2" s="1"/>
  <c r="L10" i="2"/>
  <c r="AO8" i="9"/>
  <c r="D8" i="2"/>
  <c r="P7" i="2" s="1"/>
  <c r="P13" i="2"/>
  <c r="O16" i="2"/>
  <c r="K13" i="2"/>
  <c r="K16" i="2"/>
  <c r="E8" i="2"/>
  <c r="Q8" i="2" s="1"/>
  <c r="I8" i="2"/>
  <c r="L8" i="2" s="1"/>
  <c r="R8" i="9"/>
  <c r="M8" i="9"/>
  <c r="T8" i="9" s="1"/>
  <c r="AS8" i="9"/>
  <c r="M8" i="2" l="1"/>
  <c r="H8" i="2"/>
  <c r="O8" i="2" s="1"/>
  <c r="P8" i="2"/>
  <c r="F63" i="2"/>
  <c r="G63" i="2" s="1"/>
  <c r="U8" i="2"/>
  <c r="AR8" i="9"/>
  <c r="AU8" i="9" s="1"/>
  <c r="AV8" i="9"/>
  <c r="R9" i="9"/>
  <c r="S9" i="9" s="1"/>
  <c r="S8" i="9"/>
  <c r="K8" i="2" l="1"/>
  <c r="S8" i="2" s="1"/>
  <c r="R8" i="2"/>
  <c r="S101" i="9"/>
  <c r="S97" i="9"/>
  <c r="S88" i="9"/>
  <c r="S100" i="9"/>
  <c r="S84" i="9"/>
  <c r="S92" i="9"/>
  <c r="S91" i="9"/>
  <c r="S87" i="9"/>
  <c r="S99" i="9"/>
  <c r="S93" i="9"/>
  <c r="S89" i="9"/>
  <c r="S90" i="9"/>
  <c r="S86" i="9"/>
  <c r="S98" i="9"/>
  <c r="S95" i="9"/>
  <c r="S85" i="9"/>
  <c r="S96" i="9"/>
  <c r="S94" i="9"/>
  <c r="S83" i="9" l="1"/>
</calcChain>
</file>

<file path=xl/comments1.xml><?xml version="1.0" encoding="utf-8"?>
<comments xmlns="http://schemas.openxmlformats.org/spreadsheetml/2006/main">
  <authors>
    <author>dell</author>
  </authors>
  <commentList>
    <comment ref="B38" authorId="0">
      <text>
        <r>
          <rPr>
            <b/>
            <sz val="9"/>
            <color indexed="81"/>
            <rFont val="Tahoma"/>
            <family val="2"/>
          </rPr>
          <t>dell:</t>
        </r>
        <r>
          <rPr>
            <sz val="9"/>
            <color indexed="81"/>
            <rFont val="Tahoma"/>
            <family val="2"/>
          </rPr>
          <t xml:space="preserve">
LG NTM</t>
        </r>
      </text>
    </comment>
  </commentList>
</comments>
</file>

<file path=xl/comments2.xml><?xml version="1.0" encoding="utf-8"?>
<comments xmlns="http://schemas.openxmlformats.org/spreadsheetml/2006/main">
  <authors>
    <author>dell</author>
  </authors>
  <commentList>
    <comment ref="H80" authorId="0">
      <text>
        <r>
          <rPr>
            <b/>
            <sz val="9"/>
            <color indexed="81"/>
            <rFont val="Tahoma"/>
            <family val="2"/>
          </rPr>
          <t>dell:</t>
        </r>
        <r>
          <rPr>
            <sz val="9"/>
            <color indexed="81"/>
            <rFont val="Tahoma"/>
            <family val="2"/>
          </rPr>
          <t xml:space="preserve">
Cả NSĐP tỉnh + huyện</t>
        </r>
      </text>
    </comment>
  </commentList>
</comments>
</file>

<file path=xl/comments3.xml><?xml version="1.0" encoding="utf-8"?>
<comments xmlns="http://schemas.openxmlformats.org/spreadsheetml/2006/main">
  <authors>
    <author>BINH</author>
  </authors>
  <commentList>
    <comment ref="J22" authorId="0">
      <text>
        <r>
          <rPr>
            <b/>
            <sz val="9"/>
            <color indexed="81"/>
            <rFont val="Tahoma"/>
            <family val="2"/>
          </rPr>
          <t>45.100</t>
        </r>
      </text>
    </comment>
    <comment ref="J23" authorId="0">
      <text>
        <r>
          <rPr>
            <b/>
            <sz val="9"/>
            <color indexed="81"/>
            <rFont val="Tahoma"/>
            <family val="2"/>
          </rPr>
          <t>50.500</t>
        </r>
      </text>
    </comment>
  </commentList>
</comments>
</file>

<file path=xl/sharedStrings.xml><?xml version="1.0" encoding="utf-8"?>
<sst xmlns="http://schemas.openxmlformats.org/spreadsheetml/2006/main" count="4459" uniqueCount="895">
  <si>
    <t>Cấp tỉnh quản lý</t>
  </si>
  <si>
    <t>Nguồn vốn NSTW</t>
  </si>
  <si>
    <t>Sắp xếp ổn định các điểm dân cư: Mò Lò, Sa Thàng xã Mù Cả, điểm Nậm Kha Á, Pà Khà, U Na1-2, Tia Ma Mủ, Pa Tết xã Tà Tổng, huyện Mường Tè;</t>
  </si>
  <si>
    <t>1734-04/12/2020</t>
  </si>
  <si>
    <t>Sắp xếp ổn định dân cư 02 xã Tà Tổng, Mù Cả</t>
  </si>
  <si>
    <t>1735-04/12/2020</t>
  </si>
  <si>
    <t>Nâng cấp đường giao thông Nậm Lằn - Mốc 17</t>
  </si>
  <si>
    <t>997-30/07/2021</t>
  </si>
  <si>
    <t>Nguồn vốn NSĐP tỉnh quản lý</t>
  </si>
  <si>
    <t>Đường giao thông đến điểm ĐCĐC Nậm Khá A (Tia Sùng Cái), xã Tà Tổng, huyện Mường Tè</t>
  </si>
  <si>
    <t>Điểm vui chơi trẻ em huyện Mường Tè (Giai đoạn I)</t>
  </si>
  <si>
    <t>Nâng cấp đường Pa Ủ - Hà Xi, xã Pa Ủ, huyện Mường Tè</t>
  </si>
  <si>
    <t>50-31/3/2016</t>
  </si>
  <si>
    <t>Nâng cấp hệ thống nước sinh hoạt thị trấn Mường Tè</t>
  </si>
  <si>
    <t>Cân đối ngân sách cấp huyện</t>
  </si>
  <si>
    <t>I</t>
  </si>
  <si>
    <t>Đầu tư xây dựng phòng học các trường MN, TH huyện Mường Tè</t>
  </si>
  <si>
    <t>566-07/06/2017</t>
  </si>
  <si>
    <t>Nước sinh hoạt điểm ĐCĐC Xé Ma xã Tà Tổng</t>
  </si>
  <si>
    <t>2174-30/10/2014</t>
  </si>
  <si>
    <t>Đầu tư 12 phòng học các trường MN huyện Mường Tè</t>
  </si>
  <si>
    <t>1322-27/10/2017</t>
  </si>
  <si>
    <t>1626-06/12/2021</t>
  </si>
  <si>
    <t>Tổng số</t>
  </si>
  <si>
    <t>A</t>
  </si>
  <si>
    <t>II</t>
  </si>
  <si>
    <t>B</t>
  </si>
  <si>
    <t>Cấp huyện quản lý</t>
  </si>
  <si>
    <t>a</t>
  </si>
  <si>
    <t>Dự án hoàn thành bàn giao, đưa vào sử dụng trước 31/12/2021</t>
  </si>
  <si>
    <t>b</t>
  </si>
  <si>
    <t>Dự án dự kiến hoàn thành năm 2022</t>
  </si>
  <si>
    <t>c</t>
  </si>
  <si>
    <t>Các dự án chuyển tiếp hoàn thành sau năm 2022</t>
  </si>
  <si>
    <t>Dự án hoàn thành, đã phê duyệt quyết toán</t>
  </si>
  <si>
    <t>Dự án hoàn thành bàn giao, đưa vào sử dụng trước ngày 31/12/2021</t>
  </si>
  <si>
    <t>d</t>
  </si>
  <si>
    <t>Dự án chuyển tiếp hoàn thành sau năm 2022</t>
  </si>
  <si>
    <t>đ</t>
  </si>
  <si>
    <t>Dự án khởi công mới năm 2022</t>
  </si>
  <si>
    <t>Cấp điện sinh hoạt cho nhân dân tại các điểm sắp xếp dân cư bị ảnh hưởng do mưa lũ năm 2018, huyện Mường Tè</t>
  </si>
  <si>
    <t>214-28/02/2019</t>
  </si>
  <si>
    <t>Nhà văn hóa bản Nậm Củm 1 xã Mường Tè</t>
  </si>
  <si>
    <t>Trường PTDT bán trú THCS xã Thu Lũm</t>
  </si>
  <si>
    <t>1931-28/08/2015</t>
  </si>
  <si>
    <t>1509A-31/10/2017</t>
  </si>
  <si>
    <t>Mặt bằng hạ tầng kỹ thuật điểm ĐCĐC  Là Si, xã Tá Bạ</t>
  </si>
  <si>
    <t>Xây dựng phòng họp Huyện ủy, huyện Mường Tè</t>
  </si>
  <si>
    <t>Sắp xếp dân cư vùng thiên tai bản Pa Thoóng trên với bản Đầu Nậm Xả</t>
  </si>
  <si>
    <t>2048-31/10/18</t>
  </si>
  <si>
    <t>2824-18/10/19</t>
  </si>
  <si>
    <t>2946a/31.10.19</t>
  </si>
  <si>
    <t>Xây dựng bổ sung trường PTDTBT TH, THCS xã Can Hồ</t>
  </si>
  <si>
    <t>Nhà hiệu bộ, phòng học chức năng trường THCS Thu Lũm</t>
  </si>
  <si>
    <t>Phòng học chức năng trường TH, THCS Bum Nưa</t>
  </si>
  <si>
    <t>Sửa chữa nhà lớp học, nhà bán trú và các HMPT trường THCS xã Mù Cả</t>
  </si>
  <si>
    <t>Kè chống sạt bảo vệ trường TH, THCS, xã Tá Bạ</t>
  </si>
  <si>
    <t>Thủy lợi Nhù Cư Ló Cá, xã Thu Lũm</t>
  </si>
  <si>
    <t>Thủy lợi Phu Khà Ló Cá, xã Thu Lũm</t>
  </si>
  <si>
    <t>Nâng cấp thủy lợi Nậm Dính, xã Tà Tổng</t>
  </si>
  <si>
    <t>3557-31/12/2020</t>
  </si>
  <si>
    <t>3559-31/12/2020</t>
  </si>
  <si>
    <t>3558-31/12/2020</t>
  </si>
  <si>
    <t>3561-31/12/2020</t>
  </si>
  <si>
    <t>3554-31/12/2020</t>
  </si>
  <si>
    <t>Trường mầm non xã Ka Lăng, huyện Mường Tè (Hạng mục phụ trợ)</t>
  </si>
  <si>
    <t>Phòng họp trực tuyến Huyện ủy, huyện Mường Tè (GĐII)</t>
  </si>
  <si>
    <t>Nhà đa năng trường THCS thị trấn, huyện Mường Tè</t>
  </si>
  <si>
    <t>Hạ tầng đô thị, điện chiếu sáng thị trấn Mường Tè, huyện Mường Tè</t>
  </si>
  <si>
    <t>Vốn đầu tư từ nguồn thu sử dụng đất</t>
  </si>
  <si>
    <t>II.1</t>
  </si>
  <si>
    <t>Kinh phí đo đạc, lập cơ sở dữ liệu hồ sơ địa chính và cấp giấy chứng nhận quyền sử dụng đất, quy hoạch sử dụng đất và kiểm kê đất đai</t>
  </si>
  <si>
    <t>Kinh phí đo đạc bổ sung bản đồ địa chính, lập hồ sơ địa chính, cấp GCNQSD đất 02 xã Vàng San và Bum Nưa</t>
  </si>
  <si>
    <t>1202A-24/6/2019</t>
  </si>
  <si>
    <t>Kiểm kê đất đai, lập bản đồ hiện trạng sử dụng đất năm 2019</t>
  </si>
  <si>
    <t>904-03/6/2020</t>
  </si>
  <si>
    <t>II.2</t>
  </si>
  <si>
    <t>Chi đầu tư các dự án</t>
  </si>
  <si>
    <t>Bến xe khách huyện Mường Tè (GĐ2)</t>
  </si>
  <si>
    <t>2816-16/10/19</t>
  </si>
  <si>
    <t>Xây dựng hạ tầng kỹ thuật và chỉnh trang đô thị, thị trấn Mường Tè, huyện Mường Tè</t>
  </si>
  <si>
    <t>628-02/4/2021</t>
  </si>
  <si>
    <t>(Kèm theo Văn bản số:             /UBND-TH ngày          tháng 01 năm 2022 của UBND huyện Mường Tè)</t>
  </si>
  <si>
    <t>BIỂU CAM KẾT GIẢI NGÂN KẾ HOẠCH VỐN ĐẦU TƯ CÔNG NĂM 2022</t>
  </si>
  <si>
    <t>TT</t>
  </si>
  <si>
    <t>Danh mục dự án</t>
  </si>
  <si>
    <t>Quyết định đầu tư</t>
  </si>
  <si>
    <t>Kế hoạch giao năm 2022</t>
  </si>
  <si>
    <t>Ghi chú</t>
  </si>
  <si>
    <t>Số QĐ, ngày tháng năm ban hành</t>
  </si>
  <si>
    <t>Tổng mức đầu tư</t>
  </si>
  <si>
    <t>Tháng 1</t>
  </si>
  <si>
    <t>Tháng 2</t>
  </si>
  <si>
    <t>Tháng 3</t>
  </si>
  <si>
    <t>Tháng 4</t>
  </si>
  <si>
    <t>Tháng 5</t>
  </si>
  <si>
    <t>Tháng 6</t>
  </si>
  <si>
    <t>Tháng 7</t>
  </si>
  <si>
    <t>Tháng 8</t>
  </si>
  <si>
    <t>Tháng 9</t>
  </si>
  <si>
    <t>Tháng 10</t>
  </si>
  <si>
    <t>Tháng 11</t>
  </si>
  <si>
    <t>Tháng 12</t>
  </si>
  <si>
    <t>Giải ngân cả năm 2022</t>
  </si>
  <si>
    <t>ĐVT: Triệu đồng</t>
  </si>
  <si>
    <t>Cam kết giải ngân kế hoạch năm 2022</t>
  </si>
  <si>
    <t>Khó khăn vướng mắc</t>
  </si>
  <si>
    <t>Khối lượng thực hiện</t>
  </si>
  <si>
    <t>Lũy kế từ khởi công đến thời điểm báo cáo</t>
  </si>
  <si>
    <t>Đơn vị tính: Triệu đồng</t>
  </si>
  <si>
    <t>3552-31/12/2020</t>
  </si>
  <si>
    <t>3553-31/12/2020</t>
  </si>
  <si>
    <t>3491-29/12/2020</t>
  </si>
  <si>
    <t>2225-15/12/2021</t>
  </si>
  <si>
    <t>2224-15/12/2021</t>
  </si>
  <si>
    <t>2223-15/12/2021</t>
  </si>
  <si>
    <t>2207-10/12/2021</t>
  </si>
  <si>
    <t>Tỷ lệ giải ngân (%)</t>
  </si>
  <si>
    <t>196a-24/02/2012; 1320-25/10/2012</t>
  </si>
  <si>
    <t>1332-27/10/2014</t>
  </si>
  <si>
    <t>Nâng cấp đường giao thông đến trung tâm các xã huyện Mường Tè</t>
  </si>
  <si>
    <t>1611-06/12/2021</t>
  </si>
  <si>
    <t>CT</t>
  </si>
  <si>
    <t>KCM</t>
  </si>
  <si>
    <t>QT</t>
  </si>
  <si>
    <t>HT</t>
  </si>
  <si>
    <t>DK</t>
  </si>
  <si>
    <t>Các dự án đã phê duyệt quyết toán</t>
  </si>
  <si>
    <t>Các dự án hoàn thành trước 31/12/2021</t>
  </si>
  <si>
    <t>Các dự án dự kiến hoàn thành trong năm 2022</t>
  </si>
  <si>
    <t>Các dự án chuyển tiếp, hoàn thành sau năm 2022</t>
  </si>
  <si>
    <t>Các dự án khởi công mới</t>
  </si>
  <si>
    <t>Thanh toán KLHT</t>
  </si>
  <si>
    <t>Địa điểm xây dựng</t>
  </si>
  <si>
    <t>Năng lực thiết kế</t>
  </si>
  <si>
    <t>Thời gian KC-HT</t>
  </si>
  <si>
    <t>Mù Cả + Tà Tổng</t>
  </si>
  <si>
    <t>Tà Tổng</t>
  </si>
  <si>
    <t>huyện Mường Tè</t>
  </si>
  <si>
    <t>Mường Tè</t>
  </si>
  <si>
    <t>Thị trấn</t>
  </si>
  <si>
    <t>Pa Ủ</t>
  </si>
  <si>
    <t>H. Mường Tè</t>
  </si>
  <si>
    <t>Thu Lũm</t>
  </si>
  <si>
    <t>Tá Bạ</t>
  </si>
  <si>
    <t>Bum Tở</t>
  </si>
  <si>
    <t>Can Hồ</t>
  </si>
  <si>
    <t>Bum Nưa</t>
  </si>
  <si>
    <t>Mù Cả</t>
  </si>
  <si>
    <t>Ka Lăng</t>
  </si>
  <si>
    <t>2,5 Km, rãnh thoát nước</t>
  </si>
  <si>
    <t>08 PLH, phụ trợ khác</t>
  </si>
  <si>
    <t>Nhà cấp III, 3 tầng; phụ trợ</t>
  </si>
  <si>
    <t>Cấp III, 2 tầng; phụ trợ</t>
  </si>
  <si>
    <t>Kè BT</t>
  </si>
  <si>
    <t>18 ha, 1 vụ</t>
  </si>
  <si>
    <t>16 ha</t>
  </si>
  <si>
    <t>12 ha</t>
  </si>
  <si>
    <t>20-23</t>
  </si>
  <si>
    <t>21-24</t>
  </si>
  <si>
    <t>22-25</t>
  </si>
  <si>
    <t>19-20</t>
  </si>
  <si>
    <t>21-22</t>
  </si>
  <si>
    <t>e</t>
  </si>
  <si>
    <t>Các chương trình MTQG</t>
  </si>
  <si>
    <t>Chương trinh MTQG NTM</t>
  </si>
  <si>
    <t>Nậm Khao</t>
  </si>
  <si>
    <t>22-23</t>
  </si>
  <si>
    <t>Nâng cấp đường giao thông Ló Mé, Lè Giằng, Là Pê 1,2; trung tâm xã Tá Pạ</t>
  </si>
  <si>
    <t>Cấp điện nông thôn đến các bản Các xã Tà Tổng ( A Mé); Pa Vệ Sử (Chà Gá, Sín Chải C); Mù Cả (Mò Su);  Tá Pạ (Là Si; Vạ Pù)</t>
  </si>
  <si>
    <t>Đường giao thông liên vùng từ bản Mo Chi - bản Cờ Lò, xã Pa Ủ - bản Nậm Phìn, xã Nậm Khao, huyện Mường Tè.</t>
  </si>
  <si>
    <t>Kiên cố thủy lợi Na Cai Bảng bản Giẳng, xã Mường Tè</t>
  </si>
  <si>
    <t>Thuỷ lợi Lọng Co Cu + Huổi Y Lin xã Mường Tè</t>
  </si>
  <si>
    <t>Thuỷ lợi Cư Phu Á Te bản Thu Lũm 1 xã Thu lũm</t>
  </si>
  <si>
    <t>Kiên cố thủy lợi Nà Cấu, xã Mường Tè</t>
  </si>
  <si>
    <t>Nhà lớp học bộ môn trường THCS xã Mường Tè, huyện Mường Tè</t>
  </si>
  <si>
    <t>Cấp điện nông thôn từ điện lưới quốc gia bản (A Chè, Suối Voi, Nậm Phìn, Cờ Lò) thuộc các xã, huyện Mường Tè</t>
  </si>
  <si>
    <t>Thuỷ lợi Xé Giá bản Pa Thắng</t>
  </si>
  <si>
    <t>Nâng cấp thủy lợi Na Mứn bản Nậm Củm xã Mường Tè</t>
  </si>
  <si>
    <t>22-24</t>
  </si>
  <si>
    <t>Tà Tổng, Pa Vệ Sủ, Mù Cả, Tá Bạ</t>
  </si>
  <si>
    <t>Pa Ủ, Nậm Khao</t>
  </si>
  <si>
    <t>xã Mường Tè</t>
  </si>
  <si>
    <t>Thu Lũm, Can Hồ, Pa Ủ</t>
  </si>
  <si>
    <t>1717-12/8/2022</t>
  </si>
  <si>
    <t>1684-05/8/2022</t>
  </si>
  <si>
    <t>1718-12/8/2022</t>
  </si>
  <si>
    <t>1666-05/8/2022</t>
  </si>
  <si>
    <t>1678-05/8/2022</t>
  </si>
  <si>
    <t>1671-05/8/2022</t>
  </si>
  <si>
    <t>1673-05/8/2022</t>
  </si>
  <si>
    <t>1686-05/8/2022</t>
  </si>
  <si>
    <t>1683-05/8/2022</t>
  </si>
  <si>
    <t>1670-05/8/2022</t>
  </si>
  <si>
    <t>1672-05/8/2022</t>
  </si>
  <si>
    <t>Chương trình MTQG phát triển KTXH vùng ĐBDTTS&amp;MN</t>
  </si>
  <si>
    <t>Dự án 1- nội dung 4: Giải quyết tình trạng thiếu đất ở, nhà ở, đất sản xuất, nước sinh hoạt</t>
  </si>
  <si>
    <t>Nước sinh hoạt bản Huổi Han, xã Bum Tở, huyện Mường Tè</t>
  </si>
  <si>
    <t>Nâng cấp, sửa chữa NSH các bản Nậm Cấu, Tả Phìn, xã Bum Tở, huyện Mường Tè</t>
  </si>
  <si>
    <t>1680-05/8/2022</t>
  </si>
  <si>
    <t>1681-05/8/2022</t>
  </si>
  <si>
    <t>Dự án 2 - Quy hoạch sắp xếp bố trí ổn định dân cư ở những nơi cần thiết</t>
  </si>
  <si>
    <t>1696-08/8/2022</t>
  </si>
  <si>
    <t>1716-12/8/2022</t>
  </si>
  <si>
    <t>Sắp xếp ổn định dân cư vùng biên giới bản A Chè, xã Thu Lũm, huyện Mường Tè</t>
  </si>
  <si>
    <t>Sắp xếp ổn định dân cư vùng thiên tai bản Chà Dì, xã Bum Tở huyện Mường Tè</t>
  </si>
  <si>
    <t>Dự án 3: Tiểu dự án 2 - Nội dung số 02: Đầu tư, hôc trợ vùng trồng dược liệu quý</t>
  </si>
  <si>
    <t>(Dự kiến thực hiện trồng 32 ha Sâm Lai Châu (04 dự án) tại các xã Pa Vệ Sủ, Tá Pạ, Thu Lũm, Ka Lăng)</t>
  </si>
  <si>
    <t>Dự án 4 - Tiểu dự án 1; Nội dung 1: Đầu tư cơ sở hạ tầng cho các xã, thôn đặc biệt khó khăn</t>
  </si>
  <si>
    <t>Nâng cấp, sửa chữa các công trình thủy lợi nhỏ các bản Còong Khà, Ló Na, Gò Khà, U Ma xã Thu Lũm</t>
  </si>
  <si>
    <t>Nâng cấp, sửa chữa các công trình thủy lợi nhỏ, xã Mù Cả</t>
  </si>
  <si>
    <t>Nâng cấp, sửa chữa các công trình thủy lợi nhỏ, xã Pa Ủ</t>
  </si>
  <si>
    <t>Nâng cấp, sửa chữa các công trình thủy lợi nhỏ, xã Pa Vệ Sủ</t>
  </si>
  <si>
    <t>Đường giao thông đến bản A Mé</t>
  </si>
  <si>
    <t>Nâng cấp, sửa chữa các công trình thủy lợi nhỏ, xã Bum Tở</t>
  </si>
  <si>
    <t>Đường đến điểm ĐCĐC Suối Voi</t>
  </si>
  <si>
    <t>Nâng cấp, sửa chữa các công trình thủy lợi nhỏ, xã Vàng San</t>
  </si>
  <si>
    <t>1677-05/8/2022</t>
  </si>
  <si>
    <t>1676-05/8/2022</t>
  </si>
  <si>
    <t>1674-05/8/2022</t>
  </si>
  <si>
    <t>1679-05/8/2022</t>
  </si>
  <si>
    <t>1697-08/8/2022</t>
  </si>
  <si>
    <t>1675-05/8/2022</t>
  </si>
  <si>
    <t>1695-08/8/2022</t>
  </si>
  <si>
    <t>1669-05/8/2022</t>
  </si>
  <si>
    <t>Pa Vệ Sủ</t>
  </si>
  <si>
    <t>Vàng San</t>
  </si>
  <si>
    <t>Dự án 5 - Tiểu dự án 1; Đổi mới hoạt động củng cố phát trển các trường phổ thôn dân tộc nội trú, trường phổ thông dân tộc bán trú, trường PTDT có học sinh ở bán trú và xóa mù chữ cho người dân tộc vùng đồng bào thiểu số và miền núi.</t>
  </si>
  <si>
    <t>Trường Phổ thông dân tộc bán trú TH&amp; THCS Bum Tở</t>
  </si>
  <si>
    <t>Trường Phổ thông dân tộc bán trú TH&amp;THCS Tà Tổng</t>
  </si>
  <si>
    <t>1690-05/8/2022</t>
  </si>
  <si>
    <t>1661-05/8/2022</t>
  </si>
  <si>
    <t>Dự án 6 -  Bảo tồn, phát huy giá trị văn hóa truyền thống tốt đẹp của các dân tộc thiểu số gắn với phát triển du lịch</t>
  </si>
  <si>
    <t>Xây dựng các thiết chế văn hóa, thể thao và trang thiết bị tại các bản (34 nhà văn hóa thôn, bản)</t>
  </si>
  <si>
    <t>Dự án 9 - Tiểu dự án 1: Đầu tư xây dựng nâng cấp, cải tạo cơ sở hạ tầng các thôn tập trung đông đồng bào dân tộc thiểu số có khó khăn đặc thù</t>
  </si>
  <si>
    <t>Nâng cấp đường giao thông đến bản A Mại xã Pa Vệ Sủ</t>
  </si>
  <si>
    <t>Sửa chữa thủy lợi Huổi Ngô, xã Can Hồ</t>
  </si>
  <si>
    <t>Sửa chữa thủy lợi Huổi Cởm, xã Can Hồ</t>
  </si>
  <si>
    <t>Kè bảo vệ khu dân cư bản Nậm Củm</t>
  </si>
  <si>
    <t xml:space="preserve">Kè bảo vệ mặt bằng cho khu dân cư, trường học bản Lắng Phiếu </t>
  </si>
  <si>
    <t>1668-05/8/2022</t>
  </si>
  <si>
    <t>1667-05/8/2022</t>
  </si>
  <si>
    <t>1665-05/8/2022</t>
  </si>
  <si>
    <t>1689-05/8/2022</t>
  </si>
  <si>
    <t>Đường giao thông các xã Bum Tở, Can hồ, huyện Mường Tè( Vùng Quế đã trồng, nhân dân trồng)</t>
  </si>
  <si>
    <t>Đường giao thông các xã Bum Tở, Can Hồ, huyện Mường Tè (Vùng Quế trồng mới, nhân dân trồng)</t>
  </si>
  <si>
    <t>Nâng cấp, sửa chữa hệ thống thủy lợi xã Bum Nưa, Vàng San</t>
  </si>
  <si>
    <t>GTNT C</t>
  </si>
  <si>
    <t>Nâng cấp, sửa chữa</t>
  </si>
  <si>
    <t>1693-08/08/2022</t>
  </si>
  <si>
    <t>1694-08/08/2022</t>
  </si>
  <si>
    <t>1685-05/08/2022</t>
  </si>
  <si>
    <t>Xây dựng sân thể thao trung tâm xã Can Hồ</t>
  </si>
  <si>
    <t>Đường giao thông nông thôn phục vụ sản xuất Nậm Lọ xã Can Hồ</t>
  </si>
  <si>
    <t>Đường giao thông trục bản, nội bản, rãnh thoát nước môi trường các bản xã Thu Lũm</t>
  </si>
  <si>
    <t>Xã Can Hồ</t>
  </si>
  <si>
    <t>Xã Tá Bạ</t>
  </si>
  <si>
    <t>xã Pa Ủ</t>
  </si>
  <si>
    <t>xã Mù Cả</t>
  </si>
  <si>
    <t>Xã Thu Lũm</t>
  </si>
  <si>
    <t>Xã Vàng San</t>
  </si>
  <si>
    <t>0,26 ha</t>
  </si>
  <si>
    <t>2,8 km</t>
  </si>
  <si>
    <t>2,64km đường; rãnh thoát nước</t>
  </si>
  <si>
    <t>1993-19/9/2022</t>
  </si>
  <si>
    <t>277-29/9/2022</t>
  </si>
  <si>
    <t>157-29/9/2022</t>
  </si>
  <si>
    <t>CĐT</t>
  </si>
  <si>
    <t>Ban QLCT DA PT KT-XH huyện</t>
  </si>
  <si>
    <t>UBND xã Tá Bạ</t>
  </si>
  <si>
    <t>UBND xã Can Hồ</t>
  </si>
  <si>
    <t>UBND xã Pa Ủ</t>
  </si>
  <si>
    <t>UBND xã Mù Cả</t>
  </si>
  <si>
    <t>UBND xã Thu Lũm</t>
  </si>
  <si>
    <t>UBND xã Bum Nưa</t>
  </si>
  <si>
    <t>UBND xã Ka Lăng</t>
  </si>
  <si>
    <t>UBND xã Bum Tở</t>
  </si>
  <si>
    <t>UBND xã Pa Vệ Sủ</t>
  </si>
  <si>
    <t>UBND xã Mường Tè</t>
  </si>
  <si>
    <t>UBND xã Vàng San</t>
  </si>
  <si>
    <t>UBND xã Tà Tổng</t>
  </si>
  <si>
    <t>Trường PTDT bán trú THCS Thu Lũm</t>
  </si>
  <si>
    <t>Trường PTDT bán trú Tiểu học Thu Lũm</t>
  </si>
  <si>
    <t>Nâng cấp hệ thống phòng học + phụ trợ các Trường mầm non trên địa bàn các xã Mường Tè, Bum Nưa, Thu Lũm, huyện Mường Tè</t>
  </si>
  <si>
    <t>Bổ sung các phòng học mầm non trên địa bàn huyện Mường Tè</t>
  </si>
  <si>
    <t>Nâng cấp hệ thống phòng học và phụ trợ các trường Tiểu học trên địa bàn các xã Mường Tè, Bum Nưa, Thu Lũm, huyện Mường Tè</t>
  </si>
  <si>
    <t>Hệ thống đường giao thông nội đồng các bản xã Bum Nưa, huyện Mường Tè</t>
  </si>
  <si>
    <t>Xây dựng sân thể thao xã Bum Nưa</t>
  </si>
  <si>
    <t>Nâng cấp nước sinh hoạt trung tâm xã Mường Tè</t>
  </si>
  <si>
    <t>Hệ thống đường giao thông ra khu sản xuất bản Nậm Hản, Nậm Củm xã Mường Tè</t>
  </si>
  <si>
    <t>Hệ thống đường giao thông nội đồng các bản xã Thu Lũm, huyện Mường Tè</t>
  </si>
  <si>
    <t>Xây dựng sân thể thao xã Thu Lũm</t>
  </si>
  <si>
    <t>xã Thu Lũm</t>
  </si>
  <si>
    <t>xã Bum Nưa</t>
  </si>
  <si>
    <t>Xã Bum Nưa</t>
  </si>
  <si>
    <t>12 P bán trú</t>
  </si>
  <si>
    <t>05 P học, 04 P CVGV, các HMPT</t>
  </si>
  <si>
    <t>Sửa chữa, nâng cấp, bổ sung các HMPT</t>
  </si>
  <si>
    <t>07 Phòng lớp học + phụ trợ</t>
  </si>
  <si>
    <t>Nâng cấp, bổ sung phòng học và các HMPT</t>
  </si>
  <si>
    <t>2,07km</t>
  </si>
  <si>
    <t>Đường; 0,9ha MB; thoát nước; đường chạy</t>
  </si>
  <si>
    <t xml:space="preserve"> 515 hộ; các công trình công cộng  </t>
  </si>
  <si>
    <t>Mở mới 1,1 km; nâng cấp 7,6km</t>
  </si>
  <si>
    <t>3 km</t>
  </si>
  <si>
    <t>Xây dựng bổ sung các HM</t>
  </si>
  <si>
    <t>2026-22/9/2022</t>
  </si>
  <si>
    <t>2025-22/9/2022</t>
  </si>
  <si>
    <t>2045-28/9/2022</t>
  </si>
  <si>
    <t>2036-26/9/2022</t>
  </si>
  <si>
    <t>2037-26/9/2022</t>
  </si>
  <si>
    <t>126a-26/9/2022</t>
  </si>
  <si>
    <t>126-26/9/2022</t>
  </si>
  <si>
    <t>256-28/9/2022</t>
  </si>
  <si>
    <t>255-28/9/2022</t>
  </si>
  <si>
    <t>155-29/9/2022</t>
  </si>
  <si>
    <t>153-26/9/2022</t>
  </si>
  <si>
    <t>2022-2024</t>
  </si>
  <si>
    <t>LG NSĐP</t>
  </si>
  <si>
    <t>Đường giao thông nông thôn phục vụ sản xuất các bản xã Thu Lũm</t>
  </si>
  <si>
    <t>Đường giao thông nông thôn phục vụ sản xuất các bản xã Ka Lăng</t>
  </si>
  <si>
    <t>Đường giao thông nội bản các bản ( Ló Mé, Lè Giằng, Vạ Pù, Nhóm Pố) xã Tá Bạ</t>
  </si>
  <si>
    <t>Đường giao thông nông thôn phục vụ sản xuất các bản xã Mù Cả</t>
  </si>
  <si>
    <t>Đường giao thông nông thôn phục vụ sản xuất các bản (Dèn Thàng, Khoang Thèn, Sín Chải A+C) xã Pa Vệ Sủ</t>
  </si>
  <si>
    <t>Đường giao thông nông thôn phục vụ sản xuất xã Nậm Khao</t>
  </si>
  <si>
    <t>Đường vào khu sản xuất điểm dân cư Suối Voi</t>
  </si>
  <si>
    <t>Đường giao thông nội bản các bản (Vàng San, Pắc Pạ, Sang Sui) xã Vàng San</t>
  </si>
  <si>
    <t>Nâng cấp, sửa chữa nước sinh hoạt Khu phố 11, Thị trấn Mường Tè, huyện Mường Tè</t>
  </si>
  <si>
    <t>Xã Pa Ủ</t>
  </si>
  <si>
    <t>Xã Pa Vệ Sủ</t>
  </si>
  <si>
    <t>Thị trấn Mường Tè</t>
  </si>
  <si>
    <t>3,21km</t>
  </si>
  <si>
    <t>2,5 km</t>
  </si>
  <si>
    <t>1,29 km</t>
  </si>
  <si>
    <t>2,5km</t>
  </si>
  <si>
    <t>0,65km</t>
  </si>
  <si>
    <t>3,25km</t>
  </si>
  <si>
    <t>2,27 km</t>
  </si>
  <si>
    <t>3,88km</t>
  </si>
  <si>
    <t>1,2km</t>
  </si>
  <si>
    <t>Sửa chữa, bổ sung</t>
  </si>
  <si>
    <t>2022-2023</t>
  </si>
  <si>
    <t>156-29/9/2022</t>
  </si>
  <si>
    <t>109-28/9/2022</t>
  </si>
  <si>
    <t>311-26/9/2022</t>
  </si>
  <si>
    <t>299-28/9/2022</t>
  </si>
  <si>
    <t>201-29/9/2022</t>
  </si>
  <si>
    <t>329-26/9/2022</t>
  </si>
  <si>
    <t>321-28/9/2022</t>
  </si>
  <si>
    <t>286-29/9/2022</t>
  </si>
  <si>
    <t>266-28/9/2022</t>
  </si>
  <si>
    <t>98-29/9/2022</t>
  </si>
  <si>
    <t>UBND xã Nậm Khao</t>
  </si>
  <si>
    <t>UBND Thị Trấn Mường Tè</t>
  </si>
  <si>
    <t>Nhà văn hóa bản Vạ Pù xã Tá Bạ</t>
  </si>
  <si>
    <t>Nhà văn hóa bản Nhóm Pố xã Tá Bạ</t>
  </si>
  <si>
    <t>Nhà văn hóa bản Là Si xã Tá Bạ</t>
  </si>
  <si>
    <t>Nhà văn hóa bản Pà Khà xã Tà Tổng</t>
  </si>
  <si>
    <t>Nhà văn hóa bản Nậm Dính xã Tà Tổng</t>
  </si>
  <si>
    <t>Nhà văn hóa bản Nhú Ma xã Pa Ủ</t>
  </si>
  <si>
    <t>Nhà văn hóa bản Hà Xi xã Pa Ủ</t>
  </si>
  <si>
    <t>Nhà văn hóa bản Chà Kế xã Pa Ủ</t>
  </si>
  <si>
    <t>Nhà văn hóa bản Khoang Thèn xã Pa Vệ Sủ</t>
  </si>
  <si>
    <t>Nhà văn hóa bản Pá Hạ xã Pa Vệ Sủ</t>
  </si>
  <si>
    <t>Nhà văn hóa bản Xà Phìn xã Pa Vệ Sủ</t>
  </si>
  <si>
    <t>Nhà văn hóa bản Mù Cả xã Mù Cả</t>
  </si>
  <si>
    <t>Nhà văn hóa bản Sì Thâu Chải xã Can Hồ</t>
  </si>
  <si>
    <t>-</t>
  </si>
  <si>
    <t>xã Tá Bạ</t>
  </si>
  <si>
    <t>xã Tà Tổng</t>
  </si>
  <si>
    <t>xã Pa Vệ Sủ</t>
  </si>
  <si>
    <t>xã Can Hồ</t>
  </si>
  <si>
    <t>81m2</t>
  </si>
  <si>
    <t>120m2</t>
  </si>
  <si>
    <t>313-26/9/2022</t>
  </si>
  <si>
    <t>314-26/9/2022</t>
  </si>
  <si>
    <t>315-26/9/2022</t>
  </si>
  <si>
    <t>429-30/9/2022</t>
  </si>
  <si>
    <t>431-30/9/2022</t>
  </si>
  <si>
    <t>198-20/9/2022</t>
  </si>
  <si>
    <t>199-21/9/2022</t>
  </si>
  <si>
    <t>199a-27/9/2022</t>
  </si>
  <si>
    <t>338-27/9/2022</t>
  </si>
  <si>
    <t>340-27/9/2022</t>
  </si>
  <si>
    <t>339-27/9/2022</t>
  </si>
  <si>
    <t>300a-28/9/2022</t>
  </si>
  <si>
    <t>287-29/9/2022</t>
  </si>
  <si>
    <t>Đầu tư cơ sở hạ tầng bản Nậm Xuổng, xã Vàng San, huyện Mường Tè</t>
  </si>
  <si>
    <t>Sửa chữa, nâng cấp TL Pu Khen 1 Bản Nậm Sẻ</t>
  </si>
  <si>
    <t>Sửa chữa, nâng cấp TL Nậm Khum bản Nậm Xuổng</t>
  </si>
  <si>
    <t xml:space="preserve">Thủy lợi Ty Tông 1 bản A Mại </t>
  </si>
  <si>
    <t>Sửa chữa, nâng cấp đường giao thông nội bản Seo Hai + Sì thâu Chải xã Can Hồ</t>
  </si>
  <si>
    <t>Đường GT; điện; nhà lớp học</t>
  </si>
  <si>
    <t>07 ha</t>
  </si>
  <si>
    <t>3,5Ha</t>
  </si>
  <si>
    <t>06 ha</t>
  </si>
  <si>
    <t>1,51km</t>
  </si>
  <si>
    <t>2077a-30/9/2022</t>
  </si>
  <si>
    <t>262b-26/9/2022</t>
  </si>
  <si>
    <t>265-28/9/2022</t>
  </si>
  <si>
    <t>328-27/9/2022</t>
  </si>
  <si>
    <t>278-29/9/2022</t>
  </si>
  <si>
    <t>Chương trinh MTQG giảm nghèo bền vững</t>
  </si>
  <si>
    <t>Phòng GD&amp;ĐT</t>
  </si>
  <si>
    <t>Phòng Kinh tế &amp; Hạ tầng</t>
  </si>
  <si>
    <t>Thống kê theo chủ đầu tư</t>
  </si>
  <si>
    <t>Nâng cấp bổ sung, các hạng mục phụ trợ trường MN Pa Ủ (trung tâm và các điểm bản)</t>
  </si>
  <si>
    <t>2004-22/9/2022</t>
  </si>
  <si>
    <t>20 ha</t>
  </si>
  <si>
    <t>L = 341,64 m</t>
  </si>
  <si>
    <t>1698-08/8/2022</t>
  </si>
  <si>
    <t>Chưa giải ngân</t>
  </si>
  <si>
    <t>SL anh tâm</t>
  </si>
  <si>
    <t>KL TH năm 2022</t>
  </si>
  <si>
    <t>Kế hoạch giao năm 2023</t>
  </si>
  <si>
    <t>Riêng năm 2023</t>
  </si>
  <si>
    <t>Các dự án dự kiến hoàn thành năm 2023</t>
  </si>
  <si>
    <t>Các dự án chuyển tiếp hoàn thành sau năm 2023</t>
  </si>
  <si>
    <t>Tu sửa, nâng cấp các trạm y tế xã, huyện Mường Tè</t>
  </si>
  <si>
    <t>133-28/10/2016</t>
  </si>
  <si>
    <t>Thủy lợi Coòng Khà, xã Thu Lũm, huyện Mường Tè</t>
  </si>
  <si>
    <t>289-09/03/2011</t>
  </si>
  <si>
    <t xml:space="preserve">Tuyến kè chống xói, lở bảo vệ bờ suối khu vực cột mốc 16 (2), Mù Cả, huyện Mường Tè </t>
  </si>
  <si>
    <t>1513-09/11/2010</t>
  </si>
  <si>
    <t>Đường giao thông đến bản Nậm Phìn, xã Nậm Khao, huyện Mường Tè</t>
  </si>
  <si>
    <t>1262-25/10/2012</t>
  </si>
  <si>
    <t>San gạt mặt bằng nhà ở + thoát nước môi trường điểm trường ĐCĐC Xé Ma xã Tà Tổng, huyện Mường Tè</t>
  </si>
  <si>
    <t>1331-27/10/2014</t>
  </si>
  <si>
    <t>Dự án chuyển tiếp, hoàn thành sau năm 2023</t>
  </si>
  <si>
    <t>Bum Nưa, Vàng San</t>
  </si>
  <si>
    <t>Đề án phát triển hạ tầng vùng sản xuất nông nghiệp hàng hóa tập trung</t>
  </si>
  <si>
    <t>Đề án phát triển rừng bền vững giai đoạn 2021-2025, định hướng đến năm 2030</t>
  </si>
  <si>
    <t>Bố trí cho các dự án sau quyết toán</t>
  </si>
  <si>
    <t>Trường THCS xã Vàng San</t>
  </si>
  <si>
    <t>Đường Pắc Ma - U Ma Tu Khòong (đoạn Pắc Ma - Thu Lũm ), huyện Mường Tè.</t>
  </si>
  <si>
    <t>Đường giao thông tuyến Pa Ủ - Hà Si</t>
  </si>
  <si>
    <t>Hạng mục phụ trợ bán trú trường THCS xã Mù Cả</t>
  </si>
  <si>
    <t>08 P.học</t>
  </si>
  <si>
    <t>35 km</t>
  </si>
  <si>
    <t>2014</t>
  </si>
  <si>
    <t xml:space="preserve"> 09-11</t>
  </si>
  <si>
    <t>1113-21/10/2013</t>
  </si>
  <si>
    <t>359-01/04/2009</t>
  </si>
  <si>
    <t>1944-06/11/2008</t>
  </si>
  <si>
    <t>155-21/01/2019</t>
  </si>
  <si>
    <t>Dự án hoàn thành bàn giao trước 31/12 năm 2022</t>
  </si>
  <si>
    <t>San gạt mặt bằng, cấp nước sinh hoạt điểm sắp xếp dân cư Nậm Suổng, xã Vàng San, huyện Mường Tè</t>
  </si>
  <si>
    <t>Bổ sung HMPT điểm trường bản Nà Phầy, trường PTDT bán trú Tiểu học, Trung học cơ sở xã Vàng San, huyện Mường Tè</t>
  </si>
  <si>
    <t>2110-07/10/2022</t>
  </si>
  <si>
    <t>MB, NSH cho 78 hộ</t>
  </si>
  <si>
    <t>Phụ trợ</t>
  </si>
  <si>
    <t>2028-22/9/2022</t>
  </si>
  <si>
    <t>I.1</t>
  </si>
  <si>
    <t>Các nhiệm vụ, chương trình, đề án trọng điểm</t>
  </si>
  <si>
    <t>Chi đầu tư hạ tầng các khu, điểm quy hoạch bán đấu giá quyền SDĐ</t>
  </si>
  <si>
    <t>Dự án dự kiến hoàn thành năm 2023</t>
  </si>
  <si>
    <t>Chi đầu tư chương trình xây dựng NTM</t>
  </si>
  <si>
    <t>Dự án đã quyết toán</t>
  </si>
  <si>
    <t>1</t>
  </si>
  <si>
    <t>Đường vào cầu Văng Thẳm bản Nậm Củm, xã Mường Tè</t>
  </si>
  <si>
    <t>289-24/10/2019</t>
  </si>
  <si>
    <t>Chi xây dựng cơ bản tập trung</t>
  </si>
  <si>
    <t>Các dự án chuyển tiếp</t>
  </si>
  <si>
    <t>Dự án khởi công mới năm 2023</t>
  </si>
  <si>
    <t xml:space="preserve">Sửa chữa, nâng cấp nhà văn hóa các bản xã Thu Lũm </t>
  </si>
  <si>
    <t>Nhà văn hóa các bản 600m2</t>
  </si>
  <si>
    <t>23-25</t>
  </si>
  <si>
    <t>180B-25/11/2022</t>
  </si>
  <si>
    <t>2</t>
  </si>
  <si>
    <t>Sửa chữa trụ sở làm việc, nhà văn hóa trung tâm xã Bum Nưa</t>
  </si>
  <si>
    <t>Sửa chữa, nâng cấp</t>
  </si>
  <si>
    <t>2623-28/11/2022</t>
  </si>
  <si>
    <t>3</t>
  </si>
  <si>
    <t>Đường giao thông nông thôn phục vụ sản xuất các bản xã Mường Tè</t>
  </si>
  <si>
    <t>2,3km</t>
  </si>
  <si>
    <t>341-29/11/2022</t>
  </si>
  <si>
    <t>Sửa chưa, nâng cấp nhà văn hóa bản Thu Lũm 1 xã Thu Lũm</t>
  </si>
  <si>
    <t>Nâng cấp; bổ sung các HMPT</t>
  </si>
  <si>
    <t>23-24</t>
  </si>
  <si>
    <t>180C-25/11/2022</t>
  </si>
  <si>
    <t>Nước sinh hoạt bản A Chè, xã Thu Lũm, huyện Mường Tè</t>
  </si>
  <si>
    <t>20 hộ</t>
  </si>
  <si>
    <t>2621-28/11/2022</t>
  </si>
  <si>
    <t>Nước sinh hoạt bản A Mé, U Na xã Tà Tổng, huyện Mường Tè</t>
  </si>
  <si>
    <t>109 hộ</t>
  </si>
  <si>
    <t>2622-28/11/2022</t>
  </si>
  <si>
    <t>Đường giao thông nông thôn phục vụ sản xuất các bản (Xà Hồ, Ứ Ma) xã Pa Ủ</t>
  </si>
  <si>
    <t>Đường giao thông nội bản các bản ( Phìn Khò, Tả Phìn, Đầu Nậm Xả, Huổi Han) xã Bum Tở</t>
  </si>
  <si>
    <t>Chợ xã Ka Lăng</t>
  </si>
  <si>
    <t>Cứng hóa đường từ các bản Sín Chải A + B, Chà Gá đến trung tâm xã Pa Vệ Sủ</t>
  </si>
  <si>
    <t>Cứng hóa đường từ các bản Xà Hồ, Pa Ủ, Hà Xi đến trung tâm xã Pa Ủ</t>
  </si>
  <si>
    <t>Cứng hóa đường giao thông Km 13 - bản Pa Thắng - TT xã Thu Lũm</t>
  </si>
  <si>
    <t>1,96km</t>
  </si>
  <si>
    <t>242-26/11/2022</t>
  </si>
  <si>
    <t>3,0 km</t>
  </si>
  <si>
    <t>572a-28/11/2022</t>
  </si>
  <si>
    <t>1,0 ha</t>
  </si>
  <si>
    <t>2629- 30/11/2022</t>
  </si>
  <si>
    <t>17,6km</t>
  </si>
  <si>
    <t>2616- 28/11/2022</t>
  </si>
  <si>
    <t>9,4km</t>
  </si>
  <si>
    <t>2617- 28/11/2022</t>
  </si>
  <si>
    <t>19km</t>
  </si>
  <si>
    <t>2618-28/11/2022</t>
  </si>
  <si>
    <t>4</t>
  </si>
  <si>
    <t>5</t>
  </si>
  <si>
    <t>6</t>
  </si>
  <si>
    <t>Trường Phổ thông dân tộc bán trú TH&amp;THCS Nậm Khao</t>
  </si>
  <si>
    <t>Nhà bếp, nhà ăn; 01 NVS, NS; 01 Công trình phụ trợ khác</t>
  </si>
  <si>
    <t>2624-28/11/2022</t>
  </si>
  <si>
    <t>Trường Phổ thông dân tộc bán trú THCS Pa Vệ Sủ</t>
  </si>
  <si>
    <t>12 P. hs; 01 NVS, NS+PT</t>
  </si>
  <si>
    <t>2627-30/11/2022</t>
  </si>
  <si>
    <t>Nhà văn hóa A Chè, xã Thu Lũm</t>
  </si>
  <si>
    <t>180D-25/11/2022</t>
  </si>
  <si>
    <t>Nhà văn hóa bản Phìn Khò, xã Bum Tở</t>
  </si>
  <si>
    <t>572b-28/11/2022</t>
  </si>
  <si>
    <t>Nhà văn hóa Bản Xà Hồ, xã Pa Ủ</t>
  </si>
  <si>
    <t>250A-28/11/2022</t>
  </si>
  <si>
    <t>Nhà văn hóa Bản Pha Bu, xã Pa Ủ</t>
  </si>
  <si>
    <t>250B-28/11/2022</t>
  </si>
  <si>
    <t>Nhà văn hóa Bản Sín Chải B, xã Pa Vệ Sủ</t>
  </si>
  <si>
    <t>439a/26/11/2022</t>
  </si>
  <si>
    <t>Nhà văn hóa Bản Sín Chải A, xã Pa Vệ Sủ</t>
  </si>
  <si>
    <t>439b/26/11/2022</t>
  </si>
  <si>
    <t>Phòng công vụ giáo viên, bán trú học sinh trường PTDTBT TH&amp;THCS Nậm Khao (điểm bản Lắng Phiếu)</t>
  </si>
  <si>
    <t>10 phòng</t>
  </si>
  <si>
    <t>2631-30/11/2022</t>
  </si>
  <si>
    <t>Ngân sách địa phương</t>
  </si>
  <si>
    <t>I.1.1</t>
  </si>
  <si>
    <t>I.1.2</t>
  </si>
  <si>
    <t>Chưa đủ điều kiện phân bổ chi tiết</t>
  </si>
  <si>
    <t>Nâng cấp đường đi bản Pa Thắng, xã Thu Lũm, huyện Mường Tè</t>
  </si>
  <si>
    <t>1576-02/12,2022</t>
  </si>
  <si>
    <t>Biểu phụ lục 01</t>
  </si>
  <si>
    <t>Đường giao thông nội bản các bản (Xà Hồ, Pha Bu, Cờ Lò) xã Pa Ủ</t>
  </si>
  <si>
    <t>Chưa phân bổ chi tiết</t>
  </si>
  <si>
    <t>Kế hoạch vốn kéo dài 2022 sang 2023</t>
  </si>
  <si>
    <t>Nâng cấp thủy lợi Vạ Pù, xã Tá Bạ</t>
  </si>
  <si>
    <t>Tu sửa, nâng cấp nước sinh hoạt các bản (Thăm Pa, Chà Kế, Xà Hồ ) xã Pa Ủ</t>
  </si>
  <si>
    <t>Sửa chữa NSH các bản (Ma Ký, Mù Cả, Phìn Khò) xã Mù Cả</t>
  </si>
  <si>
    <t>Đường giao thông trục bản, nội bản, rãnh thoát nước môi trường các bản xã Ka Lăng</t>
  </si>
  <si>
    <t>Tu sửa, nâng cấp nước sinh hoạt các bản (Phìn Khò, Nậm Xả, Đầu Nậm Xả) xã Bum Tở</t>
  </si>
  <si>
    <t>Tu sửa, nâng cấp nước sinh hoạt các bản Pa Vệ Sủ</t>
  </si>
  <si>
    <t>Đường giao thông đến bản Phí Chi B, xã Pa Vệ Sủ</t>
  </si>
  <si>
    <t>Nâng cấp, làm mới đường giao thông trục bản, nội bản, rãnh thoát nước các bản xã Mường Tè</t>
  </si>
  <si>
    <t>Tu sửa, nâng cấp nước sinh hoạt các bản xã Vàng San</t>
  </si>
  <si>
    <t>Nâng cấp, làm mới đường giao thông trục bản, nội bản, rãnh thoát nước các bản xã Tà Tổng</t>
  </si>
  <si>
    <t>309-26/9/2022</t>
  </si>
  <si>
    <t>200-29/9/2022</t>
  </si>
  <si>
    <t>300-28/9/2022</t>
  </si>
  <si>
    <t>107-28/9/2022</t>
  </si>
  <si>
    <t>465-29/9/2022</t>
  </si>
  <si>
    <t>330-27/9/2022</t>
  </si>
  <si>
    <t>331-27/9/2022</t>
  </si>
  <si>
    <t>266-30/9/2022</t>
  </si>
  <si>
    <t>262a-26/9/2022</t>
  </si>
  <si>
    <t>428-30/9/2022</t>
  </si>
  <si>
    <t>Các dự án khởi công mới 2022</t>
  </si>
  <si>
    <t>III</t>
  </si>
  <si>
    <t>13 ha</t>
  </si>
  <si>
    <t>Sửa chữa đầu mối, tuyến ống, bể chữa</t>
  </si>
  <si>
    <t>1,06 km</t>
  </si>
  <si>
    <t xml:space="preserve">Sửa chữa </t>
  </si>
  <si>
    <t>216 hộ</t>
  </si>
  <si>
    <t>0,63km</t>
  </si>
  <si>
    <t>2,72km đường; 560m rãnh</t>
  </si>
  <si>
    <t>Tu sửa, đầu mối, tuyến ống, bể lọc</t>
  </si>
  <si>
    <t>Xã Tà Tổng</t>
  </si>
  <si>
    <t>1,91km đường; 1,54km rãnh</t>
  </si>
  <si>
    <t>BÁO CÁO TÌNH HÌNH GIẢI NGÂN KÉO DÀI VỐN NGÂN SÁCH TRUNG ƯƠNG THỰC HIỆN 03 CT MTQG  - HUYỆN MƯỜNG TÈ</t>
  </si>
  <si>
    <t>TỔNG SỐ</t>
  </si>
  <si>
    <t>Biểu phụ lục 02</t>
  </si>
  <si>
    <t>Giải ngân KH năm 2023 đến ngày 10/05/2023</t>
  </si>
  <si>
    <t>Thống nhất KL thực hiện tại T5 giữa Đ/c Biên và Duy theo số liệu trước có ngày 31/12/2022 của chỉ đạo Đ/c GĐ</t>
  </si>
  <si>
    <t>(Kèm theo Báo cáo số:             /BC-UBND, ngày 10 tháng 05 năm 2023 của UBND huyện Mường Tè)</t>
  </si>
  <si>
    <t>(Kèm theo Báo cáo số:             /BC-UBND ngày 10 tháng 05 năm 2023 của UBND huyện Mường Tè)</t>
  </si>
  <si>
    <t>Ước khối lượng thực hiện đên 31/12/2023</t>
  </si>
  <si>
    <t>Ước giải ngân kế hoạch năm 2023 đến 31/01/2024</t>
  </si>
  <si>
    <t>Dự kiến kế hoạch năm 2024</t>
  </si>
  <si>
    <t>Số cam kết giải ngân đến hết thời điểm báo cáo</t>
  </si>
  <si>
    <t>Đường giao thông liên vùng Pa Ủ - Pa Vệ Sủ, huyện Mường Tè</t>
  </si>
  <si>
    <t>23-26</t>
  </si>
  <si>
    <t>Dự án khởi công mới năm 2024</t>
  </si>
  <si>
    <t>Hạ tầng kỹ thuật khối cơ quan, khu dân cư, khu công cộng thị trấn Mường Tè, huyện Mường Tè</t>
  </si>
  <si>
    <t>f</t>
  </si>
  <si>
    <t>Các dự án khởi công mới năm 2024</t>
  </si>
  <si>
    <t>Nhà lớp học bộ môn  trường THCS xã Mường Tè</t>
  </si>
  <si>
    <t>24-26</t>
  </si>
  <si>
    <t>Nâng cấp trường Tiểu học thị trấn Mường Tè, huyện Mường Tè</t>
  </si>
  <si>
    <t>Kè chống sạt lở + cầu điểm sắp xếp dân cư bản Mù Su xã Mù Cả</t>
  </si>
  <si>
    <t>Mùa Cả</t>
  </si>
  <si>
    <t>g</t>
  </si>
  <si>
    <t>Lồng ghép thực hiện các chương trình MTQG</t>
  </si>
  <si>
    <t>Chương trình MTQG giảm nghèo</t>
  </si>
  <si>
    <t>h</t>
  </si>
  <si>
    <t>Trả nợ các dự án quyết toán trong năm 2023</t>
  </si>
  <si>
    <t>Nâng cấp đường giao thông đến điểm dân cư suối voi xã Can Hồ, huyện Mường Tè</t>
  </si>
  <si>
    <t>Hạng mục phụ trợ  điểm trường mầm non + tiểu học Khoang Thèn, xã Pa Vệ Sủ, huyện Mường Tè</t>
  </si>
  <si>
    <t>Bổ sung các hạng mục trường mầm non Bum Tở, xã Bum Tở, huyện Mường Tè</t>
  </si>
  <si>
    <t>Đường giao thông bản Pa Thắng - bản A Chè, xã Thu Lũm, huyện Mường Tè</t>
  </si>
  <si>
    <t>Chương trình MTQG phát triển KT-XH vùng đồng bào dân tộc thiểu số và miền núi</t>
  </si>
  <si>
    <t>397-29/3/2023</t>
  </si>
  <si>
    <t>Biểu phụ lục 03</t>
  </si>
  <si>
    <t>Tu sửa, nâng cấp nước sinh hoạt các bản (Nậm Phìn, Huổi tát….) xã Nậm Khao</t>
  </si>
  <si>
    <t>24-25</t>
  </si>
  <si>
    <t xml:space="preserve">Sửa chữa, nâng cấp phòng lớp học, nhà công vụ và phụ trợ khác các điểm trường mầm non các bản, xã Nậm Khao </t>
  </si>
  <si>
    <t>Đường giao thông nông thôn phục vụ sản xuất bản Là Pê xã Tá Bạ</t>
  </si>
  <si>
    <t>Đường giao thông trục bản, nội bản, rãnh thoát nước môi trường các bản xã Bum Nưa</t>
  </si>
  <si>
    <t>Sửa chữa, nâng cấp nhà văn hóa các bản xã Ka Lăng</t>
  </si>
  <si>
    <t>310-26/9/2022</t>
  </si>
  <si>
    <t>125-26/9/2022</t>
  </si>
  <si>
    <t>108-28/9/2022</t>
  </si>
  <si>
    <t>sửa chữa, nâng cấp</t>
  </si>
  <si>
    <t>1,22 km</t>
  </si>
  <si>
    <t>0,35km đường;115m rãnh</t>
  </si>
  <si>
    <t xml:space="preserve">Sửa chữa, nâng cấp </t>
  </si>
  <si>
    <t>Sửa chữa nước sinh hoạt các bản xã Thu Lũm (bản Pa Thắng, bản Thu Lũm 1)</t>
  </si>
  <si>
    <t>Sửa chữa nước sinh hoạt các bản xã Bum Nưa ( bản Nà Hẻ, bản Phiêng Kham, bản Nà Hừ 1-2)</t>
  </si>
  <si>
    <t>155 hộ</t>
  </si>
  <si>
    <t>379 hộ</t>
  </si>
  <si>
    <t>Nâng cấp, sửa chữa các công trình thủy lợi nhỏ, xã Tá Bạ</t>
  </si>
  <si>
    <t>35ha</t>
  </si>
  <si>
    <t>Nâng cấp, sửa chữa các công trình thủy lợi nhỏ, xã Nậm Khao</t>
  </si>
  <si>
    <t>Cứng hóa từ bản Nhóm Pố - Vạ Pù đến trung tâm xã Tá Bạ</t>
  </si>
  <si>
    <t>14km</t>
  </si>
  <si>
    <t>7</t>
  </si>
  <si>
    <t>LG vốn NS huyện</t>
  </si>
  <si>
    <t xml:space="preserve">Trường Phổ thông dân tộc bán trú TH&amp;THCS Tá Bạ </t>
  </si>
  <si>
    <t>01 Nhà bếp, nhà ăn; 02 Phòng học thông thường và bộ môn</t>
  </si>
  <si>
    <t>Trường Phổ thông dân tộc bán trú tiểu học Pa Ủ</t>
  </si>
  <si>
    <t>01 Nhà bếp, nhà ăn; 04 Phòng công vụ giáo viên</t>
  </si>
  <si>
    <t>Nhà văn hóa Bản Là Si, xã Thu Lũm</t>
  </si>
  <si>
    <t>Nhà văn hóa Bản Ứ Ma, xã Pa Ủ</t>
  </si>
  <si>
    <t>Kè bảo vệ khu dân cư bản A Mại</t>
  </si>
  <si>
    <t>200m</t>
  </si>
  <si>
    <t>Bổ sung, nâng cấp các công trình phụ trợ các đơn vị trường huyện Mường Tè</t>
  </si>
  <si>
    <t>Huyện Mường Tè</t>
  </si>
  <si>
    <t>9 phòng</t>
  </si>
  <si>
    <t>Xây dựng, sửa chữa, nâng cấp nhà sinh hoạt cộng đồng các bản huyện Mường Tè</t>
  </si>
  <si>
    <t>Sửa chữa, nâng cấp TL Nậm Hạ A bản Nậm Hạ+Sì Thâu Chải</t>
  </si>
  <si>
    <t>25ha</t>
  </si>
  <si>
    <t>Giải ngân vốn kéo dài</t>
  </si>
  <si>
    <t>Giải ngân KH năm 2023</t>
  </si>
  <si>
    <t>Ngân sách Trung ương</t>
  </si>
  <si>
    <t>Ngân sách địa phương tỉnh quản lý</t>
  </si>
  <si>
    <t>Ngân sách địa phương huyện quản lý</t>
  </si>
  <si>
    <t>Tổng</t>
  </si>
  <si>
    <t>Ngân sách trung ương thực hiện các Chương trình MTQG</t>
  </si>
  <si>
    <t>Chương trình MTQG NTM</t>
  </si>
  <si>
    <t>Chương trình MTQG phát triển kinh tế - xã hội vùng đồng bào dân tộc thiểu số và miền núi</t>
  </si>
  <si>
    <t>BÁO CÁO TÌNH HÌNH THỰC HIỆN KẾ HOẠCH VỐN NGÂN SÁCH TRUNG ƯƠNG NĂM 2023 - HUYỆN MƯỜNG TÈ</t>
  </si>
  <si>
    <t>BÁO CÁO TÌNH HÌNH THỰC HIỆN KẾ HOẠCH NGÂN SÁCH ĐỊA PHƯƠNG NĂM 2023 - HUYỆN MƯỜNG TÈ</t>
  </si>
  <si>
    <t>BÁO CÁO TÌNH HÌNH THỰC HIỆN CÁC CHƯƠNG TRÌNH MỤC TIÊU QUỐC GIA NĂM 2023 - HUYỆN MƯỜNG TÈ</t>
  </si>
  <si>
    <t>Giải ngân KH năm 2023 đến ngày 29/05/2023</t>
  </si>
  <si>
    <t>Giải ngân đến ngày 29/05/2023</t>
  </si>
  <si>
    <t xml:space="preserve"> Bum Tở</t>
  </si>
  <si>
    <t xml:space="preserve">  Pa Vệ Sủ</t>
  </si>
  <si>
    <t xml:space="preserve"> Pa Vệ Sủ</t>
  </si>
  <si>
    <t xml:space="preserve"> Ka Lăng</t>
  </si>
  <si>
    <t xml:space="preserve"> Tà Tổng</t>
  </si>
  <si>
    <t xml:space="preserve"> Pa Ủ</t>
  </si>
  <si>
    <t>Kế hoạch đầu tư công trung hạn giai đoạn 2021-2025</t>
  </si>
  <si>
    <t>Lũy kế bố trí vốn</t>
  </si>
  <si>
    <t>Lũy kế bố trí vốn từ khởi công đến hết năm 2023</t>
  </si>
  <si>
    <t>Trong đó</t>
  </si>
  <si>
    <t>Vốn ngân sách đị phương</t>
  </si>
  <si>
    <t>II.1.1</t>
  </si>
  <si>
    <t>Cân đối ngân sách huyện</t>
  </si>
  <si>
    <t>II.1.2</t>
  </si>
  <si>
    <t>II.2.1</t>
  </si>
  <si>
    <t>II.2.2</t>
  </si>
  <si>
    <t xml:space="preserve">Tổng số </t>
  </si>
  <si>
    <t>NSTW</t>
  </si>
  <si>
    <t>NSĐP</t>
  </si>
  <si>
    <t>Vốn huy động</t>
  </si>
  <si>
    <t>Kế hoạch vốn kéo dài năm 2022 sang năm 2023</t>
  </si>
  <si>
    <t xml:space="preserve"> xã Bum Nưa</t>
  </si>
  <si>
    <t>xã Ka Lăng</t>
  </si>
  <si>
    <t>xã Bum Tở</t>
  </si>
  <si>
    <t xml:space="preserve"> xã Pa Vệ Sủ</t>
  </si>
  <si>
    <t>Xã Mường Tè</t>
  </si>
  <si>
    <t>C</t>
  </si>
  <si>
    <t>Chương trình MTQG xây dựng NTM</t>
  </si>
  <si>
    <t>Nhu cầu còn lại</t>
  </si>
  <si>
    <t>Chương trinh MTQG phát triển kinh tế - xã hội vùng đồng bào dân tộc thiểu số và miền núi</t>
  </si>
  <si>
    <t>DỰ KIẾN KẾ HOẠCH VỐN ĐẦU TƯ CÔNG NĂM 2024</t>
  </si>
  <si>
    <t>1576-02/12/2022</t>
  </si>
  <si>
    <t>Trong đó: giải ngân KLHT</t>
  </si>
  <si>
    <t>Trả nợ các dự án quyết toán trong năm 2023 và 2024</t>
  </si>
  <si>
    <t>Dự án hoàn thành bàn giao trước 31/12/2022</t>
  </si>
  <si>
    <t>Cứng hóa đường giao thông từ bản Nhóm Pố - Vạ Pù đến trung tâm xã Tá Bạ</t>
  </si>
  <si>
    <t>Sửa chữa, nâng cấp nhà văn hóa bản Thu Lũm 1 xã Thu Lũm</t>
  </si>
  <si>
    <t>LG 30a</t>
  </si>
  <si>
    <t>LG MTQG</t>
  </si>
  <si>
    <t>Các dự án hoàn thành</t>
  </si>
  <si>
    <t>Trường Phổ thông dân tộc bán trú TH&amp;THCS Can Hồ</t>
  </si>
  <si>
    <t>Trường Phổ thông dân tộc bán trú Tiểu học Mù Cả</t>
  </si>
  <si>
    <t>01 Nhà bếp, nhà ăn; 01 Nhà vệ sinh, nước sạch và công trình phụ trợ khác</t>
  </si>
  <si>
    <t>Nhà văn hóa Bản U Na, xã Tà Tổng</t>
  </si>
  <si>
    <t>Nhà văn hóa Bản A Mé, xã Tà Tổng</t>
  </si>
  <si>
    <t>Sửa chữa, nâng cấp đường giao thông nội bản Lắng Phiếu + Xám Láng xã Nậm Khao</t>
  </si>
  <si>
    <t>Xã Nậm Khao</t>
  </si>
  <si>
    <t>2,2km</t>
  </si>
  <si>
    <t>Nâng cấp đường giao thông đến bản Nậm Xuổng + Nậm Sẻ, xã Vàng San</t>
  </si>
  <si>
    <t>6,2km (Nâng cấp 1,5km mặt)</t>
  </si>
  <si>
    <t>Phụ trợ điểm trường Tiểu học, Mần non bản Nậm Xuổng, xã Vàng San</t>
  </si>
  <si>
    <t>Nhà bếp ăn, sân cổng tường rào….</t>
  </si>
  <si>
    <t>Đường ra khu sản xuất bản Seo Hai, Sì Thâu Chải xã Can Hồ</t>
  </si>
  <si>
    <t xml:space="preserve">0,5 km đường, bến thuyền </t>
  </si>
  <si>
    <t>Sửa chữa, nâng cấp thủy lợi Lắng Phíu</t>
  </si>
  <si>
    <t>25 ha</t>
  </si>
  <si>
    <t>Khối lượng thực hiện riêng năm 2023</t>
  </si>
  <si>
    <t>Luỹ kế khối TH từ KC đến thời điểm báo cáo</t>
  </si>
  <si>
    <t>03 PLH, 04 Phòng CV giáo viên; 01 Công trình phụ trợ khác</t>
  </si>
  <si>
    <t>ĐC Trường Tá Bạ sang DA này</t>
  </si>
  <si>
    <t xml:space="preserve">Tổng KH </t>
  </si>
  <si>
    <t>Tổng giải ngân</t>
  </si>
  <si>
    <t>Tỷ lệ giải ngân</t>
  </si>
  <si>
    <t>Biểu phụ lục IV</t>
  </si>
  <si>
    <t>Tổng cộng</t>
  </si>
  <si>
    <t>Vốn giao năm 2023</t>
  </si>
  <si>
    <t>Vốn kéo dài năm 2022 sang 2023</t>
  </si>
  <si>
    <t>Kế hoạch năm 2023</t>
  </si>
  <si>
    <t>(Kèm theo Báo cáo số:             /BC-UBND, ngày      tháng      năm 2023 của UBND huyện Mường Tè)</t>
  </si>
  <si>
    <t>Trường THCS xã Tá Bạ, huyện Mường Tè</t>
  </si>
  <si>
    <t>1366-28/10/2014</t>
  </si>
  <si>
    <t>Số còn lại chưa giải ngân</t>
  </si>
  <si>
    <t>Khó khăn vướng mắc (*)</t>
  </si>
  <si>
    <t>Giải ngân kéo dài năm 2022 sang năm 2023</t>
  </si>
  <si>
    <t>Khó khăn, vướng mắc</t>
  </si>
  <si>
    <t xml:space="preserve">Tình hình thực  </t>
  </si>
  <si>
    <t>Dự án thành phần/ nội dung hoạt động</t>
  </si>
  <si>
    <t>TỔNG CỘNG</t>
  </si>
  <si>
    <t>CHƯƠNG TRÌNH MTQG PHÁT TRIỂN KINH TẾ - XÃ HỘI VÙNG ĐỒNG BÀO DÂN TỘC THIỂU SỐ VÀ MIỀN NÚI</t>
  </si>
  <si>
    <t>Dự án 1: Giải quyết tình trạng thiếu đất ở, nhà ở, đất sản xuất, nước sinh hoạt</t>
  </si>
  <si>
    <t>Hỗ trợ đất ở</t>
  </si>
  <si>
    <t>Hỗ trợ nhà ở</t>
  </si>
  <si>
    <t>Hỗ trợ đất sản xuất, chuyển đổi nghề</t>
  </si>
  <si>
    <t>Hỗ trợ nước sinh hoạt</t>
  </si>
  <si>
    <t>Dự án 2: Quy hoạch, sắp xếp, bố trí, ổn định dân cư ở những nơi cần thiết</t>
  </si>
  <si>
    <t>Dự án 3: Phát triển sản xuất nông, lâm nghiệp bền vững, phát huy tiềm năng, thế mạnh của các vùng miền để sản xuất hàng hóa theo chuỗi giá trị</t>
  </si>
  <si>
    <t>Tiểu dự án 1: Phát triển kinh tế nông, lâm nghiệp bền vững gắn với bảo vệ rừng và nâng cao thu nhập cho người dân</t>
  </si>
  <si>
    <t>Tiểu dự án 2: Hỗ trợ phát triển sản xuất theo chuỗi giá trị, vùng trồng dược liệu quý, thúc đẩy khởi sự kinh doanh, khởi nghiệp và thu hút đầu tư vùng đồng bào dân tộc thiểu số và miền núi</t>
  </si>
  <si>
    <t>a)</t>
  </si>
  <si>
    <t>Hỗ trợ phát triển sản xuất theo chuỗi giá trị.</t>
  </si>
  <si>
    <t>b)</t>
  </si>
  <si>
    <t>Đầu tư, hỗ trợ phát triển vùng trồng dược liệu quý.</t>
  </si>
  <si>
    <t>c)</t>
  </si>
  <si>
    <t>Thúc đẩy khởi sự kinh doanh, khởi nghiệp và thu hút đầu tư vùng đồng bào dân tộc thiểu số và miền núi.</t>
  </si>
  <si>
    <t>Tiểu dự án 3: Phát triển kinh tế xã hội - mô hình bộ đội gắn với dân bản vùng đồng bào dân tộc thiểu số và miền núi</t>
  </si>
  <si>
    <t>IV</t>
  </si>
  <si>
    <t>Dự án 4: Đầu tư cơ sở hạ tầng thiết yếu, phục vụ sản xuất, đời sống trong vùng đồng bào dân tộc thiểu số và miền núi và các đơn vị sự nghiệp công lập của lĩnh vực dân tộc</t>
  </si>
  <si>
    <t>Tiểu dự án 1: Đầu tư cơ sở hạ tầng thiết yếu, phục vụ sản xuất, đời sống trong vùng đồng bào dân tộc thiểu số và miền núi</t>
  </si>
  <si>
    <t xml:space="preserve"> Đầu tư cơ sở hạ tầng thiết yếu vùng đồng bào dân tộc thiểu số và miền núi; ưu tiên đối với các xã đặc biệt khó khăn, thôn đặc biệt khó khăn.</t>
  </si>
  <si>
    <t>Đầu tư xây dựng, cải tạo nâng cấp mạng lưới chợ vùng đồng bào dân tộc thiểu số và miền núi.</t>
  </si>
  <si>
    <t>Tiểu dự án 2: Đầu tư cơ sở vật chất các đơn vị sự nghiệp công lập hoạt động trong lĩnh vực công tác dân tộc</t>
  </si>
  <si>
    <t>V</t>
  </si>
  <si>
    <t>Dự án 5: Phát triển giáo dục đào tạo nâng cao chất lượng nguồn nhân lực</t>
  </si>
  <si>
    <t>Tiểu dự án 1: Đổi mới hoạt động, củng cố phát triển các trường phổ thông dân tộc nội trú, trường phổ thông dân tộc bán trú, trường phổ thông có học sinh ở bán trú và xóa mù chữ cho người dân vùng đồng bào dân tộc thiểu số</t>
  </si>
  <si>
    <t>Tiểu dự án 2: Bồi dưỡng kiến thức dân tộc; đào tạo dự bị đại học, đại học và sau đại học đáp ứng nhu cầu nhân lực cho vùng đồng bào dân tộc thiểu số và miền núi</t>
  </si>
  <si>
    <t>Bồi dưỡng kiến thức dân tộc</t>
  </si>
  <si>
    <t>Đào tạo dự bị đại học, đại học và sau đại học</t>
  </si>
  <si>
    <t>Tiểu dự án 3: Dự án phát triển giáo dục nghề nghiệp và giải quyết việc làm cho người lao động vùng dân tộc thiểu số và miền núi</t>
  </si>
  <si>
    <t>Tiểu dự án 4: Đào tạo nâng cao năng lực cho cộng đồng và cán bộ triển khai Chương trình ở các cấp</t>
  </si>
  <si>
    <t>VI</t>
  </si>
  <si>
    <t>Dự án 6: Bảo tồn, phát huy giá trị văn hóa truyền thống tốt đẹp của các dân tộc thiểu số gắn với phát triển du lịch</t>
  </si>
  <si>
    <t>VII</t>
  </si>
  <si>
    <t>Dự án 7: Chăm sóc sức khỏe Nhân dân, nâng cao thể trạng, tầm vóc người dân tộc thiểu số; phòng chống suy dinh dưỡng trẻ em</t>
  </si>
  <si>
    <t>VIII</t>
  </si>
  <si>
    <t>Dự án 8: Thực hiện bình đẳng giới và giải quyết những vấn đề cấp thiết đối với phụ nữ và trẻ em</t>
  </si>
  <si>
    <t>IX</t>
  </si>
  <si>
    <t>Dự án 9: Đầu tư phát triển nhóm dân tộc thiểu số rất ít người và nhóm dân tộc còn nhiều khó khăn</t>
  </si>
  <si>
    <t>Tiểu dự án 1: Đầu tư phát triển kinh tế - xã hội các dân tộc còn gặp nhiều khó khăn, dân tộc có khó khăn đặc thù</t>
  </si>
  <si>
    <t>Tiểu dự án 2: Giảm thiểu tình trạng tảo hôn và hôn nhân cận huyết thống trong vùng đồng bào dân tộc thiểu số và miền núi</t>
  </si>
  <si>
    <t>X</t>
  </si>
  <si>
    <t>Dự án 10: Truyền thông, tuyên truyền, vận động trong vùng đồng bào dân tộc thiểu số và miền núi. Kiểm tra, giám sát đánh giá việc tổ chức thực hiện Chương trình</t>
  </si>
  <si>
    <t xml:space="preserve">Tiểu dự án 1: Biểu dương, tôn vinh điển hình tiên tiến; phổ biến, giáo dục pháp luật, trợ giúp pháp lý và tuyên truyền; truyền thông </t>
  </si>
  <si>
    <t>Biểu dương, tôn vinh điển hình tiên tiến, phát huy vai trò của người có uy tín</t>
  </si>
  <si>
    <t>Phổ biến, giáo dục pháp luật và tuyên truyền, vận động đồng bào dân tộc thiểu số</t>
  </si>
  <si>
    <t>Tăng cường, nâng cao khả năng tiếp cận và thụ hưởng hoạt động trợ giúp pháp lý chất lượng cho vùng đồng bào dân tộc thiểu số và miền núi</t>
  </si>
  <si>
    <t>Tiểu dự án 2: Ứng dụng công nghệ thông tin hỗ trợ phát triển kinh tế - xã hội và đảm bảo an ninh trật tự vùng đồng bào dân tộc thiểu số và miền núi</t>
  </si>
  <si>
    <t>Tiểu dự án 3: Kiểm tra, giám sát, đánh giá, đào tạo, tập huấn tổ chức thực hiện Chương trình</t>
  </si>
  <si>
    <t>CHƯƠNG TRÌNH MTQG GIẢM NGHÈO BỀN VỮNG</t>
  </si>
  <si>
    <t>Dự án 1: Hỗ trợ đầu tư phát triển hạ tầng kinh tế - xã hội các huyện nghèo, các xã đặc biệt khó khăn vùng bãi ngang, ven biển và hải đảo</t>
  </si>
  <si>
    <t>Tiểu dự án 1: Hỗ trợ đầu tư phát triển hạ tầng kinh tế - xã hội các huyện nghèo, xã đặc biệt khó khăn vùng bãi ngang, ven biển và hải đảo</t>
  </si>
  <si>
    <t>Tiểu dự án 2: Triển khai Đề án hỗ trợ một số huyện nghèo thoát khỏi tình trạng nghèo, đặc biệt khó khăn giai đoạn 2022 - 2025</t>
  </si>
  <si>
    <t>Dự án 2: Đa dạng hóa sinh kế, phát triển mô hình giảm nghèo</t>
  </si>
  <si>
    <t>Dự án 3: Hỗ trợ phát triển sản xuất, cải thiện dinh dưỡng</t>
  </si>
  <si>
    <t>Tiểu dự án 1: Hỗ trợ phát triển sản xuất trong lĩnh vực nông nghiệp</t>
  </si>
  <si>
    <t>Tiểu dự án 2: Cải thiện dinh dưỡng</t>
  </si>
  <si>
    <t>Dự án 4: Phát triển giáo dục nghề nghiệp, việc làm bền vững</t>
  </si>
  <si>
    <t>Tiểu dự án 1: Phát triển giáo dục nghề nghiệp vùng nghèo, vùng khó khăn</t>
  </si>
  <si>
    <t>Tiểu dự án 2: Hỗ trợ người lao động đi làm việc ở nước ngoài theo hợp đồng</t>
  </si>
  <si>
    <t>Tiểu dự án 3: Hỗ trợ việc làm bền vững</t>
  </si>
  <si>
    <t>Dự án 5: Hỗ trợ nhà ở cho hộ nghèo, hộ cận nghèo trên địa bàn các huyện nghèo</t>
  </si>
  <si>
    <t>Dự án 6: Truyền thông và giảm nghèo về thông tin</t>
  </si>
  <si>
    <t>Tiểu dự án 1: Giảm nghèo về thông tin</t>
  </si>
  <si>
    <t>Tiểu dự án 2: Truyền thông vè giảm nghèo đa chiều</t>
  </si>
  <si>
    <t>Dự án 7: Nâng cao năng lực và giám sát, đánh giá Chương trình</t>
  </si>
  <si>
    <t>Tiểu dự án 1: Nâng cao năng lực thực hiện Chương trình</t>
  </si>
  <si>
    <t>Tiểu dự án 2: Giám sát, đánh giá</t>
  </si>
  <si>
    <t>CHƯƠNG TRÌNH MTQG XÂY DỰNG NÔNG THÔN MỚI</t>
  </si>
  <si>
    <t>Nội dung thành phần số 01: Nâng cao hiệu quả quản lý và thực hiện xây dựng nông thôn mới theo quy hoạch nhằm nâng cao đời sống kinh tế - xã hội nông thôn gắn với quá trình đô thị hoá</t>
  </si>
  <si>
    <t>Nội dung 01: Rà soát, điều chỉnh, lập mới  và triển khai, thực hiện quy hoạch chung xây dựng xã gắn với quá trình công nghiệp hóa, đô thị hóa</t>
  </si>
  <si>
    <t>Nội dung 02: Rà soát, điều chỉnh lập quy hoạch xây dựng vùng huyện gắn với quá trình công nghiệp hóa - đô thị hóa nhằm đáp ứng yêu cầu xây dựng NTM, trong đó, có quy hoạch khu vực hỗ trợ phát triển kinh tế nông thôn</t>
  </si>
  <si>
    <t>Nội dung 03: Xây dựng, rà soát, điều chỉnh quy hoạch tỉnh, tạo điều kiện thực hiện Chương trình gắn với phát triển kinh tế, xã hội và bảo vệ môi trường</t>
  </si>
  <si>
    <t>Nội dung thành phần số 02: Phát triển hạ tầng kinh tế - xã hội, cơ bản đồng bộ, hiện đại, đảm bảo kết nối nông thôn - đô thị và kết nối các vùng miền</t>
  </si>
  <si>
    <t>Nội dung 01: Tiếp tục hoàn thiện và nâng cao hệ thống hạ tầng giao thông trên địa bàn xã, hạ tầng giao thông kết nối liên xã, liên huyện</t>
  </si>
  <si>
    <t>Nội dung 02: Hoàn thiện và nâng cao chất lượng hệ thống thủy lợi và phòng chống thiên tai cấp xã, huyện, đảm bảo bền vững và thích ứng với biến đổi khí hậu</t>
  </si>
  <si>
    <t>Nội dung 03: Cải tạo và nâng cấp hệ thống lưới điện nông thôn theo hướng an toàn, tin cậy, ổn định và đảm bảo mỹ quan</t>
  </si>
  <si>
    <t>Nội dung 04: Tiếp tục xây dựng, hoàn chỉnh các công trình cấp xã, cấp huyện đối với các trường mầm non, trường TH, trường THCS, trường THPT hoặc trường PT có nhiều cấp học, trung tâm GDNN - GDTX</t>
  </si>
  <si>
    <t>Nội dung 05: Xây dựng và hoàn thiện hệ thống cơ sở vật chất văn hóa thể thao cấp xã, thôn, các trung tâm văn hóa - thể thao huyện; tu bổ, tôn tạo các di sản văn hóa gắn với phát triển du lịch nông thôn</t>
  </si>
  <si>
    <t>Nội dung 06: Đầu tư xây dựng hệ thống cơ sở hạ tầng thương mại nông thôn, chợ ATTP cấp xã; các chợ TT, chợ ĐM, TT thu mua - cung ứng nông sản an toàn cấp huyện; trung tâm KTNN; hệ thống TT cung ứng nông sản hiện đại</t>
  </si>
  <si>
    <t>Nội dung 07: Tập trung đầu tư cơ sở hạ tầng đồng bộ các vùng nguyên liệu tập trung gắn với liên kết chuỗi giá trị, cơ sở hạ tầng các cụm làng nghề, ngành nghề nông thôn</t>
  </si>
  <si>
    <t>Nội dung 08: Tiếp tục xây dựng, cải tạo và nâng cấp cơ sở hạ tầng, trang thiết bị cho các trạm y tế xã, trung tâm y tế huyện</t>
  </si>
  <si>
    <t>Nội dung 09: Phát triển, hoàn thiện hệ thống cơ sở hạ tầng số, chuyển đổi số trong nông nghiệp, nông thôn</t>
  </si>
  <si>
    <t>Nội dung 10: Xây dựng, hoàn thiện các công trình cấp nước sinh hoạt tập trung, đảm bảo chất lượng đạt chuẩn theo quy định</t>
  </si>
  <si>
    <t>Nội dung 11: Tập trung XD CSHT bảo vệ MTNT; thu hút các DN đầu tư các khu xử lý CTTT quy mô liên huyện, liên tỉnh; đầu tư HT các ĐTK, trung chuyển CTR sinh hoạt…</t>
  </si>
  <si>
    <t>Nội dung thành phần số 03: Tiếp tục thực hiện có hiệu quả cơ cấu lại ngành NN, PTKTNT; triển khai mạnh mẽ Chương trình mỗi xã một sản phẩm (OCOP)…</t>
  </si>
  <si>
    <t>Nội dung 01: Tập trung triển khai cơ cấu lại ngành nông nghiệp và phát triển kinh tế nông thôn, tiểu thủ công nghiệp và dịch vụ …</t>
  </si>
  <si>
    <t>Nội dung 02: XD và PT hiệu quả các VNLTT, cơ giới hóa đồng bộ, nâng cao năng lực chế biến và bảo quản nông sản theo các MHLK SX theo chuỗi giá trị …</t>
  </si>
  <si>
    <t>Nội dung 03: Tiếp tục thực hiện hiệu quả các chính sách đầu tư bảo vệ, phát triển rừng, chính sách chi trả dịch vụ môi trường rừng và Chương trình phát triển lâm nghiệp bền vững …</t>
  </si>
  <si>
    <t>Nội dung 04: Triển khai Chương trình mỗi xã một sản phẩm (OCOP) gắn với lợi thế vùng miền, thành lập Trung tâm OCOP Quốc gia …</t>
  </si>
  <si>
    <t>Nội dung 05: Nâng cao HQHĐ của các hình thức TCSX trong đó, ưu tiên hỗ trợ các HTX nông nghiệp ứng dụng công nghệ cao liên kết theo chuỗi giá trị…</t>
  </si>
  <si>
    <t>Nội dung 06: Nâng cao hiệu quả hoạt động của các hệ thống kết nối, xúc tiến tiêu thụ nông sản;…</t>
  </si>
  <si>
    <t>Nội dung 07: Tiếp tục thực hiện có hiệu quả Chương trình khoa học công nghệ phục vụ xây dựng…</t>
  </si>
  <si>
    <t>Nội dung 08: Thực hiện hiệu quả Chương trình phát triển du lịch nông thôn trong xây dựng NTM…</t>
  </si>
  <si>
    <t>Nội dung 09: Tiếp tục nâng cao chất lượng đào tạo nghề cho lao động nông thôn, gắn với nhu cầu của thị trường; hỗ trợ thúc đẩy và phát triển các mô hình khởi nghiệp, sáng tạo ở nông thôn.</t>
  </si>
  <si>
    <t>Nội dung thành phần số 04: Giảm nghèo bền vững, đặc biệt là vùng đồng bào dân tộc thiểu số, miền núi, vùng bãi ngang ven biển và hải đảo</t>
  </si>
  <si>
    <t>Nội dung 02: Triển khai hiệu quả các chính sách hỗ trợ nhà ở, xóa nhà tạm, dột nát; nâng cao chất lượng nhà ở dân cư</t>
  </si>
  <si>
    <t>Nội dung thành phần số 05: Nâng cao chất lượng giáo dục, y tế và chăm sóc sức khỏe người dân nông thôn</t>
  </si>
  <si>
    <t>Nội dung 1: Tiếp tục nâng cao chất lượng, phát triển giáo dục ở nông thôn …</t>
  </si>
  <si>
    <t>Nội dung 02: Tăng cường chất lượng dịch vụ của mạng lưới y tế cơ sở đảm bảo chăm sóc sức khoẻ toàn dân …</t>
  </si>
  <si>
    <t>Nội dung thành phần số 06: Nâng cao chất lượng đời sống văn hóa của người dân nông thôn; bảo tồn và phát huy các giá trị văn hóa truyền thống theo hướng bền vững gắn với phát triển du lịch nông thôn</t>
  </si>
  <si>
    <t>Nội dung 01: Nâng cao hiệu quả hoạt động của hệ thống thiết chế văn hóa, thể thao cơ sở;…</t>
  </si>
  <si>
    <t>Nội dung 02: Tăng cường kiểm kê, ghi danh các di sản văn hóa; bảo tồn và phát huy di sản văn hóa;….</t>
  </si>
  <si>
    <t>Nội dung thành phần số 07: Nâng cao chất lượng môi trường; xây dựng cảnh quan nông thôn sáng - xanh - sạch - đẹp, an toàn; giữ gìn và khôi phục cảnh quan truyền thống của nông thôn Việt Nam</t>
  </si>
  <si>
    <t>Nội dung 01: Xây dựng và tổ chức hướng dẫn thực hiện các Đề án/Kế hoạch tổ chức phân loại, thu gom, vận chuyển chất thải rắn trên địa bàn huyện đảm bảo theo quy định; phát triển, nhân rộng các mô hình phân loại chất thải tại nguồn phát sinh</t>
  </si>
  <si>
    <t>Nội dung 02: Thu gom, tái chế, tái sử dụng các loại chất thải theo nguyên lý tuần hoàn; tăng cường công tác quản lý chất thải nhựa trong hoạt động sản xuất nông, lâm, ngư nghiệp ở Việt Nam; xây dựng cộng đồng dân cư không rác thải nhựa</t>
  </si>
  <si>
    <t>Nội dung 03: Đẩy mạnh xử lý, khắc phục ô nhiễm và cải thiện chất lượng môi trường tại những khu vực tập trung nhiều nguồn thải, những nơi gây ô nhiễm môi trường nghiêm trọng và các khu vực mặt nước bị ô nhiễm</t>
  </si>
  <si>
    <t>Nội dung 04: Cải tạo nghĩa trang phù hợp với cảnh quan môi trường; xây dựng mới và mở rộng các cơ sở mai táng, hỏa táng phải phù hợp với các quy định và theo quy hoạch</t>
  </si>
  <si>
    <t>Nội dung 05: Giữ gìn và khôi phục cảnh quan truyền thống của nông thôn Việt Nam; tăng tỷ lệ trồng hoa, cây xanh phân tán gắn với triển khai Đề án trồng một tỷ cây xanh giai đoạn 2021 - 2025…</t>
  </si>
  <si>
    <t>Nội dung 06: Tăng cường quản lý an toàn thực phẩm tại các cơ sở, hộ gia đình sản xuất, kinh doanh thực phẩm; đảm bảo vệ sinh môi trường tại các cơ sở chăn nuôi, nuôi trồng thủy sản; cải thiện vệ sinh hộ gia đình</t>
  </si>
  <si>
    <t>Nội dung 07: Triển khai hiệu quả Chương trình “Tăng cường bảo vệ môi trường, an toàn thực phẩm và cấp nước sạch nông thôn trong xây dựng NTM giai đoạn 2021 - 2025”</t>
  </si>
  <si>
    <t>Nội dung thành phần số 08: Đẩy mạnh và nâng cao chất lượng các dịch vụ HCC; nâng cao chất lượng hoạt động của CQCS; thúc đẩy quá trình CĐS trong NTM...; bảo đảm và tăng cường KNTCPL cho người dân; tăng cường giải pháp nhằm đảm bảo BĐG ...</t>
  </si>
  <si>
    <t>Nội dung 01: Triển khai đề án về đào tạo, bồi dưỡng kiến thức, năng lực quản lý hành chính, quản lý kinh tế - xã hội chuyên sâu, chuyển đổi tư duy….</t>
  </si>
  <si>
    <t>Nội dung 02: Tăng cường ứng dụng công nghệ thông tin trong thực hiện các dịch vụ hành chính công nhằm nâng cao chất lượng giải quyết thủ tục hành chính theo hướng minh bạch, công khai và hiệu quả ở các cấp …</t>
  </si>
  <si>
    <t>Nội dung 03: Triển khai hiệu quả Chương trình chuyển đổi số trong xây dựng NTM, hướng tới NTM thông minh giai đoạn 2021 - 2025</t>
  </si>
  <si>
    <t>Nội dung 04: Tăng cường hiệu quả công tác phổ biến, giáo dục pháp luật, hòa giải ở cơ sở, giải quyết hòa giải, mâu thuẫn ở khu vực nông thôn</t>
  </si>
  <si>
    <t>Nội dung 05: Nâng cao nhận thức, thông tin về trợ giúp pháp lý; tăng cường khả năng thụ hưởng dịch vụ trợ giúp pháp lý</t>
  </si>
  <si>
    <t>Nội dung 06: Tăng cường giải pháp nhằm đảm bảo bình đẳng giới và phòng chống bạo lực trên cơ sở giới; tăng cường chăm sóc, bảo vệ trẻ em và hỗ trợ những người dễ bị tổn thương trong các lĩnh vực của gia đình và đời sống xã hội</t>
  </si>
  <si>
    <t>Nội dung thành phần số 09: Nâng cao chất lượng, phát huy vai trò của Mặt trận Tổ quốc Việt Nam và các tổ chức chính trị - xã hội trong xây dựng NTM</t>
  </si>
  <si>
    <t>Nội dung 01: Tiếp tục tổ chức triển khai Cuộc vận động “Toàn dân đoàn kết xây dựng NTM, đô thị văn minh”….</t>
  </si>
  <si>
    <t>Nội dung 02: Triển khai hiệu quả phong trào “Nông dân thi đua sản xuất kinh doanh giỏi, đoàn kết giúp nhau làm giàu và giảm nghèo bền vững”…</t>
  </si>
  <si>
    <t>Nội dung 03: Triển khai hiệu quả Đề án “Hỗ trợ phụ nữ khởi nghiệp giai đoạn 2017-2025”</t>
  </si>
  <si>
    <t>Nội dung 04: Thúc đẩy chương trình khởi nghiệp, thanh niên làm kinh tế; triển khai hiệu quả Chương trình trí thức trẻ tình nguyện tham gia xây dựng NTM</t>
  </si>
  <si>
    <t>Nội dung số 05: Vun đắp, gìn giữ giá trị tốt đẹp và phát triển hệ giá trị gia đình Việt Nam; thực hiện Cuộc vận động “Xây dựng gia đình 5 không, 3 sạch”</t>
  </si>
  <si>
    <t>Nội dung thành phần số 10: Giữ vững quốc phòng, an ninh và trật tự xã hội nông thôn</t>
  </si>
  <si>
    <t>Nội dung 01: Tăng cường công tác bảo đảm an ninh, trật tự ở địa bàn nông thôn, phát hiện, giải quyết kịp thời các nguy cơ tiềm ẩn về an ninh quốc gia, trật tự an toàn xã hội …</t>
  </si>
  <si>
    <t>Nội dung 02: Xây dựng lực lượng dân quân vững mạnh, rộng khắp, hoàn thành các chỉ tiêu quân sự, quốc phòng được giao;…</t>
  </si>
  <si>
    <t>XI</t>
  </si>
  <si>
    <t>Nội dung thành phần số 11: Tăng cường công tác giám sát, đánh giá thực hiện Chương trình; nâng cao năng lực xây dựng NTM; truyền thông về xây dựng NTM; thực hiện Phong trào thi đua cả nước chung sức xây dựng NTM</t>
  </si>
  <si>
    <t>Nội dung 01: Nâng cao chất lượng và hiệu quả công tác kiểm tra, giám sát, đánh giá kết quả thực hiện Chương trình; xây dựng hệ thống giám sát, đánh giá đồng bộ, toàn diện đáp ứng yêu cầu quản lý Chương trình…</t>
  </si>
  <si>
    <t>Nội dung 02: Tiếp tục tăng cường nâng cao năng lực, chuyển đổi nhận thức, tư duy cho đội ngũ cán bộ làm công tác xây dựng NTM các cấp, đặc biệt cán bộ cơ sở</t>
  </si>
  <si>
    <t>Nội dung 03: Đào tạo, tập huấn nhằm nâng cao nhận thức và chuyển đổi tư duy của người dân và cộng đồng về phát triển kinh tế nông nghiệp và xây dựng NTM</t>
  </si>
  <si>
    <t>Nội dung 04: Đẩy mạnh, đa dạng hình thức thông tin, truyền thông nhằm nâng cao nhận thức, chuyển đổi tư duy của cán bộ, người dân về xây dựng NTM; thực hiện có hiệu quả công tác truyền thông về xây dựng NTM</t>
  </si>
  <si>
    <t>Nội dung 05: Tiếp tục triển khai rộng khắp phong trào thi đua “Cả nước chung sức xây dựng nông thôn mới”</t>
  </si>
  <si>
    <t>Dự toán năm 2022 chuyển nguồn sang năm 2023 (Số liệuchuyển nguồn phải khớp với số liệu đã ký xác nhận với Kho bạc nhà nước và biểu vốn đầu tư)</t>
  </si>
  <si>
    <t>Vốn sự nghiệp</t>
  </si>
  <si>
    <t>Vốn đầu tư phát triển</t>
  </si>
  <si>
    <t>Dự toán nguồn ngân sách trung ương năm 2023 Ủy ban nhân dân tỉnh đã giao cho các đơn vị</t>
  </si>
  <si>
    <t>Dự toán nguồn ngân sách trung ương năm 2023 các đơn vị đã giao, triển khai</t>
  </si>
  <si>
    <t>Kết quả giải ngân dự toán năm 2022 chuyển sang năm 2023 đến thời điểm báo cáo</t>
  </si>
  <si>
    <t>Kết quả giải ngân dự toán năm 2023 đến thời điểm báo cáo</t>
  </si>
  <si>
    <t>Giải ngân kế hoạch vốn năm 2023</t>
  </si>
  <si>
    <t>Giá trị khối lượng thực hiện</t>
  </si>
  <si>
    <t>TÌNH HÌNH THỰC HIỆN DỰ TOÁN NGÂN SÁCH TRUNG ƯƠNG NĂM 2023 - CÁC CHƯƠNG TRÌNH MỤC TIÊU QUỐC GIA</t>
  </si>
  <si>
    <t>Phụ lục 03</t>
  </si>
  <si>
    <t>Trụ sở khối đoàn thể, huyện Mường Tè</t>
  </si>
  <si>
    <t>1232-25/12/2012</t>
  </si>
  <si>
    <t>Chung</t>
  </si>
  <si>
    <t>BIỂU TỔNG HỢP TÌNH HÌNH THỰC HIỆN KẾ HOẠCH VỐN ĐẦU TƯ CÔNG NĂM 2023 - HUYỆN MƯỜNG TÈ</t>
  </si>
  <si>
    <t>TÌNH HÌNH THỰC HIỆN VỐN ĐẦU TƯ PHÁT TRIỂN CÁC CHƯƠNG TRÌNH MỤC TIÊU QUỐC GIA NĂM 2023 - HUYỆN MƯỜNG TÈ</t>
  </si>
  <si>
    <t>BÁO CÁO TÌNH HÌNH THỰC HIỆN KẾ HOẠCH VỐN ĐẦU TƯ CÔNG NGUỒN NSNN NĂM 2023 - HUYỆN MƯỜNG TÈ</t>
  </si>
  <si>
    <t>Phụ lục 01</t>
  </si>
  <si>
    <t>Phụ lục 01.1</t>
  </si>
  <si>
    <t>Phụ lục 01.2</t>
  </si>
  <si>
    <t>Giải ngân đến ngày 13/10/2023</t>
  </si>
  <si>
    <t>Giải ngân kế hoạch năm 2023 từ ngày 01/01/2023 đến ngày 13/10/2023</t>
  </si>
  <si>
    <t>STT</t>
  </si>
  <si>
    <t>(Kèm theo Báo cáo số:             /BC-UBND, ngày           tháng         năm 2023 của UBND huyện Mường Tè)</t>
  </si>
  <si>
    <t>(Kèm theo Báo cáo số:             /BC-UBND, ngày            tháng          năm 2023 của UBND huyện Mường Tè)</t>
  </si>
  <si>
    <t>(Kèm theo Báo cáo số:             /BC-UBND, ngày          tháng         năm 2023 của UBND huyện Mường Tè)</t>
  </si>
  <si>
    <t>2946a-
31/10/2019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</si>
</sst>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_(* \(#,##0.00\);_(* &quot;-&quot;??_);_(@_)"/>
    <numFmt numFmtId="165" formatCode="_(* #,##0_);_(* \(#,##0\);_(* &quot;-&quot;??_);_(@_)"/>
    <numFmt numFmtId="166" formatCode="_-* #,##0\ _₫_-;\-* #,##0\ _₫_-;_-* &quot;-&quot;??\ _₫_-;_-@_-"/>
    <numFmt numFmtId="167" formatCode="_(* #,##0.000_);_(* \(#,##0.000\);_(* &quot;-&quot;??_);_(@_)"/>
    <numFmt numFmtId="168" formatCode="_(* #,##0.0_);_(* \(#,##0.0\);_(* &quot;-&quot;??_);_(@_)"/>
    <numFmt numFmtId="169" formatCode="_(* #,##0.000_);_(* \(#,##0.000\);_(* &quot;-&quot;???_);_(@_)"/>
    <numFmt numFmtId="170" formatCode="_(* #,##0.0000_);_(* \(#,##0.0000\);_(* &quot;-&quot;??_);_(@_)"/>
    <numFmt numFmtId="171" formatCode="#,##0.0"/>
    <numFmt numFmtId="172" formatCode="_(* #,##0.0_);_(* \(#,##0.0\);_(* &quot;-&quot;?_);_(@_)"/>
    <numFmt numFmtId="173" formatCode="_(* #,##0_);_(* \(#,##0\);_(* &quot;-&quot;???_);_(@_)"/>
    <numFmt numFmtId="174" formatCode="0.000"/>
  </numFmts>
  <fonts count="79" x14ac:knownFonts="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b/>
      <i/>
      <sz val="10"/>
      <name val="Times New Roman"/>
      <family val="1"/>
    </font>
    <font>
      <b/>
      <sz val="10"/>
      <name val="Times New Roman"/>
      <family val="1"/>
    </font>
    <font>
      <sz val="10"/>
      <color rgb="FF000000"/>
      <name val="Times New Roman"/>
      <family val="1"/>
    </font>
    <font>
      <sz val="10"/>
      <name val="Arial"/>
      <family val="2"/>
    </font>
    <font>
      <sz val="8"/>
      <color theme="1"/>
      <name val="Times New Roman"/>
      <family val="1"/>
    </font>
    <font>
      <sz val="12"/>
      <name val=".VnTime"/>
      <family val="2"/>
    </font>
    <font>
      <sz val="12"/>
      <name val="Times New Roman"/>
      <family val="1"/>
    </font>
    <font>
      <b/>
      <sz val="9"/>
      <color indexed="81"/>
      <name val="Tahoma"/>
      <family val="2"/>
    </font>
    <font>
      <sz val="9"/>
      <color indexed="81"/>
      <name val="Tahoma"/>
      <family val="2"/>
    </font>
    <font>
      <b/>
      <i/>
      <sz val="10"/>
      <color rgb="FF000000"/>
      <name val="Times New Roman"/>
      <family val="1"/>
    </font>
    <font>
      <b/>
      <sz val="10"/>
      <color rgb="FF000000"/>
      <name val="Times New Roman"/>
      <family val="1"/>
    </font>
    <font>
      <b/>
      <i/>
      <sz val="10"/>
      <color theme="1"/>
      <name val="Times New Roman"/>
      <family val="1"/>
    </font>
    <font>
      <sz val="10"/>
      <color theme="1"/>
      <name val="Times New Roman"/>
      <family val="1"/>
    </font>
    <font>
      <b/>
      <sz val="10"/>
      <color theme="1"/>
      <name val="Times New Roman"/>
      <family val="1"/>
    </font>
    <font>
      <sz val="8"/>
      <color rgb="FF000000"/>
      <name val="Times New Roman"/>
      <family val="1"/>
    </font>
    <font>
      <sz val="12"/>
      <color rgb="FF000000"/>
      <name val="Times New Roman"/>
      <family val="1"/>
    </font>
    <font>
      <b/>
      <sz val="12"/>
      <name val="Times New Roman"/>
      <family val="1"/>
    </font>
    <font>
      <i/>
      <sz val="12"/>
      <name val="Times New Roman"/>
      <family val="1"/>
    </font>
    <font>
      <b/>
      <i/>
      <sz val="12"/>
      <name val="Times New Roman"/>
      <family val="1"/>
    </font>
    <font>
      <sz val="9"/>
      <name val="Times New Roman"/>
      <family val="1"/>
    </font>
    <font>
      <b/>
      <sz val="12"/>
      <color theme="1"/>
      <name val="Times New Roman"/>
      <family val="1"/>
    </font>
    <font>
      <i/>
      <sz val="12"/>
      <color theme="1"/>
      <name val="Times New Roman"/>
      <family val="1"/>
    </font>
    <font>
      <b/>
      <i/>
      <sz val="12"/>
      <color theme="1"/>
      <name val="Times New Roman"/>
      <family val="1"/>
    </font>
    <font>
      <b/>
      <sz val="9"/>
      <name val="Times New Roman"/>
      <family val="1"/>
    </font>
    <font>
      <sz val="10"/>
      <color rgb="FFFF0000"/>
      <name val="Times New Roman"/>
      <family val="1"/>
    </font>
    <font>
      <i/>
      <sz val="10"/>
      <name val="Times New Roman"/>
      <family val="1"/>
    </font>
    <font>
      <i/>
      <sz val="9"/>
      <name val="Times New Roman"/>
      <family val="1"/>
    </font>
    <font>
      <sz val="10"/>
      <name val="Arial"/>
      <family val="2"/>
      <charset val="1"/>
    </font>
    <font>
      <sz val="11"/>
      <color indexed="8"/>
      <name val="Calibri"/>
      <family val="2"/>
      <charset val="163"/>
    </font>
    <font>
      <b/>
      <i/>
      <sz val="9"/>
      <name val="Times New Roman"/>
      <family val="1"/>
    </font>
    <font>
      <sz val="8"/>
      <name val="Times New Roman"/>
      <family val="1"/>
    </font>
    <font>
      <sz val="10"/>
      <color theme="0"/>
      <name val="Times New Roman"/>
      <family val="1"/>
    </font>
    <font>
      <i/>
      <sz val="10"/>
      <color theme="0"/>
      <name val="Times New Roman"/>
      <family val="1"/>
    </font>
    <font>
      <b/>
      <i/>
      <sz val="10"/>
      <color theme="0"/>
      <name val="Times New Roman"/>
      <family val="1"/>
    </font>
    <font>
      <sz val="9"/>
      <color rgb="FFFF0000"/>
      <name val="Times New Roman"/>
      <family val="1"/>
    </font>
    <font>
      <sz val="11"/>
      <name val="Times New Roman"/>
      <family val="1"/>
    </font>
    <font>
      <b/>
      <sz val="11"/>
      <name val="Times New Roman"/>
      <family val="1"/>
    </font>
    <font>
      <b/>
      <i/>
      <sz val="11"/>
      <name val="Times New Roman"/>
      <family val="1"/>
    </font>
    <font>
      <sz val="11"/>
      <color rgb="FFFF0000"/>
      <name val="Times New Roman"/>
      <family val="1"/>
    </font>
    <font>
      <i/>
      <sz val="11"/>
      <name val="Times New Roman"/>
      <family val="1"/>
    </font>
    <font>
      <b/>
      <i/>
      <sz val="11"/>
      <color rgb="FFFF0000"/>
      <name val="Times New Roman"/>
      <family val="1"/>
    </font>
    <font>
      <b/>
      <sz val="10"/>
      <color theme="0"/>
      <name val="Times New Roman"/>
      <family val="1"/>
    </font>
    <font>
      <sz val="11"/>
      <color theme="0"/>
      <name val="Times New Roman"/>
      <family val="1"/>
    </font>
    <font>
      <b/>
      <sz val="11"/>
      <color theme="0"/>
      <name val="Times New Roman"/>
      <family val="1"/>
    </font>
    <font>
      <sz val="11"/>
      <color rgb="FF0070C0"/>
      <name val="Times New Roman"/>
      <family val="1"/>
    </font>
    <font>
      <sz val="9"/>
      <color rgb="FF0070C0"/>
      <name val="Times New Roman"/>
      <family val="1"/>
    </font>
    <font>
      <sz val="10"/>
      <color rgb="FF0070C0"/>
      <name val="Times New Roman"/>
      <family val="1"/>
    </font>
    <font>
      <sz val="11"/>
      <color theme="3"/>
      <name val="Times New Roman"/>
      <family val="1"/>
    </font>
    <font>
      <sz val="9"/>
      <color theme="3"/>
      <name val="Times New Roman"/>
      <family val="1"/>
    </font>
    <font>
      <sz val="10"/>
      <color theme="3"/>
      <name val="Times New Roman"/>
      <family val="1"/>
    </font>
    <font>
      <i/>
      <sz val="11"/>
      <color theme="3"/>
      <name val="Times New Roman"/>
      <family val="1"/>
    </font>
    <font>
      <b/>
      <i/>
      <sz val="11"/>
      <color theme="0"/>
      <name val="Times New Roman"/>
      <family val="1"/>
    </font>
    <font>
      <sz val="12"/>
      <color theme="0"/>
      <name val="Times New Roman"/>
      <family val="1"/>
    </font>
    <font>
      <sz val="11"/>
      <color rgb="FF0000FF"/>
      <name val="Times New Roman"/>
      <family val="1"/>
    </font>
    <font>
      <sz val="9"/>
      <color rgb="FF0000FF"/>
      <name val="Times New Roman"/>
      <family val="1"/>
    </font>
    <font>
      <b/>
      <sz val="11"/>
      <color rgb="FF0000FF"/>
      <name val="Times New Roman"/>
      <family val="1"/>
    </font>
    <font>
      <i/>
      <sz val="11"/>
      <color theme="0"/>
      <name val="Times New Roman"/>
      <family val="1"/>
    </font>
    <font>
      <sz val="14"/>
      <color rgb="FF000000"/>
      <name val="Times New Roman"/>
      <family val="1"/>
    </font>
    <font>
      <b/>
      <i/>
      <sz val="11"/>
      <color rgb="FF0000FF"/>
      <name val="Times New Roman"/>
      <family val="1"/>
    </font>
    <font>
      <i/>
      <sz val="11"/>
      <color rgb="FF0000FF"/>
      <name val="Times New Roman"/>
      <family val="1"/>
    </font>
    <font>
      <i/>
      <sz val="9"/>
      <color rgb="FF0000FF"/>
      <name val="Times New Roman"/>
      <family val="1"/>
    </font>
    <font>
      <sz val="9"/>
      <color theme="0"/>
      <name val="Times New Roman"/>
      <family val="1"/>
    </font>
    <font>
      <b/>
      <sz val="12"/>
      <color theme="0"/>
      <name val="Times New Roman"/>
      <family val="1"/>
    </font>
    <font>
      <i/>
      <sz val="12"/>
      <color theme="0"/>
      <name val="Times New Roman"/>
      <family val="1"/>
    </font>
    <font>
      <i/>
      <sz val="9"/>
      <color theme="0"/>
      <name val="Times New Roman"/>
      <family val="1"/>
    </font>
    <font>
      <b/>
      <i/>
      <sz val="12"/>
      <color theme="0"/>
      <name val="Times New Roman"/>
      <family val="1"/>
    </font>
    <font>
      <b/>
      <sz val="9"/>
      <color theme="0"/>
      <name val="Times New Roman"/>
      <family val="1"/>
    </font>
    <font>
      <sz val="14"/>
      <name val="Times New Roman"/>
      <family val="1"/>
    </font>
    <font>
      <sz val="11"/>
      <color indexed="8"/>
      <name val="Calibri"/>
      <family val="2"/>
    </font>
    <font>
      <b/>
      <sz val="12"/>
      <color rgb="FF000000"/>
      <name val="Times New Roman"/>
      <family val="1"/>
    </font>
    <font>
      <b/>
      <sz val="8"/>
      <color theme="0"/>
      <name val="Times New Roman"/>
      <family val="1"/>
    </font>
    <font>
      <i/>
      <sz val="10"/>
      <color rgb="FF000000"/>
      <name val="Times New Roman"/>
      <family val="1"/>
    </font>
    <font>
      <b/>
      <i/>
      <sz val="11"/>
      <color theme="1"/>
      <name val="Times New Roman"/>
      <family val="1"/>
    </font>
    <font>
      <i/>
      <sz val="11"/>
      <color theme="1"/>
      <name val="Times New Roman"/>
      <family val="1"/>
    </font>
  </fonts>
  <fills count="1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F0000"/>
        <bgColor indexed="64"/>
      </patternFill>
    </fill>
    <fill>
      <patternFill patternType="solid">
        <fgColor rgb="FF92D050"/>
        <bgColor indexed="64"/>
      </patternFill>
    </fill>
    <fill>
      <patternFill patternType="solid">
        <fgColor rgb="FF00B0F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9" tint="0.39997558519241921"/>
        <bgColor indexed="64"/>
      </patternFill>
    </fill>
  </fills>
  <borders count="48">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rgb="FF000000"/>
      </left>
      <right style="thin">
        <color rgb="FF000000"/>
      </right>
      <top/>
      <bottom style="hair">
        <color rgb="FF000000"/>
      </bottom>
      <diagonal/>
    </border>
    <border>
      <left style="medium">
        <color rgb="FF000000"/>
      </left>
      <right style="thin">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bottom style="medium">
        <color rgb="FF000000"/>
      </bottom>
      <diagonal/>
    </border>
    <border>
      <left/>
      <right/>
      <top/>
      <bottom style="hair">
        <color rgb="FF000000"/>
      </bottom>
      <diagonal/>
    </border>
    <border>
      <left/>
      <right/>
      <top style="hair">
        <color rgb="FF000000"/>
      </top>
      <bottom style="hair">
        <color rgb="FF000000"/>
      </bottom>
      <diagonal/>
    </border>
    <border>
      <left/>
      <right/>
      <top style="hair">
        <color rgb="FF000000"/>
      </top>
      <bottom/>
      <diagonal/>
    </border>
    <border>
      <left style="thin">
        <color indexed="64"/>
      </left>
      <right style="thin">
        <color indexed="64"/>
      </right>
      <top style="hair">
        <color indexed="64"/>
      </top>
      <bottom style="hair">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medium">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hair">
        <color rgb="FF000000"/>
      </top>
      <bottom style="medium">
        <color indexed="64"/>
      </bottom>
      <diagonal/>
    </border>
    <border>
      <left style="thin">
        <color rgb="FF000000"/>
      </left>
      <right style="medium">
        <color rgb="FF000000"/>
      </right>
      <top style="hair">
        <color rgb="FF000000"/>
      </top>
      <bottom style="medium">
        <color indexed="64"/>
      </bottom>
      <diagonal/>
    </border>
    <border>
      <left style="medium">
        <color rgb="FF000000"/>
      </left>
      <right style="thin">
        <color rgb="FF000000"/>
      </right>
      <top style="thin">
        <color rgb="FF000000"/>
      </top>
      <bottom style="hair">
        <color rgb="FF000000"/>
      </bottom>
      <diagonal/>
    </border>
    <border>
      <left style="thin">
        <color rgb="FF000000"/>
      </left>
      <right style="thin">
        <color rgb="FF000000"/>
      </right>
      <top style="thin">
        <color rgb="FF000000"/>
      </top>
      <bottom style="hair">
        <color rgb="FF000000"/>
      </bottom>
      <diagonal/>
    </border>
    <border>
      <left style="thin">
        <color rgb="FF000000"/>
      </left>
      <right style="medium">
        <color rgb="FF000000"/>
      </right>
      <top style="thin">
        <color rgb="FF000000"/>
      </top>
      <bottom style="hair">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medium">
        <color rgb="FF000000"/>
      </top>
      <bottom/>
      <diagonal/>
    </border>
    <border>
      <left/>
      <right style="thin">
        <color rgb="FF000000"/>
      </right>
      <top style="medium">
        <color rgb="FF000000"/>
      </top>
      <bottom/>
      <diagonal/>
    </border>
    <border>
      <left style="medium">
        <color rgb="FF000000"/>
      </left>
      <right style="thin">
        <color rgb="FF000000"/>
      </right>
      <top style="hair">
        <color rgb="FF000000"/>
      </top>
      <bottom style="medium">
        <color rgb="FF000000"/>
      </bottom>
      <diagonal/>
    </border>
    <border>
      <left style="thin">
        <color rgb="FF000000"/>
      </left>
      <right style="thin">
        <color rgb="FF000000"/>
      </right>
      <top style="hair">
        <color rgb="FF000000"/>
      </top>
      <bottom style="medium">
        <color rgb="FF000000"/>
      </bottom>
      <diagonal/>
    </border>
    <border>
      <left style="thin">
        <color rgb="FF000000"/>
      </left>
      <right style="medium">
        <color rgb="FF000000"/>
      </right>
      <top style="hair">
        <color rgb="FF000000"/>
      </top>
      <bottom style="medium">
        <color rgb="FF000000"/>
      </bottom>
      <diagonal/>
    </border>
    <border>
      <left style="thin">
        <color rgb="FF000000"/>
      </left>
      <right/>
      <top style="hair">
        <color rgb="FF000000"/>
      </top>
      <bottom style="hair">
        <color rgb="FF000000"/>
      </bottom>
      <diagonal/>
    </border>
    <border>
      <left/>
      <right/>
      <top style="medium">
        <color rgb="FF000000"/>
      </top>
      <bottom/>
      <diagonal/>
    </border>
    <border>
      <left style="medium">
        <color rgb="FF000000"/>
      </left>
      <right style="hair">
        <color rgb="FF000000"/>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medium">
        <color rgb="FF000000"/>
      </right>
      <top style="thin">
        <color rgb="FF000000"/>
      </top>
      <bottom style="thin">
        <color rgb="FF000000"/>
      </bottom>
      <diagonal/>
    </border>
    <border>
      <left style="medium">
        <color rgb="FF000000"/>
      </left>
      <right style="hair">
        <color rgb="FF000000"/>
      </right>
      <top style="thin">
        <color rgb="FF000000"/>
      </top>
      <bottom style="medium">
        <color indexed="64"/>
      </bottom>
      <diagonal/>
    </border>
    <border>
      <left style="hair">
        <color rgb="FF000000"/>
      </left>
      <right style="hair">
        <color rgb="FF000000"/>
      </right>
      <top style="thin">
        <color rgb="FF000000"/>
      </top>
      <bottom style="medium">
        <color indexed="64"/>
      </bottom>
      <diagonal/>
    </border>
    <border>
      <left style="hair">
        <color rgb="FF000000"/>
      </left>
      <right style="medium">
        <color rgb="FF000000"/>
      </right>
      <top style="thin">
        <color rgb="FF000000"/>
      </top>
      <bottom style="medium">
        <color indexed="64"/>
      </bottom>
      <diagonal/>
    </border>
    <border>
      <left style="medium">
        <color rgb="FF000000"/>
      </left>
      <right style="thin">
        <color rgb="FF000000"/>
      </right>
      <top style="hair">
        <color rgb="FF000000"/>
      </top>
      <bottom style="medium">
        <color indexed="64"/>
      </bottom>
      <diagonal/>
    </border>
    <border>
      <left style="thin">
        <color rgb="FF000000"/>
      </left>
      <right style="thin">
        <color rgb="FF000000"/>
      </right>
      <top style="hair">
        <color rgb="FF000000"/>
      </top>
      <bottom/>
      <diagonal/>
    </border>
    <border>
      <left style="thin">
        <color auto="1"/>
      </left>
      <right style="thin">
        <color auto="1"/>
      </right>
      <top style="hair">
        <color auto="1"/>
      </top>
      <bottom/>
      <diagonal/>
    </border>
    <border>
      <left/>
      <right/>
      <top/>
      <bottom style="thin">
        <color indexed="64"/>
      </bottom>
      <diagonal/>
    </border>
  </borders>
  <cellStyleXfs count="22">
    <xf numFmtId="0" fontId="0" fillId="0" borderId="0"/>
    <xf numFmtId="164" fontId="7" fillId="0" borderId="0" applyFont="0" applyFill="0" applyBorder="0" applyAlignment="0" applyProtection="0"/>
    <xf numFmtId="0" fontId="8" fillId="0" borderId="0"/>
    <xf numFmtId="164" fontId="10" fillId="0" borderId="0" applyFont="0" applyFill="0" applyBorder="0" applyAlignment="0" applyProtection="0"/>
    <xf numFmtId="0" fontId="8" fillId="0" borderId="0"/>
    <xf numFmtId="164" fontId="11" fillId="0" borderId="0" applyFont="0" applyFill="0" applyBorder="0" applyAlignment="0" applyProtection="0"/>
    <xf numFmtId="0" fontId="11" fillId="0" borderId="0"/>
    <xf numFmtId="164" fontId="8" fillId="0" borderId="0" applyFont="0" applyFill="0" applyBorder="0" applyAlignment="0" applyProtection="0"/>
    <xf numFmtId="0" fontId="8" fillId="0" borderId="0"/>
    <xf numFmtId="0" fontId="3" fillId="0" borderId="0"/>
    <xf numFmtId="43" fontId="2" fillId="0" borderId="0" applyFont="0" applyFill="0" applyBorder="0" applyAlignment="0" applyProtection="0"/>
    <xf numFmtId="0" fontId="32" fillId="0" borderId="0"/>
    <xf numFmtId="0" fontId="33"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1" fillId="0" borderId="0"/>
    <xf numFmtId="164" fontId="10" fillId="0" borderId="0" applyFont="0" applyFill="0" applyBorder="0" applyAlignment="0" applyProtection="0"/>
    <xf numFmtId="0" fontId="8" fillId="0" borderId="0"/>
    <xf numFmtId="0" fontId="73" fillId="0" borderId="0"/>
    <xf numFmtId="164" fontId="8" fillId="0" borderId="0" applyFont="0" applyFill="0" applyBorder="0" applyAlignment="0" applyProtection="0"/>
  </cellStyleXfs>
  <cellXfs count="1221">
    <xf numFmtId="0" fontId="0" fillId="0" borderId="0" xfId="0" applyAlignment="1">
      <alignment horizontal="left" vertical="top"/>
    </xf>
    <xf numFmtId="0" fontId="9" fillId="2" borderId="3" xfId="4" applyFont="1" applyFill="1" applyBorder="1" applyAlignment="1">
      <alignment horizontal="center" vertical="center" wrapText="1"/>
    </xf>
    <xf numFmtId="166" fontId="9" fillId="2" borderId="3" xfId="1"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166" fontId="9" fillId="2" borderId="3" xfId="5"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0" fontId="0" fillId="0" borderId="0" xfId="0" applyAlignment="1">
      <alignment horizontal="left" vertical="center" wrapText="1"/>
    </xf>
    <xf numFmtId="3" fontId="0" fillId="0" borderId="0" xfId="0" applyNumberFormat="1" applyAlignment="1">
      <alignment horizontal="right" vertical="center" wrapText="1"/>
    </xf>
    <xf numFmtId="165" fontId="14" fillId="0" borderId="3" xfId="1" applyNumberFormat="1" applyFont="1" applyFill="1" applyBorder="1" applyAlignment="1">
      <alignment horizontal="left" vertical="center" wrapText="1"/>
    </xf>
    <xf numFmtId="165" fontId="14" fillId="4" borderId="3" xfId="1" applyNumberFormat="1" applyFont="1" applyFill="1" applyBorder="1" applyAlignment="1">
      <alignment horizontal="left" vertical="center" wrapText="1"/>
    </xf>
    <xf numFmtId="0" fontId="6" fillId="0" borderId="2" xfId="0" applyFont="1" applyBorder="1" applyAlignment="1">
      <alignment horizontal="center" vertical="center" wrapText="1"/>
    </xf>
    <xf numFmtId="3" fontId="6" fillId="0" borderId="2" xfId="0" applyNumberFormat="1" applyFont="1" applyBorder="1" applyAlignment="1">
      <alignment horizontal="center" vertical="center" wrapText="1"/>
    </xf>
    <xf numFmtId="0" fontId="15" fillId="6" borderId="5" xfId="0" applyFont="1" applyFill="1" applyBorder="1" applyAlignment="1">
      <alignment horizontal="left" vertical="center" wrapText="1"/>
    </xf>
    <xf numFmtId="0" fontId="6" fillId="6"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center" wrapText="1"/>
    </xf>
    <xf numFmtId="165" fontId="15" fillId="3" borderId="3" xfId="1" applyNumberFormat="1" applyFont="1" applyFill="1" applyBorder="1" applyAlignment="1">
      <alignment horizontal="left" vertical="center" wrapText="1"/>
    </xf>
    <xf numFmtId="0" fontId="6" fillId="5" borderId="3" xfId="0" applyFont="1" applyFill="1" applyBorder="1" applyAlignment="1">
      <alignment horizontal="center" vertical="center" wrapText="1"/>
    </xf>
    <xf numFmtId="0" fontId="6" fillId="5" borderId="3" xfId="0" applyFont="1" applyFill="1" applyBorder="1" applyAlignment="1">
      <alignment horizontal="left" vertical="center" wrapText="1"/>
    </xf>
    <xf numFmtId="0" fontId="16" fillId="2" borderId="3" xfId="0" applyFont="1" applyFill="1" applyBorder="1" applyAlignment="1">
      <alignment horizontal="center" vertical="center" wrapText="1"/>
    </xf>
    <xf numFmtId="1" fontId="16" fillId="2" borderId="3" xfId="2" applyNumberFormat="1" applyFont="1" applyFill="1" applyBorder="1" applyAlignment="1">
      <alignment vertical="center" wrapText="1"/>
    </xf>
    <xf numFmtId="0" fontId="16" fillId="0" borderId="3" xfId="0" applyFont="1" applyBorder="1" applyAlignment="1">
      <alignment horizontal="center" vertical="center" wrapText="1"/>
    </xf>
    <xf numFmtId="1" fontId="16" fillId="0" borderId="3" xfId="2" applyNumberFormat="1" applyFont="1" applyBorder="1" applyAlignment="1">
      <alignment vertical="center" wrapText="1"/>
    </xf>
    <xf numFmtId="1" fontId="7" fillId="0" borderId="3" xfId="0" applyNumberFormat="1" applyFont="1" applyBorder="1" applyAlignment="1">
      <alignment horizontal="center" vertical="center" wrapText="1" shrinkToFit="1"/>
    </xf>
    <xf numFmtId="1" fontId="17" fillId="0" borderId="3" xfId="2" applyNumberFormat="1" applyFont="1" applyBorder="1" applyAlignment="1">
      <alignment vertical="center" wrapText="1"/>
    </xf>
    <xf numFmtId="165" fontId="7" fillId="0" borderId="3" xfId="1" applyNumberFormat="1" applyFont="1" applyFill="1" applyBorder="1" applyAlignment="1">
      <alignment horizontal="left" vertical="center" wrapText="1"/>
    </xf>
    <xf numFmtId="165" fontId="17" fillId="0" borderId="3" xfId="1" quotePrefix="1" applyNumberFormat="1" applyFont="1" applyFill="1" applyBorder="1" applyAlignment="1">
      <alignment horizontal="right" vertical="center" wrapText="1"/>
    </xf>
    <xf numFmtId="165" fontId="17" fillId="0" borderId="3" xfId="1" applyNumberFormat="1" applyFont="1" applyBorder="1" applyAlignment="1">
      <alignment vertical="center" wrapText="1"/>
    </xf>
    <xf numFmtId="0" fontId="16" fillId="2" borderId="3" xfId="0" applyFont="1" applyFill="1" applyBorder="1" applyAlignment="1">
      <alignment vertical="center" wrapText="1"/>
    </xf>
    <xf numFmtId="0" fontId="17" fillId="2" borderId="3" xfId="0" applyFont="1" applyFill="1" applyBorder="1" applyAlignment="1">
      <alignment horizontal="left" vertical="center" wrapText="1"/>
    </xf>
    <xf numFmtId="165" fontId="17" fillId="2" borderId="3" xfId="3" applyNumberFormat="1" applyFont="1" applyFill="1" applyBorder="1" applyAlignment="1">
      <alignment vertical="center" wrapText="1"/>
    </xf>
    <xf numFmtId="165" fontId="17" fillId="2" borderId="3" xfId="1" applyNumberFormat="1" applyFont="1" applyFill="1" applyBorder="1" applyAlignment="1">
      <alignment horizontal="right" vertical="center" wrapText="1"/>
    </xf>
    <xf numFmtId="0" fontId="6" fillId="4" borderId="3" xfId="0" applyFont="1" applyFill="1" applyBorder="1" applyAlignment="1">
      <alignment horizontal="center" vertical="center" wrapText="1"/>
    </xf>
    <xf numFmtId="0" fontId="18" fillId="4" borderId="3" xfId="0" applyFont="1" applyFill="1" applyBorder="1" applyAlignment="1">
      <alignment horizontal="left" vertical="center" wrapText="1"/>
    </xf>
    <xf numFmtId="0" fontId="7" fillId="4" borderId="3" xfId="0" applyFont="1" applyFill="1" applyBorder="1" applyAlignment="1">
      <alignment horizontal="left" vertical="center" wrapText="1"/>
    </xf>
    <xf numFmtId="165" fontId="14" fillId="0" borderId="3" xfId="1" applyNumberFormat="1" applyFont="1" applyFill="1" applyBorder="1" applyAlignment="1">
      <alignment horizontal="right" vertical="center" wrapText="1"/>
    </xf>
    <xf numFmtId="0" fontId="4" fillId="0" borderId="3" xfId="0" applyFont="1" applyBorder="1" applyAlignment="1">
      <alignment horizontal="center" vertical="center" wrapText="1"/>
    </xf>
    <xf numFmtId="0" fontId="17" fillId="2" borderId="3" xfId="0" applyFont="1" applyFill="1" applyBorder="1" applyAlignment="1">
      <alignment horizontal="center" vertical="center" wrapText="1"/>
    </xf>
    <xf numFmtId="1" fontId="17" fillId="2" borderId="3" xfId="2" applyNumberFormat="1" applyFont="1" applyFill="1" applyBorder="1" applyAlignment="1">
      <alignment vertical="center" wrapText="1"/>
    </xf>
    <xf numFmtId="165" fontId="7" fillId="0" borderId="3" xfId="1" applyNumberFormat="1" applyFont="1" applyFill="1" applyBorder="1" applyAlignment="1">
      <alignment vertical="center" wrapText="1"/>
    </xf>
    <xf numFmtId="0" fontId="7" fillId="0" borderId="3" xfId="0" applyFont="1" applyBorder="1" applyAlignment="1">
      <alignment horizontal="center" vertical="center" wrapText="1"/>
    </xf>
    <xf numFmtId="0" fontId="17" fillId="2" borderId="3" xfId="0" applyFont="1" applyFill="1" applyBorder="1" applyAlignment="1">
      <alignment vertical="center" wrapText="1"/>
    </xf>
    <xf numFmtId="0" fontId="18" fillId="4" borderId="3" xfId="0" applyFont="1" applyFill="1" applyBorder="1" applyAlignment="1">
      <alignment horizontal="center" vertical="center" wrapText="1"/>
    </xf>
    <xf numFmtId="0" fontId="18" fillId="4" borderId="3" xfId="0" applyFont="1" applyFill="1" applyBorder="1" applyAlignment="1">
      <alignment vertical="center" wrapText="1"/>
    </xf>
    <xf numFmtId="3" fontId="7" fillId="4" borderId="3" xfId="0" applyNumberFormat="1" applyFont="1" applyFill="1" applyBorder="1" applyAlignment="1">
      <alignment horizontal="right" vertical="center" wrapText="1"/>
    </xf>
    <xf numFmtId="165" fontId="17" fillId="2" borderId="3" xfId="1" applyNumberFormat="1" applyFont="1" applyFill="1" applyBorder="1" applyAlignment="1">
      <alignment vertical="center" wrapText="1"/>
    </xf>
    <xf numFmtId="165" fontId="16" fillId="2" borderId="3" xfId="1" applyNumberFormat="1" applyFont="1" applyFill="1" applyBorder="1" applyAlignment="1">
      <alignment vertical="center" wrapText="1"/>
    </xf>
    <xf numFmtId="0" fontId="7" fillId="0" borderId="4" xfId="0" applyFont="1" applyBorder="1" applyAlignment="1">
      <alignment horizontal="center" vertical="center" wrapText="1"/>
    </xf>
    <xf numFmtId="0" fontId="17" fillId="2" borderId="4" xfId="0" applyFont="1" applyFill="1" applyBorder="1" applyAlignment="1">
      <alignment vertical="center" wrapText="1"/>
    </xf>
    <xf numFmtId="165" fontId="17" fillId="2" borderId="4" xfId="1" applyNumberFormat="1" applyFont="1" applyFill="1" applyBorder="1" applyAlignment="1">
      <alignment vertical="center" wrapText="1"/>
    </xf>
    <xf numFmtId="165" fontId="14" fillId="0" borderId="3" xfId="1" applyNumberFormat="1" applyFont="1" applyFill="1" applyBorder="1" applyAlignment="1">
      <alignment horizontal="center" vertical="center" wrapText="1"/>
    </xf>
    <xf numFmtId="165" fontId="7" fillId="0" borderId="3" xfId="1" applyNumberFormat="1" applyFont="1" applyFill="1" applyBorder="1" applyAlignment="1">
      <alignment horizontal="right" vertical="center" wrapText="1"/>
    </xf>
    <xf numFmtId="165" fontId="16" fillId="2" borderId="3" xfId="1" applyNumberFormat="1" applyFont="1" applyFill="1" applyBorder="1" applyAlignment="1">
      <alignment horizontal="right" vertical="center" wrapText="1"/>
    </xf>
    <xf numFmtId="165" fontId="7" fillId="0" borderId="4" xfId="1" applyNumberFormat="1" applyFont="1" applyFill="1" applyBorder="1" applyAlignment="1">
      <alignment horizontal="right" vertical="center" wrapText="1"/>
    </xf>
    <xf numFmtId="165" fontId="7" fillId="0" borderId="4" xfId="1" applyNumberFormat="1" applyFont="1" applyFill="1" applyBorder="1" applyAlignment="1">
      <alignment horizontal="left" vertical="center" wrapText="1"/>
    </xf>
    <xf numFmtId="165" fontId="15" fillId="6" borderId="5" xfId="1" applyNumberFormat="1" applyFont="1" applyFill="1" applyBorder="1" applyAlignment="1">
      <alignment horizontal="left" vertical="center" wrapText="1"/>
    </xf>
    <xf numFmtId="165" fontId="15" fillId="6" borderId="5" xfId="1" applyNumberFormat="1" applyFont="1" applyFill="1" applyBorder="1" applyAlignment="1">
      <alignment horizontal="right" vertical="center" wrapText="1"/>
    </xf>
    <xf numFmtId="165" fontId="7" fillId="3" borderId="3" xfId="1" applyNumberFormat="1" applyFont="1" applyFill="1" applyBorder="1" applyAlignment="1">
      <alignment horizontal="left" vertical="center" wrapText="1"/>
    </xf>
    <xf numFmtId="165" fontId="15" fillId="5" borderId="3" xfId="1" applyNumberFormat="1" applyFont="1" applyFill="1" applyBorder="1" applyAlignment="1">
      <alignment horizontal="left" vertical="center" wrapText="1"/>
    </xf>
    <xf numFmtId="165" fontId="7" fillId="5" borderId="3" xfId="1" applyNumberFormat="1" applyFont="1" applyFill="1" applyBorder="1" applyAlignment="1">
      <alignment horizontal="left" vertical="center" wrapText="1"/>
    </xf>
    <xf numFmtId="165" fontId="15" fillId="5" borderId="3" xfId="1" applyNumberFormat="1" applyFont="1" applyFill="1" applyBorder="1" applyAlignment="1">
      <alignment horizontal="right" vertical="center" wrapText="1"/>
    </xf>
    <xf numFmtId="165" fontId="7" fillId="2" borderId="3" xfId="1" applyNumberFormat="1" applyFont="1" applyFill="1" applyBorder="1" applyAlignment="1">
      <alignment horizontal="right" vertical="center" wrapText="1"/>
    </xf>
    <xf numFmtId="165" fontId="15" fillId="3" borderId="3" xfId="1" applyNumberFormat="1" applyFont="1" applyFill="1" applyBorder="1" applyAlignment="1">
      <alignment horizontal="right" vertical="center" wrapText="1"/>
    </xf>
    <xf numFmtId="165" fontId="15" fillId="4" borderId="3" xfId="1" applyNumberFormat="1" applyFont="1" applyFill="1" applyBorder="1" applyAlignment="1">
      <alignment horizontal="left" vertical="center" wrapText="1"/>
    </xf>
    <xf numFmtId="165" fontId="15" fillId="4" borderId="3" xfId="1" applyNumberFormat="1" applyFont="1" applyFill="1" applyBorder="1" applyAlignment="1">
      <alignment horizontal="right" vertical="center" wrapText="1"/>
    </xf>
    <xf numFmtId="165" fontId="7" fillId="4" borderId="3" xfId="1" applyNumberFormat="1" applyFont="1" applyFill="1" applyBorder="1" applyAlignment="1">
      <alignment horizontal="left" vertical="center" wrapText="1"/>
    </xf>
    <xf numFmtId="165" fontId="17" fillId="2" borderId="3" xfId="1" quotePrefix="1" applyNumberFormat="1" applyFont="1" applyFill="1" applyBorder="1" applyAlignment="1">
      <alignment horizontal="right" vertical="center" wrapText="1"/>
    </xf>
    <xf numFmtId="0" fontId="19" fillId="3" borderId="3" xfId="0" applyFont="1" applyFill="1" applyBorder="1" applyAlignment="1">
      <alignment horizontal="left" vertical="center" wrapText="1"/>
    </xf>
    <xf numFmtId="0" fontId="19" fillId="5" borderId="3" xfId="0" applyFont="1" applyFill="1" applyBorder="1" applyAlignment="1">
      <alignment horizontal="left" vertical="center" wrapText="1"/>
    </xf>
    <xf numFmtId="0" fontId="19" fillId="0" borderId="3" xfId="0" applyFont="1" applyBorder="1" applyAlignment="1">
      <alignment horizontal="left" vertical="center" wrapText="1"/>
    </xf>
    <xf numFmtId="1" fontId="9" fillId="0" borderId="3" xfId="2" applyNumberFormat="1" applyFont="1" applyBorder="1" applyAlignment="1">
      <alignment horizontal="center" vertical="center" wrapText="1"/>
    </xf>
    <xf numFmtId="0" fontId="19" fillId="4" borderId="3" xfId="0" applyFont="1" applyFill="1" applyBorder="1" applyAlignment="1">
      <alignment horizontal="left" vertical="center" wrapText="1"/>
    </xf>
    <xf numFmtId="0" fontId="20" fillId="0" borderId="0" xfId="0" applyFont="1" applyAlignment="1">
      <alignment horizontal="left" vertical="center" wrapText="1"/>
    </xf>
    <xf numFmtId="0" fontId="19" fillId="0" borderId="3" xfId="0" applyFont="1" applyBorder="1" applyAlignment="1">
      <alignment horizontal="center"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3" fontId="4" fillId="0" borderId="0" xfId="0" applyNumberFormat="1" applyFont="1" applyAlignment="1">
      <alignment horizontal="right" vertical="center" wrapText="1"/>
    </xf>
    <xf numFmtId="165" fontId="4" fillId="0" borderId="0" xfId="0" applyNumberFormat="1" applyFont="1" applyAlignment="1">
      <alignment horizontal="left" vertical="center" wrapText="1"/>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23" fillId="0" borderId="0" xfId="0" applyFont="1" applyAlignment="1">
      <alignment vertical="center" wrapText="1"/>
    </xf>
    <xf numFmtId="3" fontId="29" fillId="0" borderId="0" xfId="0" applyNumberFormat="1" applyFont="1" applyAlignment="1">
      <alignment horizontal="right" vertical="center" wrapText="1"/>
    </xf>
    <xf numFmtId="0" fontId="30" fillId="0" borderId="0" xfId="0" applyFont="1" applyAlignment="1">
      <alignment horizontal="left" vertical="center" wrapText="1"/>
    </xf>
    <xf numFmtId="0" fontId="24" fillId="0" borderId="0" xfId="0" applyFont="1" applyAlignment="1">
      <alignment horizontal="left" vertical="center" wrapText="1"/>
    </xf>
    <xf numFmtId="0" fontId="30" fillId="2" borderId="0" xfId="0" applyFont="1" applyFill="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center" vertical="center" wrapText="1"/>
    </xf>
    <xf numFmtId="165" fontId="4" fillId="2" borderId="21" xfId="18" applyNumberFormat="1" applyFont="1" applyFill="1" applyBorder="1" applyAlignment="1">
      <alignment horizontal="right" vertical="center" wrapText="1"/>
    </xf>
    <xf numFmtId="0" fontId="4" fillId="0" borderId="21" xfId="0" applyFont="1" applyBorder="1" applyAlignment="1">
      <alignment horizontal="left" vertical="center" wrapText="1"/>
    </xf>
    <xf numFmtId="0" fontId="4" fillId="0" borderId="21" xfId="0" applyFont="1" applyBorder="1" applyAlignment="1">
      <alignment horizontal="center" vertical="center" wrapText="1"/>
    </xf>
    <xf numFmtId="49" fontId="24" fillId="0" borderId="21" xfId="12" applyNumberFormat="1" applyFont="1" applyBorder="1" applyAlignment="1">
      <alignment horizontal="left" vertical="center" wrapText="1"/>
    </xf>
    <xf numFmtId="3" fontId="24" fillId="0" borderId="21" xfId="14" applyNumberFormat="1" applyFont="1" applyFill="1" applyBorder="1" applyAlignment="1">
      <alignment horizontal="left" vertical="center" wrapText="1"/>
    </xf>
    <xf numFmtId="3" fontId="24" fillId="2" borderId="21" xfId="14" applyNumberFormat="1" applyFont="1" applyFill="1" applyBorder="1" applyAlignment="1">
      <alignment horizontal="left" vertical="center" wrapText="1"/>
    </xf>
    <xf numFmtId="3" fontId="24" fillId="0" borderId="21" xfId="13" applyNumberFormat="1" applyFont="1" applyFill="1" applyBorder="1" applyAlignment="1">
      <alignment horizontal="left" vertical="center" wrapText="1"/>
    </xf>
    <xf numFmtId="0" fontId="6" fillId="3" borderId="21" xfId="0" applyFont="1" applyFill="1" applyBorder="1" applyAlignment="1">
      <alignment horizontal="left" vertical="center" wrapText="1"/>
    </xf>
    <xf numFmtId="4" fontId="4" fillId="0" borderId="21" xfId="0" applyNumberFormat="1" applyFont="1" applyBorder="1" applyAlignment="1">
      <alignment horizontal="right" vertical="center" wrapText="1"/>
    </xf>
    <xf numFmtId="165" fontId="6" fillId="3" borderId="21" xfId="0" applyNumberFormat="1" applyFont="1" applyFill="1" applyBorder="1" applyAlignment="1">
      <alignment vertical="center" wrapText="1"/>
    </xf>
    <xf numFmtId="0" fontId="6" fillId="3" borderId="21" xfId="0" applyFont="1" applyFill="1" applyBorder="1" applyAlignment="1">
      <alignment vertical="center" wrapText="1"/>
    </xf>
    <xf numFmtId="164" fontId="6" fillId="3" borderId="21" xfId="1" applyFont="1" applyFill="1" applyBorder="1" applyAlignment="1">
      <alignment vertical="center" wrapText="1"/>
    </xf>
    <xf numFmtId="165" fontId="29" fillId="0" borderId="0" xfId="0" applyNumberFormat="1" applyFont="1" applyAlignment="1">
      <alignment horizontal="left" vertical="center" wrapText="1"/>
    </xf>
    <xf numFmtId="0" fontId="23" fillId="2" borderId="0" xfId="0" applyFont="1" applyFill="1" applyAlignment="1">
      <alignment vertical="center" wrapText="1"/>
    </xf>
    <xf numFmtId="165" fontId="4" fillId="0" borderId="21" xfId="18" applyNumberFormat="1" applyFont="1" applyFill="1" applyBorder="1" applyAlignment="1">
      <alignment horizontal="right" vertical="center" wrapText="1"/>
    </xf>
    <xf numFmtId="0" fontId="36" fillId="0" borderId="0" xfId="0" applyFont="1" applyAlignment="1">
      <alignment horizontal="left" vertical="center" wrapText="1"/>
    </xf>
    <xf numFmtId="0" fontId="36" fillId="2" borderId="0" xfId="0" applyFont="1" applyFill="1" applyAlignment="1">
      <alignment horizontal="left" vertical="center" wrapText="1"/>
    </xf>
    <xf numFmtId="165" fontId="36" fillId="0" borderId="0" xfId="0" applyNumberFormat="1" applyFont="1" applyAlignment="1">
      <alignment horizontal="left" vertical="center" wrapText="1"/>
    </xf>
    <xf numFmtId="0" fontId="29" fillId="2" borderId="0" xfId="0" applyFont="1" applyFill="1" applyAlignment="1">
      <alignment horizontal="left" vertical="center" wrapText="1"/>
    </xf>
    <xf numFmtId="0" fontId="29" fillId="0" borderId="0" xfId="0" applyFont="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0" fillId="0" borderId="11" xfId="0" applyFont="1" applyBorder="1" applyAlignment="1">
      <alignment horizontal="left" vertical="center" wrapText="1"/>
    </xf>
    <xf numFmtId="0" fontId="30" fillId="0" borderId="13" xfId="0" applyFont="1" applyBorder="1" applyAlignment="1">
      <alignment horizontal="left" vertical="center" wrapText="1"/>
    </xf>
    <xf numFmtId="0" fontId="5" fillId="2" borderId="0" xfId="0" applyFont="1" applyFill="1" applyAlignment="1">
      <alignment horizontal="left" vertical="center" wrapText="1"/>
    </xf>
    <xf numFmtId="0" fontId="37" fillId="2" borderId="0" xfId="0" applyFont="1" applyFill="1" applyAlignment="1">
      <alignment horizontal="left" vertical="center" wrapText="1"/>
    </xf>
    <xf numFmtId="0" fontId="38" fillId="2" borderId="0" xfId="0" applyFont="1" applyFill="1" applyAlignment="1">
      <alignment horizontal="left" vertical="center" wrapText="1"/>
    </xf>
    <xf numFmtId="164" fontId="4" fillId="2" borderId="0" xfId="0" applyNumberFormat="1" applyFont="1" applyFill="1" applyAlignment="1">
      <alignment horizontal="left" vertical="center" wrapText="1"/>
    </xf>
    <xf numFmtId="165" fontId="4" fillId="2" borderId="0" xfId="0" applyNumberFormat="1" applyFont="1" applyFill="1" applyAlignment="1">
      <alignment horizontal="left" vertical="center" wrapText="1"/>
    </xf>
    <xf numFmtId="3" fontId="39" fillId="0" borderId="0" xfId="14" applyNumberFormat="1" applyFont="1" applyFill="1" applyBorder="1" applyAlignment="1">
      <alignment horizontal="left" vertical="center" wrapText="1"/>
    </xf>
    <xf numFmtId="0" fontId="21" fillId="0" borderId="0" xfId="0" applyFont="1" applyAlignment="1">
      <alignment horizontal="right" vertical="center" wrapText="1"/>
    </xf>
    <xf numFmtId="0" fontId="24" fillId="2" borderId="0" xfId="0" applyFont="1" applyFill="1" applyAlignment="1">
      <alignment horizontal="center" vertical="center" wrapText="1"/>
    </xf>
    <xf numFmtId="0" fontId="31" fillId="2" borderId="0" xfId="0" applyFont="1" applyFill="1" applyAlignment="1">
      <alignment horizontal="center" vertical="center" wrapText="1"/>
    </xf>
    <xf numFmtId="0" fontId="23" fillId="0" borderId="0" xfId="0" applyFont="1" applyAlignment="1">
      <alignment horizontal="center" vertical="center" wrapText="1"/>
    </xf>
    <xf numFmtId="0" fontId="6" fillId="0" borderId="0" xfId="0" applyFont="1" applyAlignment="1">
      <alignment horizontal="center" vertical="center" wrapText="1"/>
    </xf>
    <xf numFmtId="164" fontId="4" fillId="0" borderId="0" xfId="1" applyFont="1" applyFill="1" applyBorder="1" applyAlignment="1">
      <alignment horizontal="left" vertical="center" wrapText="1"/>
    </xf>
    <xf numFmtId="165" fontId="24" fillId="2" borderId="0" xfId="0" applyNumberFormat="1" applyFont="1" applyFill="1" applyAlignment="1">
      <alignment horizontal="center" vertical="center" wrapText="1"/>
    </xf>
    <xf numFmtId="165" fontId="28" fillId="0" borderId="0" xfId="0" applyNumberFormat="1" applyFont="1" applyAlignment="1">
      <alignment horizontal="left" vertical="center" wrapText="1"/>
    </xf>
    <xf numFmtId="164" fontId="4" fillId="0" borderId="0" xfId="0" applyNumberFormat="1" applyFont="1" applyAlignment="1">
      <alignment horizontal="left" vertical="center" wrapText="1"/>
    </xf>
    <xf numFmtId="165" fontId="4" fillId="0" borderId="0" xfId="1" applyNumberFormat="1" applyFont="1" applyFill="1" applyBorder="1" applyAlignment="1">
      <alignment horizontal="left" vertical="center" wrapText="1"/>
    </xf>
    <xf numFmtId="165" fontId="24" fillId="0" borderId="0" xfId="5" applyNumberFormat="1" applyFont="1" applyFill="1" applyBorder="1" applyAlignment="1">
      <alignment horizontal="center" vertical="center"/>
    </xf>
    <xf numFmtId="165" fontId="4" fillId="2" borderId="0" xfId="1" applyNumberFormat="1" applyFont="1" applyFill="1" applyBorder="1" applyAlignment="1">
      <alignment horizontal="left" vertical="center" wrapText="1"/>
    </xf>
    <xf numFmtId="0" fontId="31" fillId="0" borderId="0" xfId="0" applyFont="1" applyAlignment="1">
      <alignment horizontal="left" vertical="center" wrapText="1"/>
    </xf>
    <xf numFmtId="165" fontId="30" fillId="0" borderId="0" xfId="0" applyNumberFormat="1" applyFont="1" applyAlignment="1">
      <alignment horizontal="left" vertical="center" wrapText="1"/>
    </xf>
    <xf numFmtId="164" fontId="30" fillId="0" borderId="0" xfId="1" applyFont="1" applyFill="1" applyBorder="1" applyAlignment="1">
      <alignment horizontal="left" vertical="center" wrapText="1"/>
    </xf>
    <xf numFmtId="0" fontId="34" fillId="0" borderId="0" xfId="0" applyFont="1" applyAlignment="1">
      <alignment horizontal="left" vertical="center" wrapText="1"/>
    </xf>
    <xf numFmtId="49" fontId="24" fillId="0" borderId="0" xfId="12" applyNumberFormat="1" applyFont="1" applyAlignment="1">
      <alignment horizontal="center" vertical="center" wrapText="1"/>
    </xf>
    <xf numFmtId="167" fontId="4" fillId="0" borderId="0" xfId="0" applyNumberFormat="1" applyFont="1" applyAlignment="1">
      <alignment horizontal="left" vertical="center" wrapText="1"/>
    </xf>
    <xf numFmtId="167" fontId="4" fillId="0" borderId="0" xfId="1" applyNumberFormat="1" applyFont="1" applyFill="1" applyBorder="1" applyAlignment="1">
      <alignment horizontal="left" vertical="center" wrapText="1"/>
    </xf>
    <xf numFmtId="170" fontId="4" fillId="0" borderId="0" xfId="1" applyNumberFormat="1" applyFont="1" applyFill="1" applyBorder="1" applyAlignment="1">
      <alignment horizontal="left" vertical="center" wrapText="1"/>
    </xf>
    <xf numFmtId="165" fontId="4" fillId="0" borderId="0" xfId="1" applyNumberFormat="1" applyFont="1" applyFill="1" applyBorder="1" applyAlignment="1">
      <alignment horizontal="center" vertical="center" wrapText="1"/>
    </xf>
    <xf numFmtId="165" fontId="31" fillId="2" borderId="0" xfId="0" applyNumberFormat="1" applyFont="1" applyFill="1" applyAlignment="1">
      <alignment horizontal="center" vertical="center" wrapText="1"/>
    </xf>
    <xf numFmtId="0" fontId="35" fillId="0" borderId="0" xfId="0" applyFont="1" applyAlignment="1">
      <alignment horizontal="center" vertical="center" wrapText="1"/>
    </xf>
    <xf numFmtId="0" fontId="35" fillId="0" borderId="0" xfId="0" applyFont="1" applyAlignment="1">
      <alignment horizontal="left" vertical="center" wrapText="1"/>
    </xf>
    <xf numFmtId="0" fontId="24" fillId="0" borderId="0" xfId="0" applyFont="1" applyAlignment="1">
      <alignment horizontal="center" vertical="center" wrapText="1"/>
    </xf>
    <xf numFmtId="165" fontId="24" fillId="0" borderId="0" xfId="0" applyNumberFormat="1" applyFont="1" applyAlignment="1">
      <alignment horizontal="center" vertical="center" wrapText="1"/>
    </xf>
    <xf numFmtId="169" fontId="4" fillId="0" borderId="0" xfId="0" applyNumberFormat="1" applyFont="1" applyAlignment="1">
      <alignment horizontal="left" vertical="center" wrapText="1"/>
    </xf>
    <xf numFmtId="49" fontId="31" fillId="0" borderId="0" xfId="12" applyNumberFormat="1" applyFont="1" applyAlignment="1">
      <alignment horizontal="center" vertical="center" wrapText="1"/>
    </xf>
    <xf numFmtId="165" fontId="30" fillId="2" borderId="0" xfId="0" applyNumberFormat="1" applyFont="1" applyFill="1" applyAlignment="1">
      <alignment horizontal="left" vertical="center" wrapText="1"/>
    </xf>
    <xf numFmtId="164" fontId="4" fillId="2" borderId="0" xfId="1" applyFont="1" applyFill="1" applyBorder="1" applyAlignment="1">
      <alignment horizontal="center" vertical="center" wrapText="1"/>
    </xf>
    <xf numFmtId="3" fontId="24" fillId="0" borderId="0" xfId="13" applyNumberFormat="1" applyFont="1" applyFill="1" applyBorder="1" applyAlignment="1">
      <alignment horizontal="center" vertical="center" wrapText="1"/>
    </xf>
    <xf numFmtId="164" fontId="4" fillId="0" borderId="0" xfId="1" applyFont="1" applyFill="1" applyBorder="1" applyAlignment="1">
      <alignment horizontal="center" vertical="center" wrapText="1"/>
    </xf>
    <xf numFmtId="0" fontId="28" fillId="0" borderId="0" xfId="0" applyFont="1" applyAlignment="1">
      <alignment horizontal="left" vertical="center" wrapText="1"/>
    </xf>
    <xf numFmtId="164" fontId="30" fillId="2" borderId="0" xfId="1" applyFont="1" applyFill="1" applyBorder="1" applyAlignment="1">
      <alignment horizontal="center" vertical="center" wrapText="1"/>
    </xf>
    <xf numFmtId="164" fontId="30" fillId="2" borderId="0" xfId="0" applyNumberFormat="1" applyFont="1" applyFill="1" applyAlignment="1">
      <alignment horizontal="left" vertical="center" wrapText="1"/>
    </xf>
    <xf numFmtId="3" fontId="24" fillId="0" borderId="0" xfId="14" applyNumberFormat="1" applyFont="1" applyFill="1" applyBorder="1" applyAlignment="1">
      <alignment horizontal="center" vertical="center" wrapText="1"/>
    </xf>
    <xf numFmtId="0" fontId="24" fillId="0" borderId="0" xfId="15" applyFont="1" applyAlignment="1">
      <alignment horizontal="center" vertical="center"/>
    </xf>
    <xf numFmtId="3" fontId="24" fillId="2" borderId="0" xfId="14" applyNumberFormat="1" applyFont="1" applyFill="1" applyBorder="1" applyAlignment="1">
      <alignment horizontal="center" vertical="center" wrapText="1"/>
    </xf>
    <xf numFmtId="0" fontId="34" fillId="2" borderId="0" xfId="0" applyFont="1" applyFill="1" applyAlignment="1">
      <alignment horizontal="center" vertical="center" wrapText="1"/>
    </xf>
    <xf numFmtId="3" fontId="34" fillId="0" borderId="0" xfId="14" applyNumberFormat="1" applyFont="1" applyFill="1" applyBorder="1" applyAlignment="1">
      <alignment horizontal="center" vertical="center" wrapText="1"/>
    </xf>
    <xf numFmtId="164" fontId="5" fillId="2" borderId="0" xfId="1" applyFont="1" applyFill="1" applyBorder="1" applyAlignment="1">
      <alignment horizontal="center" vertical="center" wrapText="1"/>
    </xf>
    <xf numFmtId="164" fontId="5" fillId="2" borderId="0" xfId="0" applyNumberFormat="1" applyFont="1" applyFill="1" applyAlignment="1">
      <alignment horizontal="left" vertical="center" wrapText="1"/>
    </xf>
    <xf numFmtId="0" fontId="31" fillId="0" borderId="0" xfId="0" applyFont="1" applyAlignment="1">
      <alignment horizontal="center" vertical="center" wrapText="1"/>
    </xf>
    <xf numFmtId="164" fontId="30" fillId="0" borderId="0" xfId="1" applyFont="1" applyFill="1" applyBorder="1" applyAlignment="1">
      <alignment horizontal="center" vertical="center" wrapText="1"/>
    </xf>
    <xf numFmtId="164" fontId="30" fillId="0" borderId="0" xfId="0" applyNumberFormat="1" applyFont="1" applyAlignment="1">
      <alignment horizontal="left" vertical="center" wrapText="1"/>
    </xf>
    <xf numFmtId="165" fontId="24" fillId="0" borderId="0" xfId="1" quotePrefix="1" applyNumberFormat="1" applyFont="1" applyFill="1" applyBorder="1" applyAlignment="1">
      <alignment horizontal="center" vertical="center" wrapText="1"/>
    </xf>
    <xf numFmtId="3" fontId="24" fillId="0" borderId="0" xfId="2" quotePrefix="1" applyNumberFormat="1" applyFont="1" applyAlignment="1">
      <alignment horizontal="center" vertical="center" wrapText="1"/>
    </xf>
    <xf numFmtId="0" fontId="6" fillId="0" borderId="27" xfId="0" applyFont="1" applyBorder="1" applyAlignment="1">
      <alignment vertical="center" wrapText="1"/>
    </xf>
    <xf numFmtId="0" fontId="6" fillId="0" borderId="0" xfId="0" applyFont="1" applyAlignment="1">
      <alignment vertical="center" wrapText="1"/>
    </xf>
    <xf numFmtId="0" fontId="28" fillId="3" borderId="28" xfId="0" applyFont="1" applyFill="1" applyBorder="1" applyAlignment="1">
      <alignment horizontal="center" vertical="center" wrapText="1"/>
    </xf>
    <xf numFmtId="0" fontId="4" fillId="0" borderId="27" xfId="0" applyFont="1" applyBorder="1" applyAlignment="1">
      <alignment horizontal="left" vertical="center" wrapText="1"/>
    </xf>
    <xf numFmtId="0" fontId="24" fillId="2" borderId="28" xfId="0" applyFont="1" applyFill="1" applyBorder="1" applyAlignment="1">
      <alignment horizontal="center" vertical="center" wrapText="1"/>
    </xf>
    <xf numFmtId="165" fontId="4" fillId="0" borderId="21" xfId="5" applyNumberFormat="1" applyFont="1" applyFill="1" applyBorder="1" applyAlignment="1">
      <alignment horizontal="center" vertical="center"/>
    </xf>
    <xf numFmtId="171" fontId="4" fillId="0" borderId="0" xfId="0" applyNumberFormat="1" applyFont="1" applyAlignment="1">
      <alignment horizontal="right" vertical="center" wrapText="1"/>
    </xf>
    <xf numFmtId="4" fontId="29" fillId="0" borderId="0" xfId="0" applyNumberFormat="1" applyFont="1" applyAlignment="1">
      <alignment horizontal="right"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5" fillId="0" borderId="0" xfId="0" applyFont="1" applyAlignment="1">
      <alignment horizontal="center" vertical="center" wrapText="1"/>
    </xf>
    <xf numFmtId="3" fontId="24" fillId="0" borderId="0" xfId="13" quotePrefix="1" applyNumberFormat="1" applyFont="1" applyFill="1" applyBorder="1" applyAlignment="1">
      <alignment horizontal="center" vertical="center" wrapText="1"/>
    </xf>
    <xf numFmtId="3" fontId="24" fillId="0" borderId="0" xfId="13" applyNumberFormat="1" applyFont="1" applyFill="1" applyBorder="1" applyAlignment="1">
      <alignment horizontal="center" vertical="center"/>
    </xf>
    <xf numFmtId="3" fontId="21" fillId="2" borderId="2" xfId="0" applyNumberFormat="1" applyFont="1" applyFill="1" applyBorder="1" applyAlignment="1">
      <alignment horizontal="center" vertical="center" wrapText="1"/>
    </xf>
    <xf numFmtId="0" fontId="40" fillId="3" borderId="24" xfId="0" applyFont="1" applyFill="1" applyBorder="1" applyAlignment="1">
      <alignment horizontal="left" vertical="center" wrapText="1"/>
    </xf>
    <xf numFmtId="0" fontId="41" fillId="3" borderId="25" xfId="0" applyFont="1" applyFill="1" applyBorder="1" applyAlignment="1">
      <alignment horizontal="center" vertical="center" wrapText="1"/>
    </xf>
    <xf numFmtId="0" fontId="40" fillId="3" borderId="25" xfId="0" applyFont="1" applyFill="1" applyBorder="1" applyAlignment="1">
      <alignment horizontal="left" vertical="center" wrapText="1"/>
    </xf>
    <xf numFmtId="165" fontId="41" fillId="3" borderId="25" xfId="1" applyNumberFormat="1" applyFont="1" applyFill="1" applyBorder="1" applyAlignment="1">
      <alignment horizontal="left" vertical="center" wrapText="1"/>
    </xf>
    <xf numFmtId="165" fontId="41" fillId="3" borderId="26" xfId="0" applyNumberFormat="1"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3" xfId="0" applyFont="1" applyFill="1" applyBorder="1" applyAlignment="1">
      <alignment horizontal="left" vertical="center" wrapText="1"/>
    </xf>
    <xf numFmtId="165" fontId="40" fillId="2" borderId="3" xfId="1" applyNumberFormat="1" applyFont="1" applyFill="1" applyBorder="1" applyAlignment="1">
      <alignment horizontal="right" vertical="center" wrapText="1"/>
    </xf>
    <xf numFmtId="164" fontId="40" fillId="2" borderId="3" xfId="1" applyFont="1" applyFill="1" applyBorder="1" applyAlignment="1">
      <alignment horizontal="right" vertical="center" wrapText="1"/>
    </xf>
    <xf numFmtId="165" fontId="40" fillId="0" borderId="7" xfId="5" applyNumberFormat="1" applyFont="1" applyFill="1" applyBorder="1" applyAlignment="1">
      <alignment horizontal="center" vertical="center"/>
    </xf>
    <xf numFmtId="0" fontId="41" fillId="13" borderId="6" xfId="0" applyFont="1" applyFill="1" applyBorder="1" applyAlignment="1">
      <alignment horizontal="center" vertical="center" wrapText="1"/>
    </xf>
    <xf numFmtId="0" fontId="41" fillId="13" borderId="3" xfId="0" applyFont="1" applyFill="1" applyBorder="1" applyAlignment="1">
      <alignment horizontal="left" vertical="center" wrapText="1"/>
    </xf>
    <xf numFmtId="0" fontId="40" fillId="13" borderId="3" xfId="0" applyFont="1" applyFill="1" applyBorder="1" applyAlignment="1">
      <alignment horizontal="center" vertical="center" wrapText="1"/>
    </xf>
    <xf numFmtId="165" fontId="41" fillId="13" borderId="3" xfId="1" applyNumberFormat="1" applyFont="1" applyFill="1" applyBorder="1" applyAlignment="1">
      <alignment horizontal="left" vertical="center" wrapText="1"/>
    </xf>
    <xf numFmtId="164" fontId="41" fillId="13" borderId="3" xfId="1" applyFont="1" applyFill="1" applyBorder="1" applyAlignment="1">
      <alignment horizontal="left" vertical="center" wrapText="1"/>
    </xf>
    <xf numFmtId="0" fontId="40" fillId="13" borderId="7" xfId="0" applyFont="1" applyFill="1" applyBorder="1" applyAlignment="1">
      <alignment horizontal="left" vertical="center" wrapText="1"/>
    </xf>
    <xf numFmtId="0" fontId="41" fillId="3" borderId="6" xfId="0" applyFont="1" applyFill="1" applyBorder="1" applyAlignment="1">
      <alignment horizontal="center" vertical="center" wrapText="1"/>
    </xf>
    <xf numFmtId="0" fontId="41" fillId="3" borderId="3" xfId="0" applyFont="1" applyFill="1" applyBorder="1" applyAlignment="1">
      <alignment horizontal="left" vertical="center" wrapText="1"/>
    </xf>
    <xf numFmtId="0" fontId="41" fillId="3" borderId="3" xfId="4" applyFont="1" applyFill="1" applyBorder="1" applyAlignment="1">
      <alignment horizontal="center" vertical="center" wrapText="1"/>
    </xf>
    <xf numFmtId="0" fontId="41" fillId="3" borderId="3" xfId="0" applyFont="1" applyFill="1" applyBorder="1" applyAlignment="1">
      <alignment horizontal="center" vertical="center" wrapText="1"/>
    </xf>
    <xf numFmtId="165" fontId="41" fillId="3" borderId="3" xfId="1" applyNumberFormat="1" applyFont="1" applyFill="1" applyBorder="1" applyAlignment="1">
      <alignment horizontal="left" vertical="center" wrapText="1"/>
    </xf>
    <xf numFmtId="168" fontId="41" fillId="3" borderId="3" xfId="1" applyNumberFormat="1" applyFont="1" applyFill="1" applyBorder="1" applyAlignment="1">
      <alignment horizontal="right" vertical="center" wrapText="1"/>
    </xf>
    <xf numFmtId="0" fontId="41" fillId="3" borderId="7" xfId="0" applyFont="1" applyFill="1" applyBorder="1" applyAlignment="1">
      <alignment horizontal="left" vertical="center" wrapText="1"/>
    </xf>
    <xf numFmtId="0" fontId="42" fillId="2" borderId="6" xfId="0" applyFont="1" applyFill="1" applyBorder="1" applyAlignment="1">
      <alignment horizontal="center" vertical="center" wrapText="1"/>
    </xf>
    <xf numFmtId="0" fontId="42" fillId="0" borderId="3" xfId="4" applyFont="1" applyBorder="1" applyAlignment="1">
      <alignment horizontal="center" vertical="center" wrapText="1"/>
    </xf>
    <xf numFmtId="0" fontId="42" fillId="2" borderId="3" xfId="0" applyFont="1" applyFill="1" applyBorder="1" applyAlignment="1">
      <alignment horizontal="left" vertical="center" wrapText="1"/>
    </xf>
    <xf numFmtId="0" fontId="42" fillId="0" borderId="3" xfId="0" applyFont="1" applyBorder="1" applyAlignment="1">
      <alignment horizontal="center" vertical="center" wrapText="1"/>
    </xf>
    <xf numFmtId="0" fontId="42" fillId="2" borderId="3" xfId="0" applyFont="1" applyFill="1" applyBorder="1" applyAlignment="1">
      <alignment horizontal="center" vertical="center" wrapText="1"/>
    </xf>
    <xf numFmtId="165" fontId="42" fillId="2" borderId="3" xfId="1" applyNumberFormat="1" applyFont="1" applyFill="1" applyBorder="1" applyAlignment="1">
      <alignment horizontal="left" vertical="center" wrapText="1"/>
    </xf>
    <xf numFmtId="0" fontId="42" fillId="2" borderId="7" xfId="0" applyFont="1" applyFill="1" applyBorder="1" applyAlignment="1">
      <alignment horizontal="left" vertical="center" wrapText="1"/>
    </xf>
    <xf numFmtId="0" fontId="40" fillId="0" borderId="6" xfId="0" applyFont="1" applyBorder="1" applyAlignment="1">
      <alignment horizontal="center" vertical="center" wrapText="1"/>
    </xf>
    <xf numFmtId="49" fontId="40" fillId="0" borderId="3" xfId="8" applyNumberFormat="1" applyFont="1" applyBorder="1" applyAlignment="1">
      <alignment horizontal="left" vertical="center" wrapText="1"/>
    </xf>
    <xf numFmtId="0" fontId="43" fillId="0" borderId="3" xfId="4" applyFont="1" applyBorder="1" applyAlignment="1">
      <alignment horizontal="center" vertical="center" wrapText="1"/>
    </xf>
    <xf numFmtId="0" fontId="43" fillId="2" borderId="3" xfId="0" applyFont="1" applyFill="1" applyBorder="1" applyAlignment="1">
      <alignment horizontal="center" vertical="center" wrapText="1"/>
    </xf>
    <xf numFmtId="49" fontId="40" fillId="0" borderId="3" xfId="0" applyNumberFormat="1" applyFont="1" applyBorder="1" applyAlignment="1">
      <alignment horizontal="center" vertical="center" wrapText="1"/>
    </xf>
    <xf numFmtId="165" fontId="40" fillId="0" borderId="3" xfId="1" applyNumberFormat="1" applyFont="1" applyFill="1" applyBorder="1" applyAlignment="1">
      <alignment horizontal="center" vertical="center" wrapText="1"/>
    </xf>
    <xf numFmtId="167" fontId="40" fillId="2" borderId="3" xfId="1" applyNumberFormat="1" applyFont="1" applyFill="1" applyBorder="1" applyAlignment="1">
      <alignment horizontal="center" vertical="center" wrapText="1"/>
    </xf>
    <xf numFmtId="165" fontId="42" fillId="2" borderId="3" xfId="1" applyNumberFormat="1" applyFont="1" applyFill="1" applyBorder="1" applyAlignment="1">
      <alignment horizontal="right" vertical="center" wrapText="1"/>
    </xf>
    <xf numFmtId="49" fontId="40" fillId="0" borderId="3" xfId="8" applyNumberFormat="1" applyFont="1" applyBorder="1" applyAlignment="1">
      <alignment horizontal="center" vertical="center" wrapText="1"/>
    </xf>
    <xf numFmtId="168" fontId="42" fillId="2" borderId="3" xfId="1" applyNumberFormat="1" applyFont="1" applyFill="1" applyBorder="1" applyAlignment="1">
      <alignment horizontal="left" vertical="center" wrapText="1"/>
    </xf>
    <xf numFmtId="0" fontId="40" fillId="0" borderId="3" xfId="4" applyFont="1" applyBorder="1" applyAlignment="1">
      <alignment horizontal="center" vertical="center" wrapText="1"/>
    </xf>
    <xf numFmtId="0" fontId="40" fillId="0" borderId="3" xfId="0" applyFont="1" applyBorder="1" applyAlignment="1">
      <alignment horizontal="center" vertical="center" wrapText="1"/>
    </xf>
    <xf numFmtId="165" fontId="40" fillId="0" borderId="3" xfId="0" applyNumberFormat="1" applyFont="1" applyBorder="1" applyAlignment="1">
      <alignment horizontal="center" vertical="center"/>
    </xf>
    <xf numFmtId="167" fontId="40" fillId="2" borderId="3" xfId="1" applyNumberFormat="1" applyFont="1" applyFill="1" applyBorder="1" applyAlignment="1">
      <alignment horizontal="right" vertical="center" wrapText="1"/>
    </xf>
    <xf numFmtId="164" fontId="40" fillId="0" borderId="3" xfId="1" applyFont="1" applyFill="1" applyBorder="1" applyAlignment="1">
      <alignment horizontal="center" vertical="center" wrapText="1"/>
    </xf>
    <xf numFmtId="0" fontId="40" fillId="2" borderId="7" xfId="0" applyFont="1" applyFill="1" applyBorder="1" applyAlignment="1">
      <alignment horizontal="left" vertical="center" wrapText="1"/>
    </xf>
    <xf numFmtId="165" fontId="40" fillId="2" borderId="3" xfId="1" applyNumberFormat="1" applyFont="1" applyFill="1" applyBorder="1" applyAlignment="1">
      <alignment horizontal="left" vertical="center" wrapText="1"/>
    </xf>
    <xf numFmtId="164" fontId="40" fillId="0" borderId="3" xfId="1" applyFont="1" applyFill="1" applyBorder="1" applyAlignment="1">
      <alignment horizontal="right" vertical="center" wrapText="1"/>
    </xf>
    <xf numFmtId="49" fontId="40" fillId="0" borderId="3" xfId="12" applyNumberFormat="1" applyFont="1" applyBorder="1" applyAlignment="1">
      <alignment horizontal="left" vertical="center" wrapText="1"/>
    </xf>
    <xf numFmtId="49" fontId="40" fillId="0" borderId="3" xfId="12" applyNumberFormat="1" applyFont="1" applyBorder="1" applyAlignment="1">
      <alignment horizontal="center" vertical="center" wrapText="1"/>
    </xf>
    <xf numFmtId="49" fontId="40" fillId="0" borderId="3" xfId="0" applyNumberFormat="1" applyFont="1" applyBorder="1" applyAlignment="1">
      <alignment horizontal="left" vertical="center" wrapText="1"/>
    </xf>
    <xf numFmtId="49" fontId="40" fillId="2" borderId="3" xfId="0" applyNumberFormat="1" applyFont="1" applyFill="1" applyBorder="1" applyAlignment="1">
      <alignment horizontal="center" vertical="center" wrapText="1"/>
    </xf>
    <xf numFmtId="165" fontId="40" fillId="0" borderId="3" xfId="1" applyNumberFormat="1" applyFont="1" applyFill="1" applyBorder="1" applyAlignment="1">
      <alignment horizontal="right" vertical="center" wrapText="1"/>
    </xf>
    <xf numFmtId="0" fontId="40" fillId="11" borderId="6" xfId="0" applyFont="1" applyFill="1" applyBorder="1" applyAlignment="1">
      <alignment horizontal="center" vertical="center" wrapText="1"/>
    </xf>
    <xf numFmtId="49" fontId="44" fillId="11" borderId="3" xfId="8" applyNumberFormat="1" applyFont="1" applyFill="1" applyBorder="1" applyAlignment="1">
      <alignment horizontal="left" vertical="center" wrapText="1"/>
    </xf>
    <xf numFmtId="0" fontId="40" fillId="11" borderId="3" xfId="4" applyFont="1" applyFill="1" applyBorder="1" applyAlignment="1">
      <alignment horizontal="center" vertical="center" wrapText="1"/>
    </xf>
    <xf numFmtId="0" fontId="40" fillId="11" borderId="3" xfId="0" applyFont="1" applyFill="1" applyBorder="1" applyAlignment="1">
      <alignment horizontal="left" vertical="center" wrapText="1"/>
    </xf>
    <xf numFmtId="0" fontId="40" fillId="11" borderId="3" xfId="0" applyFont="1" applyFill="1" applyBorder="1" applyAlignment="1">
      <alignment horizontal="center" vertical="center" wrapText="1"/>
    </xf>
    <xf numFmtId="165" fontId="40" fillId="11" borderId="3" xfId="1" applyNumberFormat="1" applyFont="1" applyFill="1" applyBorder="1" applyAlignment="1">
      <alignment horizontal="left" vertical="center" wrapText="1"/>
    </xf>
    <xf numFmtId="165" fontId="40" fillId="11" borderId="3" xfId="1" applyNumberFormat="1" applyFont="1" applyFill="1" applyBorder="1" applyAlignment="1">
      <alignment horizontal="right" vertical="center" wrapText="1"/>
    </xf>
    <xf numFmtId="0" fontId="40" fillId="11" borderId="7" xfId="0" applyFont="1" applyFill="1" applyBorder="1" applyAlignment="1">
      <alignment horizontal="left" vertical="center" wrapText="1"/>
    </xf>
    <xf numFmtId="49" fontId="40" fillId="2" borderId="3" xfId="0" applyNumberFormat="1" applyFont="1" applyFill="1" applyBorder="1" applyAlignment="1">
      <alignment horizontal="left" vertical="center" wrapText="1"/>
    </xf>
    <xf numFmtId="0" fontId="40" fillId="2" borderId="3" xfId="0" applyFont="1" applyFill="1" applyBorder="1" applyAlignment="1">
      <alignment horizontal="center" vertical="center" wrapText="1"/>
    </xf>
    <xf numFmtId="165" fontId="44" fillId="11" borderId="3" xfId="1" applyNumberFormat="1" applyFont="1" applyFill="1" applyBorder="1" applyAlignment="1">
      <alignment horizontal="left" vertical="center" wrapText="1"/>
    </xf>
    <xf numFmtId="0" fontId="40" fillId="0" borderId="3" xfId="0" applyFont="1" applyBorder="1" applyAlignment="1">
      <alignment horizontal="left" vertical="center" wrapText="1"/>
    </xf>
    <xf numFmtId="3" fontId="40" fillId="0" borderId="3" xfId="0" quotePrefix="1" applyNumberFormat="1" applyFont="1" applyBorder="1" applyAlignment="1">
      <alignment horizontal="center" vertical="center" wrapText="1"/>
    </xf>
    <xf numFmtId="167" fontId="40" fillId="0" borderId="3" xfId="1" applyNumberFormat="1" applyFont="1" applyFill="1" applyBorder="1" applyAlignment="1">
      <alignment horizontal="right" vertical="center" wrapText="1"/>
    </xf>
    <xf numFmtId="171" fontId="40" fillId="0" borderId="3" xfId="0" quotePrefix="1" applyNumberFormat="1" applyFont="1" applyBorder="1" applyAlignment="1">
      <alignment horizontal="center" vertical="center" wrapText="1"/>
    </xf>
    <xf numFmtId="3" fontId="40" fillId="0" borderId="3" xfId="0" quotePrefix="1" applyNumberFormat="1" applyFont="1" applyBorder="1" applyAlignment="1">
      <alignment horizontal="right" vertical="center" wrapText="1"/>
    </xf>
    <xf numFmtId="168" fontId="40" fillId="11" borderId="3" xfId="1" applyNumberFormat="1" applyFont="1" applyFill="1" applyBorder="1" applyAlignment="1">
      <alignment horizontal="right" vertical="center" wrapText="1"/>
    </xf>
    <xf numFmtId="168" fontId="40" fillId="2" borderId="3" xfId="1" applyNumberFormat="1" applyFont="1" applyFill="1" applyBorder="1" applyAlignment="1">
      <alignment horizontal="right" vertical="center" wrapText="1"/>
    </xf>
    <xf numFmtId="0" fontId="44" fillId="12" borderId="6" xfId="0" applyFont="1" applyFill="1" applyBorder="1" applyAlignment="1">
      <alignment horizontal="center" vertical="center" wrapText="1"/>
    </xf>
    <xf numFmtId="49" fontId="44" fillId="12" borderId="3" xfId="8" applyNumberFormat="1" applyFont="1" applyFill="1" applyBorder="1" applyAlignment="1">
      <alignment horizontal="left" vertical="center" wrapText="1"/>
    </xf>
    <xf numFmtId="0" fontId="44" fillId="12" borderId="3" xfId="4" applyFont="1" applyFill="1" applyBorder="1" applyAlignment="1">
      <alignment horizontal="center" vertical="center" wrapText="1"/>
    </xf>
    <xf numFmtId="0" fontId="44" fillId="12" borderId="3" xfId="0" applyFont="1" applyFill="1" applyBorder="1" applyAlignment="1">
      <alignment horizontal="left" vertical="center" wrapText="1"/>
    </xf>
    <xf numFmtId="0" fontId="44" fillId="12" borderId="3" xfId="0" applyFont="1" applyFill="1" applyBorder="1" applyAlignment="1">
      <alignment horizontal="center" vertical="center" wrapText="1"/>
    </xf>
    <xf numFmtId="165" fontId="44" fillId="12" borderId="3" xfId="1" applyNumberFormat="1" applyFont="1" applyFill="1" applyBorder="1" applyAlignment="1">
      <alignment horizontal="left" vertical="center" wrapText="1"/>
    </xf>
    <xf numFmtId="165" fontId="44" fillId="12" borderId="3" xfId="1" applyNumberFormat="1" applyFont="1" applyFill="1" applyBorder="1" applyAlignment="1">
      <alignment horizontal="right" vertical="center" wrapText="1"/>
    </xf>
    <xf numFmtId="0" fontId="44" fillId="12" borderId="7" xfId="0" applyFont="1" applyFill="1" applyBorder="1" applyAlignment="1">
      <alignment horizontal="left" vertical="center" wrapText="1"/>
    </xf>
    <xf numFmtId="0" fontId="44" fillId="2" borderId="6" xfId="0" applyFont="1" applyFill="1" applyBorder="1" applyAlignment="1">
      <alignment horizontal="center" vertical="center" wrapText="1"/>
    </xf>
    <xf numFmtId="0" fontId="44" fillId="0" borderId="3" xfId="4" applyFont="1" applyBorder="1" applyAlignment="1">
      <alignment horizontal="center" vertical="center" wrapText="1"/>
    </xf>
    <xf numFmtId="0" fontId="44" fillId="2" borderId="3" xfId="0" applyFont="1" applyFill="1" applyBorder="1" applyAlignment="1">
      <alignment horizontal="left" vertical="center" wrapText="1"/>
    </xf>
    <xf numFmtId="0" fontId="44" fillId="0" borderId="3" xfId="0" applyFont="1" applyBorder="1" applyAlignment="1">
      <alignment horizontal="center" vertical="center" wrapText="1"/>
    </xf>
    <xf numFmtId="0" fontId="44" fillId="2" borderId="3" xfId="0" applyFont="1" applyFill="1" applyBorder="1" applyAlignment="1">
      <alignment horizontal="center" vertical="center" wrapText="1"/>
    </xf>
    <xf numFmtId="165" fontId="44" fillId="2" borderId="3" xfId="1" applyNumberFormat="1" applyFont="1" applyFill="1" applyBorder="1" applyAlignment="1">
      <alignment horizontal="right" vertical="center" wrapText="1"/>
    </xf>
    <xf numFmtId="0" fontId="44" fillId="2" borderId="7" xfId="0" applyFont="1" applyFill="1" applyBorder="1" applyAlignment="1">
      <alignment horizontal="left" vertical="center" wrapText="1"/>
    </xf>
    <xf numFmtId="0" fontId="40" fillId="2" borderId="6" xfId="0" quotePrefix="1" applyFont="1" applyFill="1" applyBorder="1" applyAlignment="1">
      <alignment horizontal="center" vertical="center" wrapText="1"/>
    </xf>
    <xf numFmtId="0" fontId="40" fillId="0" borderId="3" xfId="0" quotePrefix="1" applyFont="1" applyBorder="1" applyAlignment="1">
      <alignment horizontal="center" vertical="center" wrapText="1"/>
    </xf>
    <xf numFmtId="49" fontId="40" fillId="0" borderId="3" xfId="16" applyNumberFormat="1" applyFont="1" applyBorder="1" applyAlignment="1">
      <alignment horizontal="center" vertical="center" wrapText="1"/>
    </xf>
    <xf numFmtId="168" fontId="40" fillId="2" borderId="3" xfId="1" applyNumberFormat="1" applyFont="1" applyFill="1" applyBorder="1" applyAlignment="1">
      <alignment horizontal="center" vertical="center" wrapText="1"/>
    </xf>
    <xf numFmtId="0" fontId="40" fillId="12" borderId="6" xfId="0" applyFont="1" applyFill="1" applyBorder="1" applyAlignment="1">
      <alignment horizontal="center" vertical="center" wrapText="1"/>
    </xf>
    <xf numFmtId="0" fontId="40" fillId="12" borderId="3" xfId="4" applyFont="1" applyFill="1" applyBorder="1" applyAlignment="1">
      <alignment horizontal="center" vertical="center" wrapText="1"/>
    </xf>
    <xf numFmtId="0" fontId="40" fillId="12" borderId="3" xfId="0" applyFont="1" applyFill="1" applyBorder="1" applyAlignment="1">
      <alignment horizontal="left" vertical="center" wrapText="1"/>
    </xf>
    <xf numFmtId="0" fontId="40" fillId="12" borderId="3" xfId="0" applyFont="1" applyFill="1" applyBorder="1" applyAlignment="1">
      <alignment horizontal="center" vertical="center" wrapText="1"/>
    </xf>
    <xf numFmtId="165" fontId="40" fillId="12" borderId="3" xfId="1" applyNumberFormat="1" applyFont="1" applyFill="1" applyBorder="1" applyAlignment="1">
      <alignment horizontal="right" vertical="center" wrapText="1"/>
    </xf>
    <xf numFmtId="0" fontId="40" fillId="12" borderId="7" xfId="0" applyFont="1" applyFill="1" applyBorder="1" applyAlignment="1">
      <alignment horizontal="left" vertical="center" wrapText="1"/>
    </xf>
    <xf numFmtId="3" fontId="40" fillId="2" borderId="3" xfId="0" quotePrefix="1" applyNumberFormat="1" applyFont="1" applyFill="1" applyBorder="1" applyAlignment="1">
      <alignment horizontal="center" vertical="center" wrapText="1"/>
    </xf>
    <xf numFmtId="167" fontId="40" fillId="0" borderId="3" xfId="1" applyNumberFormat="1" applyFont="1" applyBorder="1" applyAlignment="1">
      <alignment horizontal="center" vertical="center"/>
    </xf>
    <xf numFmtId="164" fontId="40" fillId="2" borderId="3" xfId="1" applyFont="1" applyFill="1" applyBorder="1" applyAlignment="1">
      <alignment horizontal="center" vertical="center" wrapText="1"/>
    </xf>
    <xf numFmtId="164" fontId="40" fillId="0" borderId="3" xfId="1" applyFont="1" applyBorder="1" applyAlignment="1">
      <alignment horizontal="center" vertical="center"/>
    </xf>
    <xf numFmtId="0" fontId="40" fillId="2" borderId="33" xfId="0" applyFont="1" applyFill="1" applyBorder="1" applyAlignment="1">
      <alignment horizontal="center" vertical="center" wrapText="1"/>
    </xf>
    <xf numFmtId="0" fontId="40" fillId="2" borderId="34" xfId="0" applyFont="1" applyFill="1" applyBorder="1" applyAlignment="1">
      <alignment horizontal="left" vertical="center" wrapText="1"/>
    </xf>
    <xf numFmtId="3" fontId="40" fillId="2" borderId="34" xfId="0" quotePrefix="1" applyNumberFormat="1" applyFont="1" applyFill="1" applyBorder="1" applyAlignment="1">
      <alignment horizontal="center" vertical="center" wrapText="1"/>
    </xf>
    <xf numFmtId="0" fontId="40" fillId="0" borderId="34" xfId="0" applyFont="1" applyBorder="1" applyAlignment="1">
      <alignment horizontal="center" vertical="center" wrapText="1"/>
    </xf>
    <xf numFmtId="165" fontId="40" fillId="2" borderId="34" xfId="1" applyNumberFormat="1" applyFont="1" applyFill="1" applyBorder="1" applyAlignment="1">
      <alignment horizontal="left" vertical="center" wrapText="1"/>
    </xf>
    <xf numFmtId="167" fontId="40" fillId="0" borderId="34" xfId="1" applyNumberFormat="1" applyFont="1" applyBorder="1" applyAlignment="1">
      <alignment horizontal="center" vertical="center"/>
    </xf>
    <xf numFmtId="164" fontId="40" fillId="2" borderId="34" xfId="1" applyFont="1" applyFill="1" applyBorder="1" applyAlignment="1">
      <alignment horizontal="center" vertical="center" wrapText="1"/>
    </xf>
    <xf numFmtId="164" fontId="40" fillId="2" borderId="34" xfId="1" applyFont="1" applyFill="1" applyBorder="1" applyAlignment="1">
      <alignment horizontal="right" vertical="center" wrapText="1"/>
    </xf>
    <xf numFmtId="165" fontId="40" fillId="2" borderId="34" xfId="1" applyNumberFormat="1" applyFont="1" applyFill="1" applyBorder="1" applyAlignment="1">
      <alignment horizontal="right" vertical="center" wrapText="1"/>
    </xf>
    <xf numFmtId="0" fontId="40" fillId="2" borderId="35" xfId="0" applyFont="1" applyFill="1" applyBorder="1" applyAlignment="1">
      <alignment horizontal="left" vertical="center" wrapText="1"/>
    </xf>
    <xf numFmtId="164" fontId="42" fillId="2" borderId="3" xfId="1" applyFont="1" applyFill="1" applyBorder="1" applyAlignment="1">
      <alignment horizontal="right" vertical="center" wrapText="1"/>
    </xf>
    <xf numFmtId="165" fontId="42" fillId="0" borderId="7" xfId="5" applyNumberFormat="1" applyFont="1" applyFill="1" applyBorder="1" applyAlignment="1">
      <alignment horizontal="center" vertical="center"/>
    </xf>
    <xf numFmtId="165" fontId="34" fillId="0" borderId="0" xfId="5" applyNumberFormat="1" applyFont="1" applyFill="1" applyBorder="1" applyAlignment="1">
      <alignment horizontal="center" vertical="center"/>
    </xf>
    <xf numFmtId="3" fontId="21" fillId="0" borderId="2" xfId="0" applyNumberFormat="1" applyFont="1" applyBorder="1" applyAlignment="1">
      <alignment horizontal="center" vertical="center" wrapText="1"/>
    </xf>
    <xf numFmtId="164" fontId="41" fillId="3" borderId="25" xfId="1" applyFont="1" applyFill="1" applyBorder="1" applyAlignment="1">
      <alignment horizontal="right" vertical="center" wrapText="1"/>
    </xf>
    <xf numFmtId="165" fontId="40" fillId="2" borderId="3" xfId="0" applyNumberFormat="1" applyFont="1" applyFill="1" applyBorder="1" applyAlignment="1">
      <alignment horizontal="left" vertical="center" wrapText="1"/>
    </xf>
    <xf numFmtId="0" fontId="41" fillId="7" borderId="6" xfId="0" applyFont="1" applyFill="1" applyBorder="1" applyAlignment="1">
      <alignment horizontal="center" vertical="center" wrapText="1"/>
    </xf>
    <xf numFmtId="0" fontId="41" fillId="7" borderId="3" xfId="0" applyFont="1" applyFill="1" applyBorder="1" applyAlignment="1">
      <alignment horizontal="left" vertical="center" wrapText="1"/>
    </xf>
    <xf numFmtId="0" fontId="40" fillId="7" borderId="3" xfId="0" applyFont="1" applyFill="1" applyBorder="1" applyAlignment="1">
      <alignment horizontal="center" vertical="center" wrapText="1"/>
    </xf>
    <xf numFmtId="165" fontId="41" fillId="7" borderId="3" xfId="1" applyNumberFormat="1" applyFont="1" applyFill="1" applyBorder="1" applyAlignment="1">
      <alignment horizontal="left" vertical="center" wrapText="1"/>
    </xf>
    <xf numFmtId="164" fontId="41" fillId="7" borderId="3" xfId="1" applyFont="1" applyFill="1" applyBorder="1" applyAlignment="1">
      <alignment horizontal="right" vertical="center" wrapText="1"/>
    </xf>
    <xf numFmtId="0" fontId="40" fillId="7" borderId="7" xfId="0" applyFont="1" applyFill="1" applyBorder="1" applyAlignment="1">
      <alignment horizontal="left" vertical="center" wrapText="1"/>
    </xf>
    <xf numFmtId="0" fontId="41" fillId="8" borderId="6" xfId="0" applyFont="1" applyFill="1" applyBorder="1" applyAlignment="1">
      <alignment horizontal="center" vertical="center" wrapText="1"/>
    </xf>
    <xf numFmtId="0" fontId="41" fillId="8" borderId="3" xfId="0" applyFont="1" applyFill="1" applyBorder="1" applyAlignment="1">
      <alignment horizontal="left" vertical="center" wrapText="1"/>
    </xf>
    <xf numFmtId="0" fontId="40" fillId="8" borderId="3" xfId="0" applyFont="1" applyFill="1" applyBorder="1" applyAlignment="1">
      <alignment horizontal="center" vertical="center" wrapText="1"/>
    </xf>
    <xf numFmtId="165" fontId="41" fillId="8" borderId="3" xfId="1" applyNumberFormat="1" applyFont="1" applyFill="1" applyBorder="1" applyAlignment="1">
      <alignment horizontal="right" vertical="center" wrapText="1"/>
    </xf>
    <xf numFmtId="164" fontId="41" fillId="8" borderId="3" xfId="1" applyFont="1" applyFill="1" applyBorder="1" applyAlignment="1">
      <alignment horizontal="right" vertical="center" wrapText="1"/>
    </xf>
    <xf numFmtId="0" fontId="40" fillId="8" borderId="7" xfId="0" applyFont="1" applyFill="1" applyBorder="1" applyAlignment="1">
      <alignment horizontal="left" vertical="center" wrapText="1"/>
    </xf>
    <xf numFmtId="0" fontId="42" fillId="0" borderId="6" xfId="0" applyFont="1" applyBorder="1" applyAlignment="1">
      <alignment horizontal="center" vertical="center" wrapText="1"/>
    </xf>
    <xf numFmtId="0" fontId="42" fillId="0" borderId="3" xfId="0" applyFont="1" applyBorder="1" applyAlignment="1">
      <alignment horizontal="left" vertical="center" wrapText="1"/>
    </xf>
    <xf numFmtId="165" fontId="44" fillId="0" borderId="3" xfId="1" applyNumberFormat="1" applyFont="1" applyFill="1" applyBorder="1" applyAlignment="1">
      <alignment horizontal="left" vertical="center" wrapText="1"/>
    </xf>
    <xf numFmtId="165" fontId="44" fillId="0" borderId="3" xfId="1" applyNumberFormat="1" applyFont="1" applyFill="1" applyBorder="1" applyAlignment="1">
      <alignment horizontal="right" vertical="center" wrapText="1"/>
    </xf>
    <xf numFmtId="0" fontId="44" fillId="0" borderId="7" xfId="0" applyFont="1" applyBorder="1" applyAlignment="1">
      <alignment horizontal="left" vertical="center" wrapText="1"/>
    </xf>
    <xf numFmtId="165" fontId="42" fillId="0" borderId="3" xfId="1" applyNumberFormat="1" applyFont="1" applyFill="1" applyBorder="1" applyAlignment="1">
      <alignment horizontal="left" vertical="center" wrapText="1"/>
    </xf>
    <xf numFmtId="164" fontId="42" fillId="0" borderId="3" xfId="1" applyFont="1" applyFill="1" applyBorder="1" applyAlignment="1">
      <alignment horizontal="right" vertical="center" wrapText="1"/>
    </xf>
    <xf numFmtId="0" fontId="42" fillId="0" borderId="7" xfId="0" applyFont="1" applyBorder="1" applyAlignment="1">
      <alignment horizontal="left" vertical="center" wrapText="1"/>
    </xf>
    <xf numFmtId="165" fontId="40" fillId="0" borderId="3" xfId="1" applyNumberFormat="1" applyFont="1" applyFill="1" applyBorder="1" applyAlignment="1">
      <alignment horizontal="left" vertical="center" wrapText="1"/>
    </xf>
    <xf numFmtId="0" fontId="40" fillId="0" borderId="7" xfId="0" applyFont="1" applyBorder="1" applyAlignment="1">
      <alignment horizontal="left" vertical="center" wrapText="1"/>
    </xf>
    <xf numFmtId="168" fontId="40" fillId="0" borderId="3" xfId="1" applyNumberFormat="1" applyFont="1" applyFill="1" applyBorder="1" applyAlignment="1">
      <alignment horizontal="right" vertical="center" wrapText="1"/>
    </xf>
    <xf numFmtId="0" fontId="40" fillId="0" borderId="3" xfId="4" quotePrefix="1" applyFont="1" applyBorder="1" applyAlignment="1">
      <alignment horizontal="center" vertical="center" wrapText="1"/>
    </xf>
    <xf numFmtId="165" fontId="41" fillId="8" borderId="3" xfId="1" applyNumberFormat="1" applyFont="1" applyFill="1" applyBorder="1" applyAlignment="1">
      <alignment horizontal="left" vertical="center" wrapText="1"/>
    </xf>
    <xf numFmtId="164" fontId="42" fillId="0" borderId="3" xfId="1" applyFont="1" applyFill="1" applyBorder="1" applyAlignment="1">
      <alignment horizontal="left" vertical="center" wrapText="1"/>
    </xf>
    <xf numFmtId="164" fontId="40" fillId="0" borderId="3" xfId="1" applyFont="1" applyFill="1" applyBorder="1" applyAlignment="1">
      <alignment horizontal="left" vertical="center" wrapText="1"/>
    </xf>
    <xf numFmtId="0" fontId="40" fillId="0" borderId="7" xfId="0" applyFont="1" applyBorder="1" applyAlignment="1">
      <alignment horizontal="center" vertical="center" wrapText="1"/>
    </xf>
    <xf numFmtId="165" fontId="40" fillId="2" borderId="3" xfId="1" applyNumberFormat="1" applyFont="1" applyFill="1" applyBorder="1" applyAlignment="1">
      <alignment horizontal="center" vertical="center" wrapText="1"/>
    </xf>
    <xf numFmtId="0" fontId="41" fillId="9" borderId="6" xfId="0" applyFont="1" applyFill="1" applyBorder="1" applyAlignment="1">
      <alignment horizontal="center" vertical="center" wrapText="1"/>
    </xf>
    <xf numFmtId="0" fontId="41" fillId="9" borderId="3" xfId="0" applyFont="1" applyFill="1" applyBorder="1" applyAlignment="1">
      <alignment horizontal="left" vertical="center" wrapText="1"/>
    </xf>
    <xf numFmtId="0" fontId="40" fillId="9" borderId="3" xfId="0" applyFont="1" applyFill="1" applyBorder="1" applyAlignment="1">
      <alignment horizontal="center" vertical="center" wrapText="1"/>
    </xf>
    <xf numFmtId="165" fontId="41" fillId="9" borderId="3" xfId="1" applyNumberFormat="1" applyFont="1" applyFill="1" applyBorder="1" applyAlignment="1">
      <alignment horizontal="left" vertical="center" wrapText="1"/>
    </xf>
    <xf numFmtId="164" fontId="41" fillId="9" borderId="3" xfId="1" applyFont="1" applyFill="1" applyBorder="1" applyAlignment="1">
      <alignment horizontal="right" vertical="center" wrapText="1"/>
    </xf>
    <xf numFmtId="0" fontId="40" fillId="9" borderId="7" xfId="0" applyFont="1" applyFill="1" applyBorder="1" applyAlignment="1">
      <alignment horizontal="left" vertical="center" wrapText="1"/>
    </xf>
    <xf numFmtId="0" fontId="41" fillId="10" borderId="6" xfId="0" applyFont="1" applyFill="1" applyBorder="1" applyAlignment="1">
      <alignment horizontal="center" vertical="center" wrapText="1"/>
    </xf>
    <xf numFmtId="0" fontId="41" fillId="10" borderId="3" xfId="0" applyFont="1" applyFill="1" applyBorder="1" applyAlignment="1">
      <alignment horizontal="left" vertical="center" wrapText="1"/>
    </xf>
    <xf numFmtId="0" fontId="40" fillId="10" borderId="3" xfId="0" applyFont="1" applyFill="1" applyBorder="1" applyAlignment="1">
      <alignment horizontal="center" vertical="center" wrapText="1"/>
    </xf>
    <xf numFmtId="165" fontId="41" fillId="10" borderId="3" xfId="1" applyNumberFormat="1" applyFont="1" applyFill="1" applyBorder="1" applyAlignment="1">
      <alignment horizontal="left" vertical="center" wrapText="1"/>
    </xf>
    <xf numFmtId="0" fontId="40" fillId="10" borderId="7" xfId="0" applyFont="1" applyFill="1" applyBorder="1" applyAlignment="1">
      <alignment horizontal="left" vertical="center" wrapText="1"/>
    </xf>
    <xf numFmtId="165" fontId="42" fillId="0" borderId="3" xfId="1" applyNumberFormat="1" applyFont="1" applyFill="1" applyBorder="1" applyAlignment="1">
      <alignment horizontal="center" vertical="center" wrapText="1"/>
    </xf>
    <xf numFmtId="165" fontId="42" fillId="0" borderId="3" xfId="1" applyNumberFormat="1" applyFont="1" applyFill="1" applyBorder="1" applyAlignment="1">
      <alignment horizontal="right" vertical="center" wrapText="1"/>
    </xf>
    <xf numFmtId="167" fontId="40" fillId="0" borderId="3" xfId="1" applyNumberFormat="1" applyFont="1" applyFill="1" applyBorder="1" applyAlignment="1">
      <alignment horizontal="center" vertical="center" wrapText="1"/>
    </xf>
    <xf numFmtId="165" fontId="40" fillId="0" borderId="7" xfId="0" applyNumberFormat="1" applyFont="1" applyBorder="1" applyAlignment="1">
      <alignment horizontal="center" vertical="center" wrapText="1"/>
    </xf>
    <xf numFmtId="3" fontId="40" fillId="0" borderId="3" xfId="6" applyNumberFormat="1" applyFont="1" applyBorder="1" applyAlignment="1">
      <alignment horizontal="right" vertical="center" wrapText="1"/>
    </xf>
    <xf numFmtId="3" fontId="40" fillId="0" borderId="3" xfId="7" applyNumberFormat="1" applyFont="1" applyFill="1" applyBorder="1" applyAlignment="1">
      <alignment horizontal="right" vertical="center" wrapText="1"/>
    </xf>
    <xf numFmtId="0" fontId="43" fillId="10" borderId="3" xfId="4" applyFont="1" applyFill="1" applyBorder="1" applyAlignment="1">
      <alignment horizontal="center" vertical="center" wrapText="1"/>
    </xf>
    <xf numFmtId="0" fontId="43" fillId="10" borderId="3" xfId="0" applyFont="1" applyFill="1" applyBorder="1" applyAlignment="1">
      <alignment horizontal="left" vertical="center" wrapText="1"/>
    </xf>
    <xf numFmtId="0" fontId="43" fillId="10" borderId="3" xfId="0" applyFont="1" applyFill="1" applyBorder="1" applyAlignment="1">
      <alignment horizontal="center" vertical="center" wrapText="1"/>
    </xf>
    <xf numFmtId="165" fontId="43" fillId="10" borderId="3" xfId="1" applyNumberFormat="1" applyFont="1" applyFill="1" applyBorder="1" applyAlignment="1">
      <alignment horizontal="right" vertical="center" wrapText="1"/>
    </xf>
    <xf numFmtId="0" fontId="43" fillId="10" borderId="7" xfId="0" applyFont="1" applyFill="1" applyBorder="1" applyAlignment="1">
      <alignment horizontal="left" vertical="center" wrapText="1"/>
    </xf>
    <xf numFmtId="0" fontId="41" fillId="0" borderId="6" xfId="0" applyFont="1" applyBorder="1" applyAlignment="1">
      <alignment horizontal="center" vertical="center" wrapText="1"/>
    </xf>
    <xf numFmtId="0" fontId="41" fillId="0" borderId="3" xfId="0" applyFont="1" applyBorder="1" applyAlignment="1">
      <alignment horizontal="left" vertical="center" wrapText="1"/>
    </xf>
    <xf numFmtId="165" fontId="41" fillId="0" borderId="3" xfId="1" applyNumberFormat="1" applyFont="1" applyFill="1" applyBorder="1" applyAlignment="1">
      <alignment horizontal="left" vertical="center" wrapText="1"/>
    </xf>
    <xf numFmtId="165" fontId="41" fillId="0" borderId="3" xfId="1" applyNumberFormat="1" applyFont="1" applyFill="1" applyBorder="1" applyAlignment="1">
      <alignment horizontal="right" vertical="center" wrapText="1"/>
    </xf>
    <xf numFmtId="0" fontId="41" fillId="2" borderId="3" xfId="0" applyFont="1" applyFill="1" applyBorder="1" applyAlignment="1">
      <alignment horizontal="left" vertical="center" wrapText="1"/>
    </xf>
    <xf numFmtId="164" fontId="41" fillId="2" borderId="3" xfId="1" applyFont="1" applyFill="1" applyBorder="1" applyAlignment="1">
      <alignment horizontal="left" vertical="center" wrapText="1"/>
    </xf>
    <xf numFmtId="0" fontId="43" fillId="2" borderId="3" xfId="0" applyFont="1" applyFill="1" applyBorder="1" applyAlignment="1">
      <alignment horizontal="left" vertical="center" wrapText="1"/>
    </xf>
    <xf numFmtId="0" fontId="43" fillId="0" borderId="3" xfId="0" applyFont="1" applyBorder="1" applyAlignment="1">
      <alignment horizontal="center" vertical="center" wrapText="1"/>
    </xf>
    <xf numFmtId="167" fontId="42" fillId="2" borderId="3" xfId="1" applyNumberFormat="1" applyFont="1" applyFill="1" applyBorder="1" applyAlignment="1">
      <alignment horizontal="left" vertical="center" wrapText="1"/>
    </xf>
    <xf numFmtId="165" fontId="43" fillId="2" borderId="3" xfId="1" applyNumberFormat="1" applyFont="1" applyFill="1" applyBorder="1" applyAlignment="1">
      <alignment horizontal="right" vertical="center" wrapText="1"/>
    </xf>
    <xf numFmtId="0" fontId="43" fillId="2" borderId="7" xfId="0" applyFont="1" applyFill="1" applyBorder="1" applyAlignment="1">
      <alignment horizontal="left" vertical="center" wrapText="1"/>
    </xf>
    <xf numFmtId="167" fontId="40" fillId="2" borderId="3" xfId="1" applyNumberFormat="1" applyFont="1" applyFill="1" applyBorder="1" applyAlignment="1">
      <alignment horizontal="left" vertical="center" wrapText="1"/>
    </xf>
    <xf numFmtId="165" fontId="40" fillId="2" borderId="22" xfId="1" applyNumberFormat="1" applyFont="1" applyFill="1" applyBorder="1" applyAlignment="1">
      <alignment horizontal="left" vertical="center" wrapText="1"/>
    </xf>
    <xf numFmtId="165" fontId="40" fillId="0" borderId="22" xfId="1" applyNumberFormat="1" applyFont="1" applyBorder="1" applyAlignment="1">
      <alignment horizontal="center" vertical="center"/>
    </xf>
    <xf numFmtId="165" fontId="40" fillId="0" borderId="22" xfId="1" applyNumberFormat="1" applyFont="1" applyFill="1" applyBorder="1" applyAlignment="1">
      <alignment horizontal="right" vertical="center" wrapText="1"/>
    </xf>
    <xf numFmtId="165" fontId="40" fillId="2" borderId="22" xfId="1" applyNumberFormat="1" applyFont="1" applyFill="1" applyBorder="1" applyAlignment="1">
      <alignment horizontal="right" vertical="center" wrapText="1"/>
    </xf>
    <xf numFmtId="0" fontId="40" fillId="2" borderId="23" xfId="0" applyFont="1" applyFill="1" applyBorder="1" applyAlignment="1">
      <alignment horizontal="left" vertical="center" wrapText="1"/>
    </xf>
    <xf numFmtId="164" fontId="40" fillId="2" borderId="22" xfId="1" applyFont="1" applyFill="1" applyBorder="1" applyAlignment="1">
      <alignment horizontal="center" vertical="center" wrapText="1"/>
    </xf>
    <xf numFmtId="164" fontId="40" fillId="2" borderId="22" xfId="1" applyFont="1" applyFill="1" applyBorder="1" applyAlignment="1">
      <alignment horizontal="right" vertical="center" wrapText="1"/>
    </xf>
    <xf numFmtId="164" fontId="41" fillId="10" borderId="3" xfId="1" applyFont="1" applyFill="1" applyBorder="1" applyAlignment="1">
      <alignment horizontal="right" vertical="center" wrapText="1"/>
    </xf>
    <xf numFmtId="165" fontId="36" fillId="2" borderId="0" xfId="0" applyNumberFormat="1" applyFont="1" applyFill="1" applyAlignment="1">
      <alignment horizontal="left" vertical="center" wrapText="1"/>
    </xf>
    <xf numFmtId="165" fontId="36" fillId="2" borderId="0" xfId="1" applyNumberFormat="1" applyFont="1" applyFill="1" applyBorder="1" applyAlignment="1">
      <alignment horizontal="left" vertical="center" wrapText="1"/>
    </xf>
    <xf numFmtId="0" fontId="46" fillId="2" borderId="0" xfId="0" applyFont="1" applyFill="1" applyAlignment="1">
      <alignment horizontal="left" vertical="center" wrapText="1"/>
    </xf>
    <xf numFmtId="165" fontId="46" fillId="2" borderId="0" xfId="0" applyNumberFormat="1" applyFont="1" applyFill="1" applyAlignment="1">
      <alignment horizontal="left" vertical="center" wrapText="1"/>
    </xf>
    <xf numFmtId="165" fontId="47" fillId="2" borderId="21" xfId="1" applyNumberFormat="1" applyFont="1" applyFill="1" applyBorder="1" applyAlignment="1">
      <alignment horizontal="right" vertical="center" wrapText="1"/>
    </xf>
    <xf numFmtId="0" fontId="36" fillId="2" borderId="11" xfId="0" applyFont="1" applyFill="1" applyBorder="1" applyAlignment="1">
      <alignment horizontal="left" vertical="center" wrapText="1"/>
    </xf>
    <xf numFmtId="0" fontId="36" fillId="2" borderId="12" xfId="0" applyFont="1" applyFill="1" applyBorder="1" applyAlignment="1">
      <alignment horizontal="left" vertical="center" wrapText="1"/>
    </xf>
    <xf numFmtId="0" fontId="37" fillId="2" borderId="11" xfId="0" applyFont="1" applyFill="1" applyBorder="1" applyAlignment="1">
      <alignment horizontal="left" vertical="center" wrapText="1"/>
    </xf>
    <xf numFmtId="0" fontId="37" fillId="2" borderId="13" xfId="0" applyFont="1" applyFill="1" applyBorder="1" applyAlignment="1">
      <alignment horizontal="left" vertical="center" wrapText="1"/>
    </xf>
    <xf numFmtId="167" fontId="36" fillId="2" borderId="0" xfId="0" applyNumberFormat="1" applyFont="1" applyFill="1" applyAlignment="1">
      <alignment horizontal="left" vertical="center" wrapText="1"/>
    </xf>
    <xf numFmtId="165" fontId="37" fillId="2" borderId="0" xfId="0" applyNumberFormat="1" applyFont="1" applyFill="1" applyAlignment="1">
      <alignment horizontal="left" vertical="center" wrapText="1"/>
    </xf>
    <xf numFmtId="165" fontId="38" fillId="2" borderId="0" xfId="0" applyNumberFormat="1" applyFont="1" applyFill="1" applyAlignment="1">
      <alignment horizontal="left" vertical="center" wrapText="1"/>
    </xf>
    <xf numFmtId="0" fontId="38" fillId="2" borderId="0" xfId="0" applyFont="1" applyFill="1" applyAlignment="1">
      <alignment horizontal="center" vertical="center" wrapText="1"/>
    </xf>
    <xf numFmtId="165" fontId="44" fillId="0" borderId="36" xfId="1" applyNumberFormat="1" applyFont="1" applyFill="1" applyBorder="1" applyAlignment="1">
      <alignment horizontal="right" vertical="center" wrapText="1"/>
    </xf>
    <xf numFmtId="164" fontId="40" fillId="0" borderId="36" xfId="1" applyFont="1" applyFill="1" applyBorder="1" applyAlignment="1">
      <alignment horizontal="right" vertical="center" wrapText="1"/>
    </xf>
    <xf numFmtId="165" fontId="40" fillId="0" borderId="36" xfId="1" applyNumberFormat="1" applyFont="1" applyFill="1" applyBorder="1" applyAlignment="1">
      <alignment horizontal="right" vertical="center" wrapText="1"/>
    </xf>
    <xf numFmtId="4" fontId="4" fillId="0" borderId="0" xfId="0" applyNumberFormat="1" applyFont="1" applyAlignment="1">
      <alignment horizontal="right" vertical="center" wrapText="1"/>
    </xf>
    <xf numFmtId="0" fontId="27" fillId="2" borderId="10" xfId="0" applyFont="1" applyFill="1" applyBorder="1" applyAlignment="1">
      <alignment vertical="center" wrapText="1"/>
    </xf>
    <xf numFmtId="0" fontId="40" fillId="0" borderId="0" xfId="0" applyFont="1" applyAlignment="1">
      <alignment horizontal="center" vertical="center" wrapText="1"/>
    </xf>
    <xf numFmtId="0" fontId="40" fillId="0" borderId="0" xfId="0" applyFont="1" applyAlignment="1">
      <alignment horizontal="left" vertical="center" wrapText="1"/>
    </xf>
    <xf numFmtId="0" fontId="40" fillId="0" borderId="0" xfId="4" applyFont="1" applyAlignment="1">
      <alignment horizontal="center" vertical="center" wrapText="1"/>
    </xf>
    <xf numFmtId="0" fontId="40" fillId="0" borderId="0" xfId="4" quotePrefix="1" applyFont="1" applyAlignment="1">
      <alignment horizontal="center" vertical="center" wrapText="1"/>
    </xf>
    <xf numFmtId="165" fontId="40" fillId="0" borderId="0" xfId="1" applyNumberFormat="1" applyFont="1" applyFill="1" applyBorder="1" applyAlignment="1">
      <alignment horizontal="left" vertical="center" wrapText="1"/>
    </xf>
    <xf numFmtId="165" fontId="40" fillId="0" borderId="0" xfId="1" applyNumberFormat="1" applyFont="1" applyFill="1" applyBorder="1" applyAlignment="1">
      <alignment horizontal="right" vertical="center" wrapText="1"/>
    </xf>
    <xf numFmtId="165" fontId="47" fillId="2" borderId="0" xfId="1" applyNumberFormat="1" applyFont="1" applyFill="1" applyBorder="1" applyAlignment="1">
      <alignment horizontal="right" vertical="center" wrapText="1"/>
    </xf>
    <xf numFmtId="0" fontId="40" fillId="0" borderId="33" xfId="0" applyFont="1" applyBorder="1" applyAlignment="1">
      <alignment horizontal="center" vertical="center" wrapText="1"/>
    </xf>
    <xf numFmtId="0" fontId="40" fillId="0" borderId="34" xfId="0" applyFont="1" applyBorder="1" applyAlignment="1">
      <alignment horizontal="left" vertical="center" wrapText="1"/>
    </xf>
    <xf numFmtId="0" fontId="40" fillId="0" borderId="34" xfId="4" applyFont="1" applyBorder="1" applyAlignment="1">
      <alignment horizontal="center" vertical="center" wrapText="1"/>
    </xf>
    <xf numFmtId="0" fontId="40" fillId="0" borderId="34" xfId="4" quotePrefix="1" applyFont="1" applyBorder="1" applyAlignment="1">
      <alignment horizontal="center" vertical="center" wrapText="1"/>
    </xf>
    <xf numFmtId="165" fontId="40" fillId="0" borderId="34" xfId="1" applyNumberFormat="1" applyFont="1" applyFill="1" applyBorder="1" applyAlignment="1">
      <alignment horizontal="left" vertical="center" wrapText="1"/>
    </xf>
    <xf numFmtId="165" fontId="40" fillId="0" borderId="34" xfId="1" applyNumberFormat="1" applyFont="1" applyFill="1" applyBorder="1" applyAlignment="1">
      <alignment horizontal="right" vertical="center" wrapText="1"/>
    </xf>
    <xf numFmtId="0" fontId="40" fillId="0" borderId="35" xfId="0" applyFont="1" applyBorder="1" applyAlignment="1">
      <alignment horizontal="left" vertical="center" wrapText="1"/>
    </xf>
    <xf numFmtId="0" fontId="6" fillId="0" borderId="14" xfId="0" applyFont="1" applyBorder="1" applyAlignment="1">
      <alignment vertical="center" wrapText="1"/>
    </xf>
    <xf numFmtId="0" fontId="40" fillId="2" borderId="0" xfId="0" applyFont="1" applyFill="1" applyAlignment="1">
      <alignment horizontal="center" vertical="center" wrapText="1"/>
    </xf>
    <xf numFmtId="0" fontId="41" fillId="0" borderId="0" xfId="0" applyFont="1" applyAlignment="1">
      <alignment horizontal="left" vertical="center" wrapText="1"/>
    </xf>
    <xf numFmtId="165" fontId="40" fillId="0" borderId="0" xfId="1" applyNumberFormat="1" applyFont="1" applyFill="1" applyBorder="1" applyAlignment="1">
      <alignment horizontal="center" vertical="center" wrapText="1"/>
    </xf>
    <xf numFmtId="165" fontId="40" fillId="0" borderId="0" xfId="0" applyNumberFormat="1" applyFont="1" applyAlignment="1">
      <alignment horizontal="left" vertical="center" wrapText="1"/>
    </xf>
    <xf numFmtId="0" fontId="48" fillId="2" borderId="0" xfId="0" applyFont="1" applyFill="1" applyAlignment="1">
      <alignment horizontal="left" vertical="center" wrapText="1"/>
    </xf>
    <xf numFmtId="165" fontId="48" fillId="2" borderId="0" xfId="0" applyNumberFormat="1" applyFont="1" applyFill="1" applyAlignment="1">
      <alignment horizontal="left" vertical="center" wrapText="1"/>
    </xf>
    <xf numFmtId="165" fontId="47" fillId="2" borderId="0" xfId="0" applyNumberFormat="1" applyFont="1" applyFill="1" applyAlignment="1">
      <alignment horizontal="left" vertical="center" wrapText="1"/>
    </xf>
    <xf numFmtId="0" fontId="47" fillId="2" borderId="0" xfId="0" applyFont="1" applyFill="1" applyAlignment="1">
      <alignment horizontal="left" vertical="center" wrapText="1"/>
    </xf>
    <xf numFmtId="165" fontId="40" fillId="0" borderId="3" xfId="3" applyNumberFormat="1" applyFont="1" applyFill="1" applyBorder="1" applyAlignment="1">
      <alignment horizontal="left" vertical="center" wrapText="1"/>
    </xf>
    <xf numFmtId="1" fontId="40" fillId="0" borderId="3" xfId="2" applyNumberFormat="1" applyFont="1" applyBorder="1" applyAlignment="1">
      <alignment horizontal="center" vertical="center" wrapText="1"/>
    </xf>
    <xf numFmtId="0" fontId="39" fillId="0" borderId="0" xfId="0" applyFont="1" applyAlignment="1">
      <alignment horizontal="left" vertical="center" wrapText="1"/>
    </xf>
    <xf numFmtId="0" fontId="39" fillId="2" borderId="0" xfId="0" applyFont="1" applyFill="1" applyAlignment="1">
      <alignment horizontal="center" vertical="center" wrapText="1"/>
    </xf>
    <xf numFmtId="165" fontId="29" fillId="2" borderId="0" xfId="0" applyNumberFormat="1" applyFont="1" applyFill="1" applyAlignment="1">
      <alignment horizontal="left" vertical="center" wrapText="1"/>
    </xf>
    <xf numFmtId="165" fontId="41" fillId="2" borderId="3" xfId="1" applyNumberFormat="1" applyFont="1" applyFill="1" applyBorder="1" applyAlignment="1">
      <alignment horizontal="left" vertical="center" wrapText="1"/>
    </xf>
    <xf numFmtId="0" fontId="50" fillId="0" borderId="0" xfId="0" applyFont="1" applyAlignment="1">
      <alignment horizontal="left" vertical="center" wrapText="1"/>
    </xf>
    <xf numFmtId="0" fontId="50" fillId="2" borderId="0" xfId="0" applyFont="1" applyFill="1" applyAlignment="1">
      <alignment horizontal="center" vertical="center" wrapText="1"/>
    </xf>
    <xf numFmtId="0" fontId="51" fillId="2" borderId="0" xfId="0" applyFont="1" applyFill="1" applyAlignment="1">
      <alignment horizontal="left" vertical="center" wrapText="1"/>
    </xf>
    <xf numFmtId="165" fontId="51" fillId="2" borderId="0" xfId="0" applyNumberFormat="1" applyFont="1" applyFill="1" applyAlignment="1">
      <alignment horizontal="left" vertical="center" wrapText="1"/>
    </xf>
    <xf numFmtId="0" fontId="52" fillId="0" borderId="6" xfId="0" applyFont="1" applyBorder="1" applyAlignment="1">
      <alignment horizontal="center" vertical="center" wrapText="1"/>
    </xf>
    <xf numFmtId="49" fontId="52" fillId="0" borderId="3" xfId="12" applyNumberFormat="1" applyFont="1" applyBorder="1" applyAlignment="1">
      <alignment horizontal="left" vertical="center" wrapText="1"/>
    </xf>
    <xf numFmtId="49" fontId="52" fillId="0" borderId="3" xfId="0" applyNumberFormat="1" applyFont="1" applyBorder="1" applyAlignment="1">
      <alignment horizontal="center" vertical="center" wrapText="1"/>
    </xf>
    <xf numFmtId="1" fontId="52" fillId="0" borderId="3" xfId="2" applyNumberFormat="1" applyFont="1" applyBorder="1" applyAlignment="1">
      <alignment horizontal="center" vertical="center" wrapText="1"/>
    </xf>
    <xf numFmtId="165" fontId="52" fillId="0" borderId="3" xfId="0" applyNumberFormat="1" applyFont="1" applyBorder="1" applyAlignment="1">
      <alignment horizontal="center" vertical="center"/>
    </xf>
    <xf numFmtId="165" fontId="52" fillId="0" borderId="3" xfId="1" applyNumberFormat="1" applyFont="1" applyFill="1" applyBorder="1" applyAlignment="1">
      <alignment horizontal="left" vertical="center" wrapText="1"/>
    </xf>
    <xf numFmtId="165" fontId="52" fillId="0" borderId="3" xfId="1" applyNumberFormat="1" applyFont="1" applyFill="1" applyBorder="1" applyAlignment="1">
      <alignment horizontal="right" vertical="center" wrapText="1"/>
    </xf>
    <xf numFmtId="167" fontId="52" fillId="0" borderId="3" xfId="1" applyNumberFormat="1" applyFont="1" applyFill="1" applyBorder="1" applyAlignment="1">
      <alignment horizontal="right" vertical="center" wrapText="1"/>
    </xf>
    <xf numFmtId="0" fontId="52" fillId="0" borderId="7" xfId="0" applyFont="1" applyBorder="1" applyAlignment="1">
      <alignment horizontal="left" vertical="center" wrapText="1"/>
    </xf>
    <xf numFmtId="0" fontId="53" fillId="0" borderId="0" xfId="0" applyFont="1" applyAlignment="1">
      <alignment horizontal="left" vertical="center" wrapText="1"/>
    </xf>
    <xf numFmtId="0" fontId="53" fillId="2" borderId="0" xfId="0" applyFont="1" applyFill="1" applyAlignment="1">
      <alignment horizontal="center" vertical="center" wrapText="1"/>
    </xf>
    <xf numFmtId="49" fontId="53" fillId="0" borderId="0" xfId="12" applyNumberFormat="1" applyFont="1" applyAlignment="1">
      <alignment horizontal="center" vertical="center" wrapText="1"/>
    </xf>
    <xf numFmtId="167" fontId="54" fillId="0" borderId="0" xfId="1" applyNumberFormat="1" applyFont="1" applyFill="1" applyBorder="1" applyAlignment="1">
      <alignment horizontal="left" vertical="center" wrapText="1"/>
    </xf>
    <xf numFmtId="0" fontId="54" fillId="0" borderId="0" xfId="0" applyFont="1" applyAlignment="1">
      <alignment horizontal="left" vertical="center" wrapText="1"/>
    </xf>
    <xf numFmtId="0" fontId="54" fillId="2" borderId="0" xfId="0" applyFont="1" applyFill="1" applyAlignment="1">
      <alignment horizontal="left" vertical="center" wrapText="1"/>
    </xf>
    <xf numFmtId="165" fontId="54" fillId="2" borderId="0" xfId="0" applyNumberFormat="1" applyFont="1" applyFill="1" applyAlignment="1">
      <alignment horizontal="left" vertical="center" wrapText="1"/>
    </xf>
    <xf numFmtId="49" fontId="52" fillId="0" borderId="3" xfId="12" applyNumberFormat="1" applyFont="1" applyBorder="1" applyAlignment="1">
      <alignment horizontal="center" vertical="center" wrapText="1"/>
    </xf>
    <xf numFmtId="0" fontId="52" fillId="0" borderId="3" xfId="0" applyFont="1" applyBorder="1" applyAlignment="1">
      <alignment horizontal="center" vertical="center" wrapText="1"/>
    </xf>
    <xf numFmtId="49" fontId="52" fillId="0" borderId="3" xfId="0" applyNumberFormat="1" applyFont="1" applyBorder="1" applyAlignment="1">
      <alignment horizontal="left" vertical="center" wrapText="1"/>
    </xf>
    <xf numFmtId="165" fontId="52" fillId="0" borderId="3" xfId="3" applyNumberFormat="1" applyFont="1" applyFill="1" applyBorder="1" applyAlignment="1">
      <alignment horizontal="left" vertical="center" wrapText="1"/>
    </xf>
    <xf numFmtId="0" fontId="52" fillId="0" borderId="3" xfId="4" applyFont="1" applyBorder="1" applyAlignment="1">
      <alignment horizontal="center" vertical="center" wrapText="1"/>
    </xf>
    <xf numFmtId="168" fontId="40" fillId="0" borderId="3" xfId="1" applyNumberFormat="1" applyFont="1" applyFill="1" applyBorder="1" applyAlignment="1">
      <alignment horizontal="left" vertical="center" wrapText="1"/>
    </xf>
    <xf numFmtId="165" fontId="55" fillId="0" borderId="3" xfId="3" applyNumberFormat="1" applyFont="1" applyFill="1" applyBorder="1" applyAlignment="1">
      <alignment horizontal="left" vertical="center" wrapText="1"/>
    </xf>
    <xf numFmtId="165" fontId="55" fillId="0" borderId="3" xfId="1" applyNumberFormat="1" applyFont="1" applyFill="1" applyBorder="1" applyAlignment="1">
      <alignment horizontal="left" vertical="center" wrapText="1"/>
    </xf>
    <xf numFmtId="3" fontId="40" fillId="0" borderId="0" xfId="13" applyNumberFormat="1" applyFont="1" applyFill="1" applyBorder="1" applyAlignment="1">
      <alignment horizontal="center" vertical="center" wrapText="1"/>
    </xf>
    <xf numFmtId="164" fontId="40" fillId="2" borderId="0" xfId="1" applyFont="1" applyFill="1" applyBorder="1" applyAlignment="1">
      <alignment horizontal="center" vertical="center" wrapText="1"/>
    </xf>
    <xf numFmtId="0" fontId="40" fillId="2" borderId="0" xfId="0" applyFont="1" applyFill="1" applyAlignment="1">
      <alignment horizontal="left" vertical="center" wrapText="1"/>
    </xf>
    <xf numFmtId="164" fontId="40" fillId="2" borderId="0" xfId="0" applyNumberFormat="1" applyFont="1" applyFill="1" applyAlignment="1">
      <alignment horizontal="left" vertical="center" wrapText="1"/>
    </xf>
    <xf numFmtId="165" fontId="40" fillId="2" borderId="0" xfId="0" applyNumberFormat="1" applyFont="1" applyFill="1" applyAlignment="1">
      <alignment horizontal="left" vertical="center" wrapText="1"/>
    </xf>
    <xf numFmtId="3" fontId="39" fillId="0" borderId="0" xfId="14" applyNumberFormat="1" applyFont="1" applyFill="1" applyBorder="1" applyAlignment="1">
      <alignment horizontal="center" vertical="center" wrapText="1"/>
    </xf>
    <xf numFmtId="164" fontId="29" fillId="2" borderId="0" xfId="1" applyFont="1" applyFill="1" applyBorder="1" applyAlignment="1">
      <alignment horizontal="center" vertical="center" wrapText="1"/>
    </xf>
    <xf numFmtId="164" fontId="29" fillId="2" borderId="0" xfId="0" applyNumberFormat="1" applyFont="1" applyFill="1" applyAlignment="1">
      <alignment horizontal="left" vertical="center" wrapText="1"/>
    </xf>
    <xf numFmtId="3" fontId="50" fillId="0" borderId="0" xfId="14" applyNumberFormat="1" applyFont="1" applyFill="1" applyBorder="1" applyAlignment="1">
      <alignment horizontal="center" vertical="center" wrapText="1"/>
    </xf>
    <xf numFmtId="164" fontId="51" fillId="2" borderId="0" xfId="1" applyFont="1" applyFill="1" applyBorder="1" applyAlignment="1">
      <alignment horizontal="center" vertical="center" wrapText="1"/>
    </xf>
    <xf numFmtId="164" fontId="51" fillId="2" borderId="0" xfId="0" applyNumberFormat="1" applyFont="1" applyFill="1" applyAlignment="1">
      <alignment horizontal="left" vertical="center" wrapText="1"/>
    </xf>
    <xf numFmtId="3" fontId="40" fillId="0" borderId="3" xfId="2" quotePrefix="1" applyNumberFormat="1" applyFont="1" applyBorder="1" applyAlignment="1">
      <alignment horizontal="center" vertical="center" wrapText="1"/>
    </xf>
    <xf numFmtId="165" fontId="50" fillId="0" borderId="0" xfId="1" quotePrefix="1" applyNumberFormat="1" applyFont="1" applyFill="1" applyBorder="1" applyAlignment="1">
      <alignment horizontal="center" vertical="center" wrapText="1"/>
    </xf>
    <xf numFmtId="165" fontId="36" fillId="0" borderId="0" xfId="1" applyNumberFormat="1" applyFont="1" applyFill="1" applyBorder="1" applyAlignment="1">
      <alignment horizontal="left" vertical="center" wrapText="1"/>
    </xf>
    <xf numFmtId="0" fontId="40" fillId="0" borderId="38" xfId="0" applyFont="1" applyBorder="1" applyAlignment="1">
      <alignment horizontal="left" vertical="center" wrapText="1"/>
    </xf>
    <xf numFmtId="0" fontId="41" fillId="0" borderId="39" xfId="0" applyFont="1" applyBorder="1" applyAlignment="1">
      <alignment horizontal="center" vertical="center" wrapText="1"/>
    </xf>
    <xf numFmtId="0" fontId="40" fillId="0" borderId="39" xfId="0" applyFont="1" applyBorder="1" applyAlignment="1">
      <alignment horizontal="left" vertical="center" wrapText="1"/>
    </xf>
    <xf numFmtId="165" fontId="41" fillId="0" borderId="39" xfId="1" applyNumberFormat="1" applyFont="1" applyFill="1" applyBorder="1" applyAlignment="1">
      <alignment horizontal="left" vertical="center" wrapText="1"/>
    </xf>
    <xf numFmtId="164" fontId="41" fillId="0" borderId="39" xfId="1" applyFont="1" applyFill="1" applyBorder="1" applyAlignment="1">
      <alignment horizontal="right" vertical="center" wrapText="1"/>
    </xf>
    <xf numFmtId="165" fontId="41" fillId="0" borderId="40" xfId="0" applyNumberFormat="1" applyFont="1" applyBorder="1" applyAlignment="1">
      <alignment horizontal="left" vertical="center" wrapText="1"/>
    </xf>
    <xf numFmtId="0" fontId="40" fillId="2" borderId="38" xfId="0" applyFont="1" applyFill="1" applyBorder="1" applyAlignment="1">
      <alignment horizontal="center" vertical="center" wrapText="1"/>
    </xf>
    <xf numFmtId="0" fontId="40" fillId="2" borderId="39" xfId="0" applyFont="1" applyFill="1" applyBorder="1" applyAlignment="1">
      <alignment horizontal="left" vertical="center" wrapText="1"/>
    </xf>
    <xf numFmtId="165" fontId="40" fillId="2" borderId="39" xfId="1" applyNumberFormat="1" applyFont="1" applyFill="1" applyBorder="1" applyAlignment="1">
      <alignment horizontal="right" vertical="center" wrapText="1"/>
    </xf>
    <xf numFmtId="165" fontId="40" fillId="0" borderId="39" xfId="1" applyNumberFormat="1" applyFont="1" applyFill="1" applyBorder="1" applyAlignment="1">
      <alignment horizontal="right" vertical="center" wrapText="1"/>
    </xf>
    <xf numFmtId="164" fontId="40" fillId="2" borderId="39" xfId="1" applyFont="1" applyFill="1" applyBorder="1" applyAlignment="1">
      <alignment horizontal="right" vertical="center" wrapText="1"/>
    </xf>
    <xf numFmtId="165" fontId="40" fillId="0" borderId="40" xfId="5" applyNumberFormat="1" applyFont="1" applyFill="1" applyBorder="1" applyAlignment="1">
      <alignment horizontal="center" vertical="center"/>
    </xf>
    <xf numFmtId="0" fontId="41" fillId="8" borderId="38" xfId="0" applyFont="1" applyFill="1" applyBorder="1" applyAlignment="1">
      <alignment horizontal="center" vertical="center" wrapText="1"/>
    </xf>
    <xf numFmtId="0" fontId="41" fillId="8" borderId="39" xfId="0" applyFont="1" applyFill="1" applyBorder="1" applyAlignment="1">
      <alignment horizontal="left" vertical="center" wrapText="1"/>
    </xf>
    <xf numFmtId="0" fontId="40" fillId="8" borderId="39" xfId="0" applyFont="1" applyFill="1" applyBorder="1" applyAlignment="1">
      <alignment horizontal="center" vertical="center" wrapText="1"/>
    </xf>
    <xf numFmtId="165" fontId="41" fillId="8" borderId="39" xfId="1" applyNumberFormat="1" applyFont="1" applyFill="1" applyBorder="1" applyAlignment="1">
      <alignment horizontal="left" vertical="center" wrapText="1"/>
    </xf>
    <xf numFmtId="164" fontId="41" fillId="8" borderId="39" xfId="1" applyFont="1" applyFill="1" applyBorder="1" applyAlignment="1">
      <alignment horizontal="left" vertical="center" wrapText="1"/>
    </xf>
    <xf numFmtId="0" fontId="40" fillId="8" borderId="40" xfId="0" applyFont="1" applyFill="1" applyBorder="1" applyAlignment="1">
      <alignment horizontal="left" vertical="center" wrapText="1"/>
    </xf>
    <xf numFmtId="0" fontId="41" fillId="3" borderId="38" xfId="0" applyFont="1" applyFill="1" applyBorder="1" applyAlignment="1">
      <alignment horizontal="center" vertical="center" wrapText="1"/>
    </xf>
    <xf numFmtId="0" fontId="41" fillId="3" borderId="39" xfId="0" applyFont="1" applyFill="1" applyBorder="1" applyAlignment="1">
      <alignment horizontal="left" vertical="center" wrapText="1"/>
    </xf>
    <xf numFmtId="0" fontId="41" fillId="3" borderId="39" xfId="4" applyFont="1" applyFill="1" applyBorder="1" applyAlignment="1">
      <alignment horizontal="center" vertical="center" wrapText="1"/>
    </xf>
    <xf numFmtId="0" fontId="41" fillId="3" borderId="39" xfId="0" applyFont="1" applyFill="1" applyBorder="1" applyAlignment="1">
      <alignment horizontal="center" vertical="center" wrapText="1"/>
    </xf>
    <xf numFmtId="165" fontId="41" fillId="3" borderId="39" xfId="1" applyNumberFormat="1" applyFont="1" applyFill="1" applyBorder="1" applyAlignment="1">
      <alignment horizontal="left" vertical="center" wrapText="1"/>
    </xf>
    <xf numFmtId="168" fontId="41" fillId="3" borderId="39" xfId="1" applyNumberFormat="1" applyFont="1" applyFill="1" applyBorder="1" applyAlignment="1">
      <alignment horizontal="right" vertical="center" wrapText="1"/>
    </xf>
    <xf numFmtId="0" fontId="41" fillId="3" borderId="40" xfId="0" applyFont="1" applyFill="1" applyBorder="1" applyAlignment="1">
      <alignment horizontal="left" vertical="center" wrapText="1"/>
    </xf>
    <xf numFmtId="0" fontId="42" fillId="2" borderId="38" xfId="0" applyFont="1" applyFill="1" applyBorder="1" applyAlignment="1">
      <alignment horizontal="center" vertical="center" wrapText="1"/>
    </xf>
    <xf numFmtId="0" fontId="42" fillId="2" borderId="39" xfId="0" applyFont="1" applyFill="1" applyBorder="1" applyAlignment="1">
      <alignment horizontal="left" vertical="center" wrapText="1"/>
    </xf>
    <xf numFmtId="0" fontId="42" fillId="0" borderId="39" xfId="4" applyFont="1" applyBorder="1" applyAlignment="1">
      <alignment horizontal="center" vertical="center" wrapText="1"/>
    </xf>
    <xf numFmtId="0" fontId="42" fillId="0" borderId="39" xfId="0" applyFont="1" applyBorder="1" applyAlignment="1">
      <alignment horizontal="center" vertical="center" wrapText="1"/>
    </xf>
    <xf numFmtId="0" fontId="42" fillId="2" borderId="39" xfId="0" applyFont="1" applyFill="1" applyBorder="1" applyAlignment="1">
      <alignment horizontal="center" vertical="center" wrapText="1"/>
    </xf>
    <xf numFmtId="165" fontId="42" fillId="2" borderId="39" xfId="1" applyNumberFormat="1" applyFont="1" applyFill="1" applyBorder="1" applyAlignment="1">
      <alignment horizontal="left" vertical="center" wrapText="1"/>
    </xf>
    <xf numFmtId="165" fontId="42" fillId="2" borderId="39" xfId="1" applyNumberFormat="1" applyFont="1" applyFill="1" applyBorder="1" applyAlignment="1">
      <alignment horizontal="right" vertical="center" wrapText="1"/>
    </xf>
    <xf numFmtId="0" fontId="42" fillId="2" borderId="40" xfId="0" applyFont="1" applyFill="1" applyBorder="1" applyAlignment="1">
      <alignment horizontal="left" vertical="center" wrapText="1"/>
    </xf>
    <xf numFmtId="0" fontId="40" fillId="0" borderId="38" xfId="0" applyFont="1" applyBorder="1" applyAlignment="1">
      <alignment horizontal="center" vertical="center" wrapText="1"/>
    </xf>
    <xf numFmtId="49" fontId="40" fillId="0" borderId="39" xfId="8" applyNumberFormat="1" applyFont="1" applyBorder="1" applyAlignment="1">
      <alignment horizontal="left" vertical="center" wrapText="1"/>
    </xf>
    <xf numFmtId="0" fontId="40" fillId="0" borderId="39" xfId="4" applyFont="1" applyBorder="1" applyAlignment="1">
      <alignment horizontal="center" vertical="center" wrapText="1"/>
    </xf>
    <xf numFmtId="0" fontId="40" fillId="2" borderId="39" xfId="0" applyFont="1" applyFill="1" applyBorder="1" applyAlignment="1">
      <alignment horizontal="center" vertical="center" wrapText="1"/>
    </xf>
    <xf numFmtId="49" fontId="40" fillId="0" borderId="39" xfId="0" applyNumberFormat="1" applyFont="1" applyBorder="1" applyAlignment="1">
      <alignment horizontal="center" vertical="center" wrapText="1"/>
    </xf>
    <xf numFmtId="165" fontId="40" fillId="0" borderId="39" xfId="0" applyNumberFormat="1" applyFont="1" applyBorder="1" applyAlignment="1">
      <alignment horizontal="center" vertical="center"/>
    </xf>
    <xf numFmtId="165" fontId="40" fillId="0" borderId="39" xfId="1" applyNumberFormat="1" applyFont="1" applyFill="1" applyBorder="1" applyAlignment="1">
      <alignment horizontal="center" vertical="center"/>
    </xf>
    <xf numFmtId="3" fontId="40" fillId="0" borderId="39" xfId="2" quotePrefix="1" applyNumberFormat="1" applyFont="1" applyBorder="1" applyAlignment="1">
      <alignment vertical="center" wrapText="1"/>
    </xf>
    <xf numFmtId="165" fontId="40" fillId="0" borderId="39" xfId="1" applyNumberFormat="1" applyFont="1" applyFill="1" applyBorder="1" applyAlignment="1">
      <alignment horizontal="center" vertical="center" wrapText="1"/>
    </xf>
    <xf numFmtId="0" fontId="40" fillId="2" borderId="40" xfId="0" applyFont="1" applyFill="1" applyBorder="1" applyAlignment="1">
      <alignment horizontal="left" vertical="center" wrapText="1"/>
    </xf>
    <xf numFmtId="49" fontId="42" fillId="0" borderId="38" xfId="2" applyNumberFormat="1" applyFont="1" applyBorder="1" applyAlignment="1">
      <alignment horizontal="center" vertical="center" wrapText="1"/>
    </xf>
    <xf numFmtId="0" fontId="42" fillId="0" borderId="39" xfId="0" applyFont="1" applyBorder="1" applyAlignment="1">
      <alignment vertical="center" wrapText="1"/>
    </xf>
    <xf numFmtId="165" fontId="42" fillId="0" borderId="39" xfId="0" applyNumberFormat="1" applyFont="1" applyBorder="1" applyAlignment="1">
      <alignment horizontal="center" vertical="center"/>
    </xf>
    <xf numFmtId="164" fontId="40" fillId="0" borderId="39" xfId="1" applyFont="1" applyFill="1" applyBorder="1" applyAlignment="1">
      <alignment horizontal="right" vertical="center" wrapText="1"/>
    </xf>
    <xf numFmtId="164" fontId="40" fillId="0" borderId="39" xfId="1" quotePrefix="1" applyFont="1" applyFill="1" applyBorder="1" applyAlignment="1">
      <alignment vertical="center" wrapText="1"/>
    </xf>
    <xf numFmtId="49" fontId="4" fillId="0" borderId="39" xfId="0" applyNumberFormat="1" applyFont="1" applyBorder="1" applyAlignment="1">
      <alignment horizontal="left" vertical="center" wrapText="1"/>
    </xf>
    <xf numFmtId="49" fontId="4" fillId="0" borderId="39" xfId="8" applyNumberFormat="1" applyFont="1" applyBorder="1" applyAlignment="1">
      <alignment horizontal="center" vertical="center" wrapText="1"/>
    </xf>
    <xf numFmtId="165" fontId="42" fillId="0" borderId="39" xfId="1" applyNumberFormat="1" applyFont="1" applyFill="1" applyBorder="1" applyAlignment="1">
      <alignment horizontal="left" vertical="center" wrapText="1"/>
    </xf>
    <xf numFmtId="168" fontId="42" fillId="2" borderId="39" xfId="1" applyNumberFormat="1" applyFont="1" applyFill="1" applyBorder="1" applyAlignment="1">
      <alignment horizontal="left" vertical="center" wrapText="1"/>
    </xf>
    <xf numFmtId="0" fontId="40" fillId="0" borderId="39" xfId="0" applyFont="1" applyBorder="1" applyAlignment="1">
      <alignment horizontal="center" vertical="center" wrapText="1"/>
    </xf>
    <xf numFmtId="165" fontId="40" fillId="2" borderId="39" xfId="1" applyNumberFormat="1" applyFont="1" applyFill="1" applyBorder="1" applyAlignment="1">
      <alignment horizontal="left" vertical="center" wrapText="1"/>
    </xf>
    <xf numFmtId="165" fontId="40" fillId="0" borderId="39" xfId="1" quotePrefix="1" applyNumberFormat="1" applyFont="1" applyFill="1" applyBorder="1" applyAlignment="1">
      <alignment vertical="center" wrapText="1"/>
    </xf>
    <xf numFmtId="164" fontId="40" fillId="0" borderId="39" xfId="1" applyFont="1" applyFill="1" applyBorder="1" applyAlignment="1">
      <alignment horizontal="center" vertical="center" wrapText="1"/>
    </xf>
    <xf numFmtId="164" fontId="43" fillId="0" borderId="39" xfId="1" applyFont="1" applyFill="1" applyBorder="1" applyAlignment="1">
      <alignment horizontal="right" vertical="center" wrapText="1"/>
    </xf>
    <xf numFmtId="49" fontId="40" fillId="0" borderId="39" xfId="12" applyNumberFormat="1" applyFont="1" applyBorder="1" applyAlignment="1">
      <alignment horizontal="left" vertical="center" wrapText="1"/>
    </xf>
    <xf numFmtId="49" fontId="40" fillId="0" borderId="39" xfId="12" applyNumberFormat="1" applyFont="1" applyBorder="1" applyAlignment="1">
      <alignment horizontal="center" vertical="center" wrapText="1"/>
    </xf>
    <xf numFmtId="49" fontId="40" fillId="0" borderId="39" xfId="0" applyNumberFormat="1" applyFont="1" applyBorder="1" applyAlignment="1">
      <alignment horizontal="left" vertical="center" wrapText="1"/>
    </xf>
    <xf numFmtId="49" fontId="40" fillId="2" borderId="39" xfId="0" applyNumberFormat="1" applyFont="1" applyFill="1" applyBorder="1" applyAlignment="1">
      <alignment horizontal="center" vertical="center" wrapText="1"/>
    </xf>
    <xf numFmtId="49" fontId="40" fillId="2" borderId="39" xfId="0" applyNumberFormat="1" applyFont="1" applyFill="1" applyBorder="1" applyAlignment="1">
      <alignment horizontal="left" vertical="center" wrapText="1"/>
    </xf>
    <xf numFmtId="0" fontId="42" fillId="0" borderId="38" xfId="0" applyFont="1" applyBorder="1" applyAlignment="1">
      <alignment horizontal="center" vertical="center" wrapText="1"/>
    </xf>
    <xf numFmtId="49" fontId="42" fillId="0" borderId="39" xfId="0" applyNumberFormat="1" applyFont="1" applyBorder="1" applyAlignment="1">
      <alignment horizontal="center" vertical="center" wrapText="1"/>
    </xf>
    <xf numFmtId="49" fontId="42" fillId="0" borderId="39" xfId="12" applyNumberFormat="1" applyFont="1" applyBorder="1" applyAlignment="1">
      <alignment horizontal="center" vertical="center" wrapText="1"/>
    </xf>
    <xf numFmtId="49" fontId="4" fillId="0" borderId="39" xfId="12" applyNumberFormat="1" applyFont="1" applyBorder="1" applyAlignment="1">
      <alignment horizontal="left" vertical="center" wrapText="1"/>
    </xf>
    <xf numFmtId="49" fontId="4" fillId="0" borderId="39" xfId="12" applyNumberFormat="1" applyFont="1" applyBorder="1" applyAlignment="1">
      <alignment horizontal="center" vertical="center" wrapText="1"/>
    </xf>
    <xf numFmtId="0" fontId="44" fillId="11" borderId="38" xfId="0" applyFont="1" applyFill="1" applyBorder="1" applyAlignment="1">
      <alignment horizontal="center" vertical="center" wrapText="1"/>
    </xf>
    <xf numFmtId="49" fontId="44" fillId="11" borderId="39" xfId="8" applyNumberFormat="1" applyFont="1" applyFill="1" applyBorder="1" applyAlignment="1">
      <alignment horizontal="left" vertical="center" wrapText="1"/>
    </xf>
    <xf numFmtId="0" fontId="44" fillId="11" borderId="39" xfId="4" applyFont="1" applyFill="1" applyBorder="1" applyAlignment="1">
      <alignment horizontal="center" vertical="center" wrapText="1"/>
    </xf>
    <xf numFmtId="0" fontId="44" fillId="11" borderId="39" xfId="0" applyFont="1" applyFill="1" applyBorder="1" applyAlignment="1">
      <alignment horizontal="left" vertical="center" wrapText="1"/>
    </xf>
    <xf numFmtId="0" fontId="44" fillId="11" borderId="39" xfId="0" applyFont="1" applyFill="1" applyBorder="1" applyAlignment="1">
      <alignment horizontal="center" vertical="center" wrapText="1"/>
    </xf>
    <xf numFmtId="165" fontId="44" fillId="11" borderId="39" xfId="1" applyNumberFormat="1" applyFont="1" applyFill="1" applyBorder="1" applyAlignment="1">
      <alignment horizontal="left" vertical="center" wrapText="1"/>
    </xf>
    <xf numFmtId="168" fontId="44" fillId="11" borderId="39" xfId="1" applyNumberFormat="1" applyFont="1" applyFill="1" applyBorder="1" applyAlignment="1">
      <alignment horizontal="right" vertical="center" wrapText="1"/>
    </xf>
    <xf numFmtId="0" fontId="44" fillId="11" borderId="40" xfId="0" applyFont="1" applyFill="1" applyBorder="1" applyAlignment="1">
      <alignment horizontal="left" vertical="center" wrapText="1"/>
    </xf>
    <xf numFmtId="0" fontId="44" fillId="0" borderId="38" xfId="0" applyFont="1" applyBorder="1" applyAlignment="1">
      <alignment horizontal="center" vertical="center" wrapText="1"/>
    </xf>
    <xf numFmtId="0" fontId="44" fillId="0" borderId="39" xfId="4" applyFont="1" applyBorder="1" applyAlignment="1">
      <alignment horizontal="center" vertical="center" wrapText="1"/>
    </xf>
    <xf numFmtId="0" fontId="44" fillId="0" borderId="39" xfId="0" applyFont="1" applyBorder="1" applyAlignment="1">
      <alignment horizontal="left" vertical="center" wrapText="1"/>
    </xf>
    <xf numFmtId="0" fontId="44" fillId="0" borderId="39" xfId="0" applyFont="1" applyBorder="1" applyAlignment="1">
      <alignment horizontal="center" vertical="center" wrapText="1"/>
    </xf>
    <xf numFmtId="168" fontId="44" fillId="0" borderId="39" xfId="1" applyNumberFormat="1" applyFont="1" applyFill="1" applyBorder="1" applyAlignment="1">
      <alignment horizontal="right" vertical="center" wrapText="1"/>
    </xf>
    <xf numFmtId="0" fontId="44" fillId="0" borderId="40" xfId="0" applyFont="1" applyBorder="1" applyAlignment="1">
      <alignment horizontal="left" vertical="center" wrapText="1"/>
    </xf>
    <xf numFmtId="49" fontId="40" fillId="0" borderId="39" xfId="0" quotePrefix="1" applyNumberFormat="1" applyFont="1" applyBorder="1" applyAlignment="1">
      <alignment horizontal="center" vertical="center" wrapText="1"/>
    </xf>
    <xf numFmtId="49" fontId="40" fillId="0" borderId="38" xfId="2" applyNumberFormat="1" applyFont="1" applyBorder="1" applyAlignment="1">
      <alignment horizontal="center" vertical="center" wrapText="1"/>
    </xf>
    <xf numFmtId="3" fontId="40" fillId="0" borderId="39" xfId="1" applyNumberFormat="1" applyFont="1" applyFill="1" applyBorder="1" applyAlignment="1">
      <alignment horizontal="center" vertical="center" wrapText="1"/>
    </xf>
    <xf numFmtId="0" fontId="40" fillId="11" borderId="38" xfId="0" applyFont="1" applyFill="1" applyBorder="1" applyAlignment="1">
      <alignment horizontal="center" vertical="center" wrapText="1"/>
    </xf>
    <xf numFmtId="0" fontId="40" fillId="11" borderId="39" xfId="4" applyFont="1" applyFill="1" applyBorder="1" applyAlignment="1">
      <alignment horizontal="center" vertical="center" wrapText="1"/>
    </xf>
    <xf numFmtId="0" fontId="40" fillId="11" borderId="39" xfId="0" applyFont="1" applyFill="1" applyBorder="1" applyAlignment="1">
      <alignment horizontal="left" vertical="center" wrapText="1"/>
    </xf>
    <xf numFmtId="0" fontId="40" fillId="11" borderId="39" xfId="0" applyFont="1" applyFill="1" applyBorder="1" applyAlignment="1">
      <alignment horizontal="center" vertical="center" wrapText="1"/>
    </xf>
    <xf numFmtId="0" fontId="40" fillId="11" borderId="40" xfId="0" applyFont="1" applyFill="1" applyBorder="1" applyAlignment="1">
      <alignment horizontal="left" vertical="center" wrapText="1"/>
    </xf>
    <xf numFmtId="2" fontId="40" fillId="0" borderId="39" xfId="0" applyNumberFormat="1" applyFont="1" applyBorder="1" applyAlignment="1">
      <alignment horizontal="left" vertical="center" wrapText="1"/>
    </xf>
    <xf numFmtId="3" fontId="40" fillId="0" borderId="39" xfId="0" applyNumberFormat="1" applyFont="1" applyBorder="1" applyAlignment="1">
      <alignment horizontal="center" vertical="center" wrapText="1"/>
    </xf>
    <xf numFmtId="165" fontId="40" fillId="11" borderId="39" xfId="1" applyNumberFormat="1" applyFont="1" applyFill="1" applyBorder="1" applyAlignment="1">
      <alignment horizontal="left" vertical="center" wrapText="1"/>
    </xf>
    <xf numFmtId="165" fontId="40" fillId="11" borderId="39" xfId="1" applyNumberFormat="1" applyFont="1" applyFill="1" applyBorder="1" applyAlignment="1">
      <alignment horizontal="right" vertical="center" wrapText="1"/>
    </xf>
    <xf numFmtId="0" fontId="49" fillId="2" borderId="38" xfId="0" applyFont="1" applyFill="1" applyBorder="1" applyAlignment="1">
      <alignment horizontal="center" vertical="center" wrapText="1"/>
    </xf>
    <xf numFmtId="49" fontId="49" fillId="2" borderId="39" xfId="0" applyNumberFormat="1" applyFont="1" applyFill="1" applyBorder="1" applyAlignment="1">
      <alignment horizontal="left" vertical="center" wrapText="1"/>
    </xf>
    <xf numFmtId="0" fontId="49" fillId="0" borderId="39" xfId="4" applyFont="1" applyBorder="1" applyAlignment="1">
      <alignment horizontal="center" vertical="center" wrapText="1"/>
    </xf>
    <xf numFmtId="0" fontId="49" fillId="2" borderId="39" xfId="0" applyFont="1" applyFill="1" applyBorder="1" applyAlignment="1">
      <alignment horizontal="left" vertical="center" wrapText="1"/>
    </xf>
    <xf numFmtId="0" fontId="49" fillId="0" borderId="39" xfId="0" applyFont="1" applyBorder="1" applyAlignment="1">
      <alignment horizontal="center" vertical="center" wrapText="1"/>
    </xf>
    <xf numFmtId="0" fontId="49" fillId="2" borderId="39" xfId="0" applyFont="1" applyFill="1" applyBorder="1" applyAlignment="1">
      <alignment horizontal="center" vertical="center" wrapText="1"/>
    </xf>
    <xf numFmtId="165" fontId="49" fillId="2" borderId="39" xfId="1" applyNumberFormat="1" applyFont="1" applyFill="1" applyBorder="1" applyAlignment="1">
      <alignment horizontal="left" vertical="center" wrapText="1"/>
    </xf>
    <xf numFmtId="165" fontId="49" fillId="0" borderId="39" xfId="1" applyNumberFormat="1" applyFont="1" applyFill="1" applyBorder="1" applyAlignment="1">
      <alignment horizontal="right" vertical="center" wrapText="1"/>
    </xf>
    <xf numFmtId="165" fontId="49" fillId="2" borderId="39" xfId="1" applyNumberFormat="1" applyFont="1" applyFill="1" applyBorder="1" applyAlignment="1">
      <alignment horizontal="right" vertical="center" wrapText="1"/>
    </xf>
    <xf numFmtId="164" fontId="49" fillId="0" borderId="39" xfId="1" applyFont="1" applyFill="1" applyBorder="1" applyAlignment="1">
      <alignment horizontal="right" vertical="center" wrapText="1"/>
    </xf>
    <xf numFmtId="0" fontId="49" fillId="2" borderId="40" xfId="0" applyFont="1" applyFill="1" applyBorder="1" applyAlignment="1">
      <alignment horizontal="left" vertical="center" wrapText="1"/>
    </xf>
    <xf numFmtId="3" fontId="40" fillId="0" borderId="39" xfId="0" quotePrefix="1" applyNumberFormat="1" applyFont="1" applyBorder="1" applyAlignment="1">
      <alignment horizontal="center" vertical="center" wrapText="1"/>
    </xf>
    <xf numFmtId="167" fontId="40" fillId="0" borderId="39" xfId="1" applyNumberFormat="1" applyFont="1" applyFill="1" applyBorder="1" applyAlignment="1">
      <alignment horizontal="right" vertical="center" wrapText="1"/>
    </xf>
    <xf numFmtId="171" fontId="40" fillId="0" borderId="39" xfId="0" quotePrefix="1" applyNumberFormat="1" applyFont="1" applyBorder="1" applyAlignment="1">
      <alignment horizontal="center" vertical="center" wrapText="1"/>
    </xf>
    <xf numFmtId="3" fontId="40" fillId="0" borderId="39" xfId="0" quotePrefix="1" applyNumberFormat="1" applyFont="1" applyBorder="1" applyAlignment="1">
      <alignment horizontal="right" vertical="center" wrapText="1"/>
    </xf>
    <xf numFmtId="165" fontId="42" fillId="0" borderId="39" xfId="1" quotePrefix="1" applyNumberFormat="1" applyFont="1" applyFill="1" applyBorder="1" applyAlignment="1">
      <alignment horizontal="center" vertical="center" wrapText="1"/>
    </xf>
    <xf numFmtId="3" fontId="40" fillId="0" borderId="39" xfId="2" quotePrefix="1" applyNumberFormat="1" applyFont="1" applyBorder="1" applyAlignment="1">
      <alignment horizontal="center" vertical="center" wrapText="1"/>
    </xf>
    <xf numFmtId="165" fontId="40" fillId="0" borderId="39" xfId="1" applyNumberFormat="1" applyFont="1" applyFill="1" applyBorder="1" applyAlignment="1">
      <alignment horizontal="left" vertical="center" wrapText="1"/>
    </xf>
    <xf numFmtId="0" fontId="40" fillId="0" borderId="40" xfId="0" applyFont="1" applyBorder="1" applyAlignment="1">
      <alignment horizontal="left" vertical="center" wrapText="1"/>
    </xf>
    <xf numFmtId="0" fontId="40" fillId="2" borderId="39" xfId="12" applyFont="1" applyFill="1" applyBorder="1" applyAlignment="1">
      <alignment horizontal="left" vertical="center" wrapText="1"/>
    </xf>
    <xf numFmtId="2" fontId="40" fillId="2" borderId="39" xfId="0" applyNumberFormat="1" applyFont="1" applyFill="1" applyBorder="1" applyAlignment="1">
      <alignment horizontal="left" vertical="center" wrapText="1"/>
    </xf>
    <xf numFmtId="49" fontId="49" fillId="0" borderId="38" xfId="2" applyNumberFormat="1" applyFont="1" applyBorder="1" applyAlignment="1">
      <alignment horizontal="center" vertical="center" wrapText="1"/>
    </xf>
    <xf numFmtId="2" fontId="49" fillId="2" borderId="39" xfId="0" applyNumberFormat="1" applyFont="1" applyFill="1" applyBorder="1" applyAlignment="1">
      <alignment horizontal="left" vertical="center" wrapText="1"/>
    </xf>
    <xf numFmtId="3" fontId="49" fillId="0" borderId="39" xfId="2" quotePrefix="1" applyNumberFormat="1" applyFont="1" applyBorder="1" applyAlignment="1">
      <alignment horizontal="center" vertical="center" wrapText="1"/>
    </xf>
    <xf numFmtId="3" fontId="49" fillId="0" borderId="39" xfId="0" quotePrefix="1" applyNumberFormat="1" applyFont="1" applyBorder="1" applyAlignment="1">
      <alignment horizontal="center" vertical="center" wrapText="1"/>
    </xf>
    <xf numFmtId="3" fontId="49" fillId="0" borderId="39" xfId="0" quotePrefix="1" applyNumberFormat="1" applyFont="1" applyBorder="1" applyAlignment="1">
      <alignment horizontal="right" vertical="center" wrapText="1"/>
    </xf>
    <xf numFmtId="3" fontId="49" fillId="0" borderId="39" xfId="2" quotePrefix="1" applyNumberFormat="1" applyFont="1" applyBorder="1" applyAlignment="1">
      <alignment vertical="center" wrapText="1"/>
    </xf>
    <xf numFmtId="0" fontId="49" fillId="2" borderId="40" xfId="0" applyFont="1" applyFill="1" applyBorder="1" applyAlignment="1">
      <alignment horizontal="center" vertical="center" wrapText="1"/>
    </xf>
    <xf numFmtId="0" fontId="17" fillId="0" borderId="39" xfId="0" applyFont="1" applyBorder="1" applyAlignment="1">
      <alignment vertical="center"/>
    </xf>
    <xf numFmtId="168" fontId="40" fillId="11" borderId="39" xfId="1" applyNumberFormat="1" applyFont="1" applyFill="1" applyBorder="1" applyAlignment="1">
      <alignment horizontal="right" vertical="center" wrapText="1"/>
    </xf>
    <xf numFmtId="168" fontId="40" fillId="2" borderId="39" xfId="1" applyNumberFormat="1" applyFont="1" applyFill="1" applyBorder="1" applyAlignment="1">
      <alignment horizontal="right" vertical="center" wrapText="1"/>
    </xf>
    <xf numFmtId="0" fontId="17" fillId="0" borderId="39" xfId="0" applyFont="1" applyBorder="1" applyAlignment="1">
      <alignment horizontal="left" vertical="center" wrapText="1"/>
    </xf>
    <xf numFmtId="165" fontId="44" fillId="11" borderId="39" xfId="1" applyNumberFormat="1" applyFont="1" applyFill="1" applyBorder="1" applyAlignment="1">
      <alignment horizontal="right" vertical="center" wrapText="1"/>
    </xf>
    <xf numFmtId="0" fontId="44" fillId="2" borderId="39" xfId="0" applyFont="1" applyFill="1" applyBorder="1" applyAlignment="1">
      <alignment horizontal="left" vertical="center" wrapText="1"/>
    </xf>
    <xf numFmtId="0" fontId="44" fillId="2" borderId="39" xfId="0" applyFont="1" applyFill="1" applyBorder="1" applyAlignment="1">
      <alignment horizontal="center" vertical="center" wrapText="1"/>
    </xf>
    <xf numFmtId="165" fontId="44" fillId="2" borderId="39" xfId="1" applyNumberFormat="1" applyFont="1" applyFill="1" applyBorder="1" applyAlignment="1">
      <alignment horizontal="right" vertical="center" wrapText="1"/>
    </xf>
    <xf numFmtId="0" fontId="44" fillId="2" borderId="40" xfId="0" applyFont="1" applyFill="1" applyBorder="1" applyAlignment="1">
      <alignment horizontal="left" vertical="center" wrapText="1"/>
    </xf>
    <xf numFmtId="0" fontId="40" fillId="2" borderId="38" xfId="0" quotePrefix="1" applyFont="1" applyFill="1" applyBorder="1" applyAlignment="1">
      <alignment horizontal="center" vertical="center" wrapText="1"/>
    </xf>
    <xf numFmtId="49" fontId="40" fillId="0" borderId="39" xfId="16" applyNumberFormat="1" applyFont="1" applyBorder="1" applyAlignment="1">
      <alignment horizontal="center" vertical="center" wrapText="1"/>
    </xf>
    <xf numFmtId="0" fontId="40" fillId="0" borderId="39" xfId="0" quotePrefix="1" applyFont="1" applyBorder="1" applyAlignment="1">
      <alignment horizontal="center" vertical="center" wrapText="1"/>
    </xf>
    <xf numFmtId="165" fontId="42" fillId="2" borderId="39" xfId="1" applyNumberFormat="1" applyFont="1" applyFill="1" applyBorder="1" applyAlignment="1">
      <alignment horizontal="center" vertical="center" wrapText="1"/>
    </xf>
    <xf numFmtId="49" fontId="43" fillId="0" borderId="38" xfId="2" applyNumberFormat="1" applyFont="1" applyBorder="1" applyAlignment="1">
      <alignment horizontal="center" vertical="center" wrapText="1"/>
    </xf>
    <xf numFmtId="49" fontId="45" fillId="0" borderId="39" xfId="0" applyNumberFormat="1" applyFont="1" applyBorder="1" applyAlignment="1">
      <alignment horizontal="left" vertical="center" wrapText="1"/>
    </xf>
    <xf numFmtId="3" fontId="43" fillId="0" borderId="39" xfId="2" quotePrefix="1" applyNumberFormat="1" applyFont="1" applyBorder="1" applyAlignment="1">
      <alignment horizontal="center" vertical="center" wrapText="1"/>
    </xf>
    <xf numFmtId="165" fontId="43" fillId="2" borderId="39" xfId="1" applyNumberFormat="1" applyFont="1" applyFill="1" applyBorder="1" applyAlignment="1">
      <alignment horizontal="left" vertical="center" wrapText="1"/>
    </xf>
    <xf numFmtId="165" fontId="45" fillId="0" borderId="39" xfId="1" quotePrefix="1" applyNumberFormat="1" applyFont="1" applyFill="1" applyBorder="1" applyAlignment="1">
      <alignment vertical="center" wrapText="1"/>
    </xf>
    <xf numFmtId="165" fontId="43" fillId="0" borderId="39" xfId="1" applyNumberFormat="1" applyFont="1" applyFill="1" applyBorder="1" applyAlignment="1">
      <alignment horizontal="right" vertical="center" wrapText="1"/>
    </xf>
    <xf numFmtId="3" fontId="43" fillId="0" borderId="39" xfId="2" quotePrefix="1" applyNumberFormat="1" applyFont="1" applyBorder="1" applyAlignment="1">
      <alignment vertical="center" wrapText="1"/>
    </xf>
    <xf numFmtId="165" fontId="43" fillId="2" borderId="39" xfId="1" applyNumberFormat="1" applyFont="1" applyFill="1" applyBorder="1" applyAlignment="1">
      <alignment horizontal="right" vertical="center" wrapText="1"/>
    </xf>
    <xf numFmtId="0" fontId="43" fillId="2" borderId="40" xfId="0" applyFont="1" applyFill="1" applyBorder="1" applyAlignment="1">
      <alignment horizontal="left" vertical="center" wrapText="1"/>
    </xf>
    <xf numFmtId="0" fontId="17" fillId="0" borderId="39" xfId="0" applyFont="1" applyBorder="1"/>
    <xf numFmtId="165" fontId="42" fillId="0" borderId="39" xfId="1" quotePrefix="1" applyNumberFormat="1" applyFont="1" applyFill="1" applyBorder="1" applyAlignment="1">
      <alignment vertical="center" wrapText="1"/>
    </xf>
    <xf numFmtId="3" fontId="40" fillId="2" borderId="39" xfId="0" quotePrefix="1" applyNumberFormat="1" applyFont="1" applyFill="1" applyBorder="1" applyAlignment="1">
      <alignment horizontal="center" vertical="center" wrapText="1"/>
    </xf>
    <xf numFmtId="165" fontId="40" fillId="0" borderId="39" xfId="1" applyNumberFormat="1" applyFont="1" applyBorder="1" applyAlignment="1">
      <alignment horizontal="center" vertical="center"/>
    </xf>
    <xf numFmtId="164" fontId="40" fillId="2" borderId="39" xfId="1" applyFont="1" applyFill="1" applyBorder="1" applyAlignment="1">
      <alignment horizontal="center" vertical="center" wrapText="1"/>
    </xf>
    <xf numFmtId="3" fontId="4" fillId="0" borderId="39" xfId="10" applyNumberFormat="1" applyFont="1" applyFill="1" applyBorder="1" applyAlignment="1">
      <alignment horizontal="right" vertical="center"/>
    </xf>
    <xf numFmtId="49" fontId="40" fillId="0" borderId="41" xfId="2" applyNumberFormat="1" applyFont="1" applyBorder="1" applyAlignment="1">
      <alignment horizontal="center" vertical="center" wrapText="1"/>
    </xf>
    <xf numFmtId="0" fontId="17" fillId="0" borderId="42" xfId="0" applyFont="1" applyBorder="1" applyAlignment="1">
      <alignment vertical="center"/>
    </xf>
    <xf numFmtId="49" fontId="4" fillId="0" borderId="42" xfId="12" applyNumberFormat="1" applyFont="1" applyBorder="1" applyAlignment="1">
      <alignment horizontal="center" vertical="center" wrapText="1"/>
    </xf>
    <xf numFmtId="3" fontId="40" fillId="0" borderId="42" xfId="2" quotePrefix="1" applyNumberFormat="1" applyFont="1" applyBorder="1" applyAlignment="1">
      <alignment horizontal="center" vertical="center" wrapText="1"/>
    </xf>
    <xf numFmtId="165" fontId="40" fillId="2" borderId="42" xfId="1" applyNumberFormat="1" applyFont="1" applyFill="1" applyBorder="1" applyAlignment="1">
      <alignment horizontal="left" vertical="center" wrapText="1"/>
    </xf>
    <xf numFmtId="165" fontId="40" fillId="0" borderId="42" xfId="1" applyNumberFormat="1" applyFont="1" applyBorder="1" applyAlignment="1">
      <alignment horizontal="center" vertical="center"/>
    </xf>
    <xf numFmtId="165" fontId="40" fillId="0" borderId="42" xfId="1" applyNumberFormat="1" applyFont="1" applyFill="1" applyBorder="1" applyAlignment="1">
      <alignment horizontal="right" vertical="center" wrapText="1"/>
    </xf>
    <xf numFmtId="164" fontId="40" fillId="2" borderId="42" xfId="1" applyFont="1" applyFill="1" applyBorder="1" applyAlignment="1">
      <alignment horizontal="center" vertical="center" wrapText="1"/>
    </xf>
    <xf numFmtId="164" fontId="40" fillId="2" borderId="42" xfId="1" applyFont="1" applyFill="1" applyBorder="1" applyAlignment="1">
      <alignment horizontal="right" vertical="center" wrapText="1"/>
    </xf>
    <xf numFmtId="165" fontId="40" fillId="2" borderId="42" xfId="1" applyNumberFormat="1" applyFont="1" applyFill="1" applyBorder="1" applyAlignment="1">
      <alignment horizontal="right" vertical="center" wrapText="1"/>
    </xf>
    <xf numFmtId="0" fontId="40" fillId="2" borderId="43" xfId="0" applyFont="1" applyFill="1" applyBorder="1" applyAlignment="1">
      <alignment horizontal="left" vertical="center" wrapText="1"/>
    </xf>
    <xf numFmtId="0" fontId="40" fillId="3" borderId="6" xfId="0" applyFont="1" applyFill="1" applyBorder="1" applyAlignment="1">
      <alignment horizontal="left" vertical="center" wrapText="1"/>
    </xf>
    <xf numFmtId="0" fontId="40" fillId="3" borderId="3" xfId="0" applyFont="1" applyFill="1" applyBorder="1" applyAlignment="1">
      <alignment horizontal="left" vertical="center" wrapText="1"/>
    </xf>
    <xf numFmtId="164" fontId="41" fillId="3" borderId="3" xfId="1" applyFont="1" applyFill="1" applyBorder="1" applyAlignment="1">
      <alignment horizontal="right" vertical="center" wrapText="1"/>
    </xf>
    <xf numFmtId="165" fontId="41" fillId="3" borderId="7" xfId="0" applyNumberFormat="1" applyFont="1" applyFill="1" applyBorder="1" applyAlignment="1">
      <alignment horizontal="left" vertical="center" wrapText="1"/>
    </xf>
    <xf numFmtId="0" fontId="40" fillId="0" borderId="3" xfId="0" applyFont="1" applyBorder="1" applyAlignment="1">
      <alignment horizontal="center" vertical="center"/>
    </xf>
    <xf numFmtId="49" fontId="40" fillId="0" borderId="3" xfId="0" applyNumberFormat="1" applyFont="1" applyBorder="1" applyAlignment="1">
      <alignment horizontal="center" vertical="center"/>
    </xf>
    <xf numFmtId="3" fontId="40" fillId="2" borderId="3" xfId="11" applyNumberFormat="1" applyFont="1" applyFill="1" applyBorder="1" applyAlignment="1">
      <alignment horizontal="center" vertical="center" wrapText="1"/>
    </xf>
    <xf numFmtId="3" fontId="40" fillId="0" borderId="3" xfId="11" applyNumberFormat="1" applyFont="1" applyBorder="1" applyAlignment="1">
      <alignment horizontal="center" vertical="center" wrapText="1"/>
    </xf>
    <xf numFmtId="165" fontId="42" fillId="0" borderId="3" xfId="3" applyNumberFormat="1" applyFont="1" applyFill="1" applyBorder="1" applyAlignment="1">
      <alignment horizontal="left" vertical="center" wrapText="1"/>
    </xf>
    <xf numFmtId="1" fontId="42" fillId="2" borderId="3" xfId="2" applyNumberFormat="1" applyFont="1" applyFill="1" applyBorder="1" applyAlignment="1">
      <alignment vertical="center" wrapText="1"/>
    </xf>
    <xf numFmtId="1" fontId="41" fillId="0" borderId="3" xfId="2" applyNumberFormat="1" applyFont="1" applyBorder="1" applyAlignment="1">
      <alignment horizontal="left" vertical="center" wrapText="1"/>
    </xf>
    <xf numFmtId="1" fontId="42" fillId="0" borderId="3" xfId="2" applyNumberFormat="1" applyFont="1" applyBorder="1" applyAlignment="1">
      <alignment horizontal="left" vertical="center" wrapText="1"/>
    </xf>
    <xf numFmtId="49" fontId="42" fillId="0" borderId="6" xfId="2" quotePrefix="1" applyNumberFormat="1" applyFont="1" applyBorder="1" applyAlignment="1">
      <alignment horizontal="center" vertical="center" wrapText="1"/>
    </xf>
    <xf numFmtId="49" fontId="40" fillId="0" borderId="6" xfId="2" applyNumberFormat="1" applyFont="1" applyBorder="1" applyAlignment="1">
      <alignment horizontal="center" vertical="center" wrapText="1"/>
    </xf>
    <xf numFmtId="1" fontId="40" fillId="0" borderId="3" xfId="2" applyNumberFormat="1" applyFont="1" applyBorder="1" applyAlignment="1">
      <alignment horizontal="left" vertical="center" wrapText="1"/>
    </xf>
    <xf numFmtId="49" fontId="40" fillId="0" borderId="44" xfId="2" applyNumberFormat="1" applyFont="1" applyBorder="1" applyAlignment="1">
      <alignment horizontal="center" vertical="center" wrapText="1"/>
    </xf>
    <xf numFmtId="0" fontId="40" fillId="2" borderId="22" xfId="0" applyFont="1" applyFill="1" applyBorder="1" applyAlignment="1">
      <alignment horizontal="left" vertical="center" wrapText="1"/>
    </xf>
    <xf numFmtId="3" fontId="40" fillId="0" borderId="22" xfId="2" quotePrefix="1" applyNumberFormat="1" applyFont="1" applyBorder="1" applyAlignment="1">
      <alignment horizontal="center" vertical="center" wrapText="1"/>
    </xf>
    <xf numFmtId="3" fontId="21" fillId="0" borderId="25" xfId="0" applyNumberFormat="1" applyFont="1" applyBorder="1" applyAlignment="1">
      <alignment horizontal="center" vertical="center" wrapText="1"/>
    </xf>
    <xf numFmtId="3" fontId="21" fillId="2" borderId="25" xfId="0" applyNumberFormat="1" applyFont="1" applyFill="1" applyBorder="1" applyAlignment="1">
      <alignment horizontal="center" vertical="center" wrapText="1"/>
    </xf>
    <xf numFmtId="164" fontId="41" fillId="3" borderId="3" xfId="1" applyFont="1" applyFill="1" applyBorder="1" applyAlignment="1">
      <alignment horizontal="left" vertical="center" wrapText="1"/>
    </xf>
    <xf numFmtId="165" fontId="40" fillId="0" borderId="3" xfId="1" quotePrefix="1" applyNumberFormat="1" applyFont="1" applyFill="1" applyBorder="1" applyAlignment="1">
      <alignment vertical="center" wrapText="1"/>
    </xf>
    <xf numFmtId="0" fontId="41" fillId="2" borderId="0" xfId="0" applyFont="1" applyFill="1" applyAlignment="1">
      <alignment horizontal="center" vertical="center" wrapText="1"/>
    </xf>
    <xf numFmtId="49" fontId="28" fillId="0" borderId="0" xfId="12" applyNumberFormat="1" applyFont="1" applyAlignment="1">
      <alignment horizontal="center" vertical="center" wrapText="1"/>
    </xf>
    <xf numFmtId="165" fontId="41" fillId="0" borderId="0" xfId="1" applyNumberFormat="1" applyFont="1" applyFill="1" applyBorder="1" applyAlignment="1">
      <alignment horizontal="center" vertical="center" wrapText="1"/>
    </xf>
    <xf numFmtId="165" fontId="41" fillId="0" borderId="0" xfId="0" applyNumberFormat="1" applyFont="1" applyAlignment="1">
      <alignment horizontal="left" vertical="center" wrapText="1"/>
    </xf>
    <xf numFmtId="165" fontId="48" fillId="2" borderId="0" xfId="1" applyNumberFormat="1" applyFont="1" applyFill="1" applyBorder="1" applyAlignment="1">
      <alignment horizontal="right" vertical="center" wrapText="1"/>
    </xf>
    <xf numFmtId="0" fontId="42" fillId="0" borderId="0" xfId="0" applyFont="1" applyAlignment="1">
      <alignment horizontal="left" vertical="center" wrapText="1"/>
    </xf>
    <xf numFmtId="0" fontId="42" fillId="2" borderId="0" xfId="0" applyFont="1" applyFill="1" applyAlignment="1">
      <alignment horizontal="center" vertical="center" wrapText="1"/>
    </xf>
    <xf numFmtId="49" fontId="34" fillId="0" borderId="0" xfId="12" applyNumberFormat="1" applyFont="1" applyAlignment="1">
      <alignment horizontal="center" vertical="center" wrapText="1"/>
    </xf>
    <xf numFmtId="165" fontId="42" fillId="0" borderId="0" xfId="1" applyNumberFormat="1" applyFont="1" applyFill="1" applyBorder="1" applyAlignment="1">
      <alignment horizontal="center" vertical="center" wrapText="1"/>
    </xf>
    <xf numFmtId="165" fontId="42" fillId="0" borderId="0" xfId="0" applyNumberFormat="1" applyFont="1" applyAlignment="1">
      <alignment horizontal="left" vertical="center" wrapText="1"/>
    </xf>
    <xf numFmtId="0" fontId="56" fillId="2" borderId="0" xfId="0" applyFont="1" applyFill="1" applyAlignment="1">
      <alignment horizontal="left" vertical="center" wrapText="1"/>
    </xf>
    <xf numFmtId="165" fontId="56" fillId="2" borderId="0" xfId="0" applyNumberFormat="1" applyFont="1" applyFill="1" applyAlignment="1">
      <alignment horizontal="left" vertical="center" wrapText="1"/>
    </xf>
    <xf numFmtId="165" fontId="56" fillId="2" borderId="0" xfId="1" applyNumberFormat="1" applyFont="1" applyFill="1" applyBorder="1" applyAlignment="1">
      <alignment horizontal="right" vertical="center" wrapText="1"/>
    </xf>
    <xf numFmtId="0" fontId="42" fillId="0" borderId="3" xfId="0" applyFont="1" applyBorder="1" applyAlignment="1">
      <alignment vertical="center" wrapText="1"/>
    </xf>
    <xf numFmtId="165" fontId="42" fillId="0" borderId="3" xfId="0" applyNumberFormat="1" applyFont="1" applyBorder="1" applyAlignment="1">
      <alignment horizontal="center" vertical="center"/>
    </xf>
    <xf numFmtId="0" fontId="44" fillId="11" borderId="3" xfId="0" applyFont="1" applyFill="1" applyBorder="1" applyAlignment="1">
      <alignment horizontal="center" vertical="center" wrapText="1"/>
    </xf>
    <xf numFmtId="2" fontId="40" fillId="0" borderId="3" xfId="0" applyNumberFormat="1" applyFont="1" applyBorder="1" applyAlignment="1">
      <alignment horizontal="left" vertical="center" wrapText="1"/>
    </xf>
    <xf numFmtId="165" fontId="42" fillId="0" borderId="3" xfId="1" quotePrefix="1" applyNumberFormat="1" applyFont="1" applyFill="1" applyBorder="1" applyAlignment="1">
      <alignment horizontal="center" vertical="center" wrapText="1"/>
    </xf>
    <xf numFmtId="0" fontId="40" fillId="2" borderId="3" xfId="12" applyFont="1" applyFill="1" applyBorder="1" applyAlignment="1">
      <alignment horizontal="left" vertical="center" wrapText="1"/>
    </xf>
    <xf numFmtId="2" fontId="40" fillId="2" borderId="3" xfId="0" applyNumberFormat="1" applyFont="1" applyFill="1" applyBorder="1" applyAlignment="1">
      <alignment horizontal="left" vertical="center" wrapText="1"/>
    </xf>
    <xf numFmtId="165" fontId="42" fillId="2" borderId="3" xfId="1" applyNumberFormat="1" applyFont="1" applyFill="1" applyBorder="1" applyAlignment="1">
      <alignment horizontal="center" vertical="center" wrapText="1"/>
    </xf>
    <xf numFmtId="49" fontId="45" fillId="0" borderId="3" xfId="0" applyNumberFormat="1" applyFont="1" applyBorder="1" applyAlignment="1">
      <alignment horizontal="left" vertical="center" wrapText="1"/>
    </xf>
    <xf numFmtId="165" fontId="43" fillId="2" borderId="3" xfId="1" applyNumberFormat="1" applyFont="1" applyFill="1" applyBorder="1" applyAlignment="1">
      <alignment horizontal="left" vertical="center" wrapText="1"/>
    </xf>
    <xf numFmtId="0" fontId="48" fillId="0" borderId="0" xfId="0" applyFont="1" applyAlignment="1">
      <alignment horizontal="left" vertical="center" wrapText="1"/>
    </xf>
    <xf numFmtId="165" fontId="48" fillId="0" borderId="0" xfId="0" applyNumberFormat="1" applyFont="1" applyAlignment="1">
      <alignment horizontal="left" vertical="center" wrapText="1"/>
    </xf>
    <xf numFmtId="165" fontId="47" fillId="0" borderId="0" xfId="1" applyNumberFormat="1" applyFont="1" applyFill="1" applyBorder="1" applyAlignment="1">
      <alignment horizontal="right" vertical="center" wrapText="1"/>
    </xf>
    <xf numFmtId="165" fontId="47" fillId="0" borderId="0" xfId="0" applyNumberFormat="1" applyFont="1" applyAlignment="1">
      <alignment horizontal="left" vertical="center" wrapText="1"/>
    </xf>
    <xf numFmtId="0" fontId="47" fillId="0" borderId="0" xfId="0" applyFont="1" applyAlignment="1">
      <alignment horizontal="left" vertical="center" wrapText="1"/>
    </xf>
    <xf numFmtId="0" fontId="41" fillId="3" borderId="2" xfId="0" applyFont="1" applyFill="1" applyBorder="1" applyAlignment="1">
      <alignment horizontal="center" vertical="center" wrapText="1"/>
    </xf>
    <xf numFmtId="165" fontId="41" fillId="3" borderId="2" xfId="1" applyNumberFormat="1" applyFont="1" applyFill="1" applyBorder="1" applyAlignment="1">
      <alignment horizontal="left" vertical="center" wrapText="1"/>
    </xf>
    <xf numFmtId="0" fontId="41" fillId="8" borderId="3" xfId="0" applyFont="1" applyFill="1" applyBorder="1" applyAlignment="1">
      <alignment horizontal="center" vertical="center" wrapText="1"/>
    </xf>
    <xf numFmtId="49" fontId="40" fillId="0" borderId="3" xfId="2" applyNumberFormat="1" applyFont="1" applyBorder="1" applyAlignment="1">
      <alignment horizontal="center" vertical="center" wrapText="1"/>
    </xf>
    <xf numFmtId="49" fontId="42" fillId="0" borderId="3" xfId="2" applyNumberFormat="1" applyFont="1" applyBorder="1" applyAlignment="1">
      <alignment horizontal="center" vertical="center" wrapText="1"/>
    </xf>
    <xf numFmtId="0" fontId="40" fillId="2" borderId="3" xfId="0" quotePrefix="1" applyFont="1" applyFill="1" applyBorder="1" applyAlignment="1">
      <alignment horizontal="center" vertical="center" wrapText="1"/>
    </xf>
    <xf numFmtId="49" fontId="43" fillId="0" borderId="3" xfId="2" applyNumberFormat="1" applyFont="1" applyBorder="1" applyAlignment="1">
      <alignment horizontal="center" vertical="center" wrapText="1"/>
    </xf>
    <xf numFmtId="0" fontId="24" fillId="0" borderId="3" xfId="4" applyFont="1" applyBorder="1" applyAlignment="1">
      <alignment horizontal="center" vertical="center" wrapText="1"/>
    </xf>
    <xf numFmtId="0" fontId="24" fillId="0" borderId="3" xfId="0" applyFont="1" applyBorder="1" applyAlignment="1">
      <alignment horizontal="center" vertical="center" wrapText="1"/>
    </xf>
    <xf numFmtId="0" fontId="24" fillId="0" borderId="3" xfId="0" quotePrefix="1" applyFont="1" applyBorder="1" applyAlignment="1">
      <alignment horizontal="center" vertical="center" wrapText="1"/>
    </xf>
    <xf numFmtId="0" fontId="24" fillId="2" borderId="3" xfId="0" applyFont="1" applyFill="1" applyBorder="1" applyAlignment="1">
      <alignment horizontal="center" vertical="center" wrapText="1"/>
    </xf>
    <xf numFmtId="0" fontId="24" fillId="0" borderId="0" xfId="4" applyFont="1" applyAlignment="1">
      <alignment horizontal="center" vertical="center" wrapText="1"/>
    </xf>
    <xf numFmtId="0" fontId="24" fillId="0" borderId="0" xfId="4" quotePrefix="1" applyFont="1" applyAlignment="1">
      <alignment horizontal="center" vertical="center" wrapText="1"/>
    </xf>
    <xf numFmtId="0" fontId="34" fillId="0" borderId="0" xfId="0" applyFont="1" applyAlignment="1">
      <alignment horizontal="center" vertical="center" wrapText="1"/>
    </xf>
    <xf numFmtId="0" fontId="28" fillId="3" borderId="21" xfId="0" applyFont="1" applyFill="1" applyBorder="1" applyAlignment="1">
      <alignment vertical="center" wrapText="1"/>
    </xf>
    <xf numFmtId="0" fontId="24" fillId="0" borderId="21" xfId="0" applyFont="1" applyBorder="1" applyAlignment="1">
      <alignment horizontal="left" vertical="center" wrapText="1"/>
    </xf>
    <xf numFmtId="0" fontId="28" fillId="8" borderId="3" xfId="0" applyFont="1" applyFill="1" applyBorder="1" applyAlignment="1">
      <alignment horizontal="center" vertical="center" wrapText="1"/>
    </xf>
    <xf numFmtId="0" fontId="34" fillId="0" borderId="3" xfId="4" applyFont="1" applyBorder="1" applyAlignment="1">
      <alignment horizontal="center" vertical="center" wrapText="1"/>
    </xf>
    <xf numFmtId="0" fontId="34" fillId="0" borderId="3" xfId="0" applyFont="1" applyBorder="1" applyAlignment="1">
      <alignment horizontal="center" vertical="center" wrapText="1"/>
    </xf>
    <xf numFmtId="3" fontId="24" fillId="0" borderId="3" xfId="2" quotePrefix="1" applyNumberFormat="1" applyFont="1" applyBorder="1" applyAlignment="1">
      <alignment horizontal="center" vertical="center" wrapText="1"/>
    </xf>
    <xf numFmtId="49" fontId="24" fillId="0" borderId="3" xfId="0" applyNumberFormat="1" applyFont="1" applyBorder="1" applyAlignment="1">
      <alignment horizontal="center" vertical="center" wrapText="1"/>
    </xf>
    <xf numFmtId="49" fontId="24" fillId="0" borderId="3" xfId="12" applyNumberFormat="1" applyFont="1" applyBorder="1" applyAlignment="1">
      <alignment horizontal="center" vertical="center" wrapText="1"/>
    </xf>
    <xf numFmtId="49" fontId="24" fillId="2" borderId="3" xfId="0" applyNumberFormat="1" applyFont="1" applyFill="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3" xfId="12" applyNumberFormat="1" applyFont="1" applyBorder="1" applyAlignment="1">
      <alignment horizontal="center" vertical="center" wrapText="1"/>
    </xf>
    <xf numFmtId="0" fontId="31" fillId="11" borderId="3" xfId="4" applyFont="1" applyFill="1" applyBorder="1" applyAlignment="1">
      <alignment horizontal="center" vertical="center" wrapText="1"/>
    </xf>
    <xf numFmtId="0" fontId="31" fillId="11" borderId="3" xfId="0" applyFont="1" applyFill="1" applyBorder="1" applyAlignment="1">
      <alignment horizontal="center" vertical="center" wrapText="1"/>
    </xf>
    <xf numFmtId="0" fontId="31" fillId="0" borderId="3" xfId="4" applyFont="1" applyBorder="1" applyAlignment="1">
      <alignment horizontal="center" vertical="center" wrapText="1"/>
    </xf>
    <xf numFmtId="0" fontId="31" fillId="0" borderId="3" xfId="0" applyFont="1" applyBorder="1" applyAlignment="1">
      <alignment horizontal="center" vertical="center" wrapText="1"/>
    </xf>
    <xf numFmtId="0" fontId="24" fillId="11" borderId="3" xfId="4" applyFont="1" applyFill="1" applyBorder="1" applyAlignment="1">
      <alignment horizontal="center" vertical="center" wrapText="1"/>
    </xf>
    <xf numFmtId="0" fontId="24" fillId="11" borderId="3" xfId="0" applyFont="1" applyFill="1" applyBorder="1" applyAlignment="1">
      <alignment horizontal="center" vertical="center" wrapText="1"/>
    </xf>
    <xf numFmtId="3" fontId="24" fillId="0" borderId="3" xfId="0" quotePrefix="1" applyNumberFormat="1" applyFont="1" applyBorder="1" applyAlignment="1">
      <alignment horizontal="center" vertical="center" wrapText="1"/>
    </xf>
    <xf numFmtId="171" fontId="24" fillId="0" borderId="3" xfId="0" quotePrefix="1" applyNumberFormat="1" applyFont="1" applyBorder="1" applyAlignment="1">
      <alignment horizontal="center" vertical="center" wrapText="1"/>
    </xf>
    <xf numFmtId="49" fontId="24" fillId="0" borderId="3" xfId="0" quotePrefix="1" applyNumberFormat="1" applyFont="1" applyBorder="1" applyAlignment="1">
      <alignment horizontal="center" vertical="center" wrapText="1"/>
    </xf>
    <xf numFmtId="3" fontId="39" fillId="0" borderId="3" xfId="2" quotePrefix="1" applyNumberFormat="1" applyFont="1" applyBorder="1" applyAlignment="1">
      <alignment horizontal="center" vertical="center" wrapText="1"/>
    </xf>
    <xf numFmtId="3" fontId="24" fillId="2" borderId="3" xfId="0" quotePrefix="1" applyNumberFormat="1" applyFont="1" applyFill="1" applyBorder="1" applyAlignment="1">
      <alignment horizontal="center" vertical="center" wrapText="1"/>
    </xf>
    <xf numFmtId="0" fontId="34" fillId="2" borderId="3" xfId="0" applyFont="1" applyFill="1" applyBorder="1" applyAlignment="1">
      <alignment horizontal="center" vertical="center" wrapText="1"/>
    </xf>
    <xf numFmtId="3" fontId="24" fillId="0" borderId="3" xfId="1" applyNumberFormat="1" applyFont="1" applyFill="1" applyBorder="1" applyAlignment="1">
      <alignment horizontal="center" vertical="center" wrapText="1"/>
    </xf>
    <xf numFmtId="3" fontId="24" fillId="0" borderId="3" xfId="0" applyNumberFormat="1" applyFont="1" applyBorder="1" applyAlignment="1">
      <alignment horizontal="center" vertical="center" wrapText="1"/>
    </xf>
    <xf numFmtId="0" fontId="31" fillId="2" borderId="3" xfId="0" applyFont="1" applyFill="1" applyBorder="1" applyAlignment="1">
      <alignment horizontal="center" vertical="center" wrapText="1"/>
    </xf>
    <xf numFmtId="49" fontId="24" fillId="0" borderId="3" xfId="16" applyNumberFormat="1" applyFont="1" applyBorder="1" applyAlignment="1">
      <alignment horizontal="center" vertical="center" wrapText="1"/>
    </xf>
    <xf numFmtId="0" fontId="58" fillId="0" borderId="0" xfId="0" applyFont="1" applyAlignment="1">
      <alignment horizontal="left" vertical="center" wrapText="1"/>
    </xf>
    <xf numFmtId="0" fontId="58" fillId="2" borderId="0" xfId="0" applyFont="1" applyFill="1" applyAlignment="1">
      <alignment horizontal="center" vertical="center" wrapText="1"/>
    </xf>
    <xf numFmtId="49" fontId="59" fillId="0" borderId="0" xfId="12" applyNumberFormat="1" applyFont="1" applyAlignment="1">
      <alignment horizontal="center" vertical="center" wrapText="1"/>
    </xf>
    <xf numFmtId="0" fontId="60" fillId="0" borderId="0" xfId="0" applyFont="1" applyAlignment="1">
      <alignment horizontal="left" vertical="center" wrapText="1"/>
    </xf>
    <xf numFmtId="165" fontId="58" fillId="0" borderId="0" xfId="1" applyNumberFormat="1" applyFont="1" applyFill="1" applyBorder="1" applyAlignment="1">
      <alignment horizontal="center" vertical="center" wrapText="1"/>
    </xf>
    <xf numFmtId="165" fontId="58" fillId="0" borderId="0" xfId="0" applyNumberFormat="1" applyFont="1" applyAlignment="1">
      <alignment horizontal="left" vertical="center" wrapText="1"/>
    </xf>
    <xf numFmtId="0" fontId="60" fillId="2" borderId="0" xfId="0" applyFont="1" applyFill="1" applyAlignment="1">
      <alignment horizontal="left" vertical="center" wrapText="1"/>
    </xf>
    <xf numFmtId="165" fontId="60" fillId="2" borderId="0" xfId="0" applyNumberFormat="1" applyFont="1" applyFill="1" applyAlignment="1">
      <alignment horizontal="left" vertical="center" wrapText="1"/>
    </xf>
    <xf numFmtId="165" fontId="58" fillId="2" borderId="0" xfId="1" applyNumberFormat="1" applyFont="1" applyFill="1" applyBorder="1" applyAlignment="1">
      <alignment horizontal="right" vertical="center" wrapText="1"/>
    </xf>
    <xf numFmtId="165" fontId="58" fillId="2" borderId="0" xfId="0" applyNumberFormat="1" applyFont="1" applyFill="1" applyAlignment="1">
      <alignment horizontal="left" vertical="center" wrapText="1"/>
    </xf>
    <xf numFmtId="0" fontId="58" fillId="2" borderId="0" xfId="0" applyFont="1" applyFill="1" applyAlignment="1">
      <alignment horizontal="left" vertical="center" wrapText="1"/>
    </xf>
    <xf numFmtId="165" fontId="30" fillId="0" borderId="0" xfId="1" applyNumberFormat="1" applyFont="1" applyFill="1" applyBorder="1" applyAlignment="1">
      <alignment horizontal="center" vertical="center" wrapText="1"/>
    </xf>
    <xf numFmtId="165" fontId="61" fillId="2" borderId="0" xfId="1" applyNumberFormat="1" applyFont="1" applyFill="1" applyBorder="1" applyAlignment="1">
      <alignment horizontal="right" vertical="center" wrapText="1"/>
    </xf>
    <xf numFmtId="167" fontId="5" fillId="0" borderId="0" xfId="1" applyNumberFormat="1" applyFont="1" applyFill="1" applyBorder="1" applyAlignment="1">
      <alignment horizontal="left" vertical="center" wrapText="1"/>
    </xf>
    <xf numFmtId="170" fontId="5" fillId="0" borderId="0" xfId="1" applyNumberFormat="1" applyFont="1" applyFill="1" applyBorder="1" applyAlignment="1">
      <alignment horizontal="left" vertical="center" wrapText="1"/>
    </xf>
    <xf numFmtId="0" fontId="41" fillId="2" borderId="0" xfId="0" applyFont="1" applyFill="1" applyAlignment="1">
      <alignment horizontal="left" vertical="center" wrapText="1"/>
    </xf>
    <xf numFmtId="165" fontId="41" fillId="2" borderId="0" xfId="0" applyNumberFormat="1" applyFont="1" applyFill="1" applyAlignment="1">
      <alignment horizontal="left" vertical="center" wrapText="1"/>
    </xf>
    <xf numFmtId="165" fontId="40" fillId="2" borderId="0" xfId="1" applyNumberFormat="1" applyFont="1" applyFill="1" applyBorder="1" applyAlignment="1">
      <alignment horizontal="right" vertical="center" wrapText="1"/>
    </xf>
    <xf numFmtId="0" fontId="44" fillId="0" borderId="0" xfId="0" applyFont="1" applyAlignment="1">
      <alignment horizontal="left" vertical="center" wrapText="1"/>
    </xf>
    <xf numFmtId="0" fontId="44" fillId="2" borderId="0" xfId="0" applyFont="1" applyFill="1" applyAlignment="1">
      <alignment horizontal="center" vertical="center" wrapText="1"/>
    </xf>
    <xf numFmtId="165" fontId="44" fillId="0" borderId="0" xfId="1" applyNumberFormat="1" applyFont="1" applyFill="1" applyBorder="1" applyAlignment="1">
      <alignment horizontal="center" vertical="center" wrapText="1"/>
    </xf>
    <xf numFmtId="165" fontId="44" fillId="0" borderId="0" xfId="0" applyNumberFormat="1" applyFont="1" applyAlignment="1">
      <alignment horizontal="left" vertical="center" wrapText="1"/>
    </xf>
    <xf numFmtId="0" fontId="42" fillId="2" borderId="0" xfId="0" applyFont="1" applyFill="1" applyAlignment="1">
      <alignment horizontal="left" vertical="center" wrapText="1"/>
    </xf>
    <xf numFmtId="165" fontId="42" fillId="2" borderId="0" xfId="0" applyNumberFormat="1" applyFont="1" applyFill="1" applyAlignment="1">
      <alignment horizontal="left" vertical="center" wrapText="1"/>
    </xf>
    <xf numFmtId="165" fontId="44" fillId="2" borderId="0" xfId="1" applyNumberFormat="1" applyFont="1" applyFill="1" applyBorder="1" applyAlignment="1">
      <alignment horizontal="right" vertical="center" wrapText="1"/>
    </xf>
    <xf numFmtId="165" fontId="44" fillId="2" borderId="0" xfId="0" applyNumberFormat="1" applyFont="1" applyFill="1" applyAlignment="1">
      <alignment horizontal="left" vertical="center" wrapText="1"/>
    </xf>
    <xf numFmtId="0" fontId="44" fillId="2" borderId="0" xfId="0" applyFont="1" applyFill="1" applyAlignment="1">
      <alignment horizontal="left" vertical="center" wrapText="1"/>
    </xf>
    <xf numFmtId="168" fontId="4" fillId="0" borderId="0" xfId="1" applyNumberFormat="1" applyFont="1" applyFill="1" applyBorder="1" applyAlignment="1">
      <alignment horizontal="center" vertical="center" wrapText="1"/>
    </xf>
    <xf numFmtId="167" fontId="4" fillId="0" borderId="0" xfId="1" applyNumberFormat="1" applyFont="1" applyFill="1" applyBorder="1" applyAlignment="1">
      <alignment horizontal="center" vertical="center" wrapText="1"/>
    </xf>
    <xf numFmtId="172" fontId="4" fillId="0" borderId="0" xfId="0" applyNumberFormat="1" applyFont="1" applyAlignment="1">
      <alignment horizontal="left" vertical="center" wrapText="1"/>
    </xf>
    <xf numFmtId="165" fontId="0" fillId="0" borderId="0" xfId="1" applyNumberFormat="1" applyFont="1" applyFill="1" applyBorder="1" applyAlignment="1">
      <alignment horizontal="center" vertical="center"/>
    </xf>
    <xf numFmtId="165" fontId="15" fillId="0" borderId="0" xfId="1" applyNumberFormat="1" applyFont="1" applyFill="1" applyBorder="1" applyAlignment="1">
      <alignment horizontal="center" vertical="center"/>
    </xf>
    <xf numFmtId="2" fontId="15" fillId="0" borderId="0" xfId="0" applyNumberFormat="1" applyFont="1" applyAlignment="1">
      <alignment horizontal="left" vertical="top"/>
    </xf>
    <xf numFmtId="165" fontId="24" fillId="0" borderId="0" xfId="1" applyNumberFormat="1" applyFont="1" applyFill="1" applyBorder="1" applyAlignment="1">
      <alignment horizontal="left" vertical="center" wrapText="1"/>
    </xf>
    <xf numFmtId="165" fontId="41" fillId="8" borderId="3" xfId="1" applyNumberFormat="1" applyFont="1" applyFill="1" applyBorder="1" applyAlignment="1">
      <alignment horizontal="center" vertical="center" wrapText="1"/>
    </xf>
    <xf numFmtId="0" fontId="41" fillId="2" borderId="3" xfId="0" applyFont="1" applyFill="1" applyBorder="1" applyAlignment="1">
      <alignment horizontal="center" vertical="center" wrapText="1"/>
    </xf>
    <xf numFmtId="165" fontId="4" fillId="0" borderId="0" xfId="1" applyNumberFormat="1" applyFont="1" applyFill="1" applyBorder="1" applyAlignment="1">
      <alignment horizontal="right" vertical="center" wrapText="1"/>
    </xf>
    <xf numFmtId="0" fontId="40" fillId="3" borderId="2" xfId="0" applyFont="1" applyFill="1" applyBorder="1" applyAlignment="1">
      <alignment horizontal="left" vertical="center" wrapText="1"/>
    </xf>
    <xf numFmtId="0" fontId="41" fillId="8" borderId="2" xfId="0" applyFont="1" applyFill="1" applyBorder="1" applyAlignment="1">
      <alignment horizontal="center" vertical="center" wrapText="1"/>
    </xf>
    <xf numFmtId="0" fontId="41" fillId="8" borderId="2" xfId="0" applyFont="1" applyFill="1" applyBorder="1" applyAlignment="1">
      <alignment horizontal="left" vertical="center" wrapText="1"/>
    </xf>
    <xf numFmtId="0" fontId="40" fillId="8" borderId="2" xfId="0" applyFont="1" applyFill="1" applyBorder="1" applyAlignment="1">
      <alignment horizontal="center" vertical="center" wrapText="1"/>
    </xf>
    <xf numFmtId="165" fontId="41" fillId="8" borderId="2" xfId="1" applyNumberFormat="1" applyFont="1" applyFill="1" applyBorder="1" applyAlignment="1">
      <alignment horizontal="right" vertical="center" wrapText="1"/>
    </xf>
    <xf numFmtId="0" fontId="42" fillId="0" borderId="5" xfId="0" applyFont="1" applyBorder="1" applyAlignment="1">
      <alignment horizontal="center" vertical="center" wrapText="1"/>
    </xf>
    <xf numFmtId="0" fontId="42" fillId="0" borderId="5" xfId="0" applyFont="1" applyBorder="1" applyAlignment="1">
      <alignment horizontal="left" vertical="center" wrapText="1"/>
    </xf>
    <xf numFmtId="165" fontId="44" fillId="0" borderId="5" xfId="1" applyNumberFormat="1" applyFont="1" applyFill="1" applyBorder="1" applyAlignment="1">
      <alignment horizontal="left" vertical="center" wrapText="1"/>
    </xf>
    <xf numFmtId="165" fontId="44" fillId="0" borderId="5" xfId="1" applyNumberFormat="1" applyFont="1" applyFill="1" applyBorder="1" applyAlignment="1">
      <alignment horizontal="right" vertical="center" wrapText="1"/>
    </xf>
    <xf numFmtId="0" fontId="41" fillId="9" borderId="3" xfId="0" applyFont="1" applyFill="1" applyBorder="1" applyAlignment="1">
      <alignment horizontal="center" vertical="center" wrapText="1"/>
    </xf>
    <xf numFmtId="165" fontId="41" fillId="9" borderId="3" xfId="1" applyNumberFormat="1" applyFont="1" applyFill="1" applyBorder="1" applyAlignment="1">
      <alignment horizontal="center" vertical="center" wrapText="1"/>
    </xf>
    <xf numFmtId="0" fontId="63" fillId="0" borderId="3" xfId="0" applyFont="1" applyBorder="1" applyAlignment="1">
      <alignment horizontal="center" vertical="center" wrapText="1"/>
    </xf>
    <xf numFmtId="0" fontId="63" fillId="0" borderId="3" xfId="0" applyFont="1" applyBorder="1" applyAlignment="1">
      <alignment horizontal="left" vertical="center" wrapText="1"/>
    </xf>
    <xf numFmtId="0" fontId="58" fillId="2" borderId="3" xfId="0" applyFont="1" applyFill="1" applyBorder="1" applyAlignment="1">
      <alignment horizontal="center" vertical="center" wrapText="1"/>
    </xf>
    <xf numFmtId="165" fontId="63" fillId="0" borderId="3" xfId="1" applyNumberFormat="1" applyFont="1" applyFill="1" applyBorder="1" applyAlignment="1">
      <alignment horizontal="left" vertical="center" wrapText="1"/>
    </xf>
    <xf numFmtId="0" fontId="58" fillId="0" borderId="3" xfId="0" applyFont="1" applyBorder="1" applyAlignment="1">
      <alignment horizontal="center" vertical="center" wrapText="1"/>
    </xf>
    <xf numFmtId="0" fontId="58" fillId="2" borderId="3" xfId="0" applyFont="1" applyFill="1" applyBorder="1" applyAlignment="1">
      <alignment horizontal="left" vertical="center" wrapText="1"/>
    </xf>
    <xf numFmtId="165" fontId="58" fillId="2" borderId="3" xfId="1" applyNumberFormat="1" applyFont="1" applyFill="1" applyBorder="1" applyAlignment="1">
      <alignment horizontal="left" vertical="center" wrapText="1"/>
    </xf>
    <xf numFmtId="165" fontId="58" fillId="0" borderId="3" xfId="1" applyNumberFormat="1" applyFont="1" applyFill="1" applyBorder="1" applyAlignment="1">
      <alignment horizontal="left" vertical="center" wrapText="1"/>
    </xf>
    <xf numFmtId="164" fontId="58" fillId="0" borderId="3" xfId="1" applyFont="1" applyFill="1" applyBorder="1" applyAlignment="1">
      <alignment horizontal="left" vertical="center" wrapText="1"/>
    </xf>
    <xf numFmtId="164" fontId="58" fillId="0" borderId="3" xfId="1" applyFont="1" applyFill="1" applyBorder="1" applyAlignment="1">
      <alignment horizontal="right" vertical="center" wrapText="1"/>
    </xf>
    <xf numFmtId="165" fontId="58" fillId="0" borderId="3" xfId="1" applyNumberFormat="1" applyFont="1" applyFill="1" applyBorder="1" applyAlignment="1">
      <alignment horizontal="right" vertical="center" wrapText="1"/>
    </xf>
    <xf numFmtId="0" fontId="41" fillId="7" borderId="3" xfId="0" applyFont="1" applyFill="1" applyBorder="1" applyAlignment="1">
      <alignment horizontal="center" vertical="center" wrapText="1"/>
    </xf>
    <xf numFmtId="165" fontId="41" fillId="7" borderId="3" xfId="1" applyNumberFormat="1" applyFont="1" applyFill="1" applyBorder="1" applyAlignment="1">
      <alignment horizontal="center" vertical="center" wrapText="1"/>
    </xf>
    <xf numFmtId="0" fontId="41" fillId="0" borderId="3" xfId="0" applyFont="1" applyBorder="1" applyAlignment="1">
      <alignment horizontal="center" vertical="center" wrapText="1"/>
    </xf>
    <xf numFmtId="0" fontId="64" fillId="0" borderId="3" xfId="0" applyFont="1" applyBorder="1" applyAlignment="1">
      <alignment horizontal="center" vertical="center" wrapText="1"/>
    </xf>
    <xf numFmtId="0" fontId="64" fillId="0" borderId="3" xfId="0" applyFont="1" applyBorder="1" applyAlignment="1">
      <alignment horizontal="left" vertical="center" wrapText="1"/>
    </xf>
    <xf numFmtId="165" fontId="64" fillId="0" borderId="3" xfId="1" applyNumberFormat="1" applyFont="1" applyFill="1" applyBorder="1" applyAlignment="1">
      <alignment horizontal="left" vertical="center" wrapText="1"/>
    </xf>
    <xf numFmtId="165" fontId="64" fillId="0" borderId="3" xfId="1" applyNumberFormat="1" applyFont="1" applyFill="1" applyBorder="1" applyAlignment="1">
      <alignment horizontal="right" vertical="center" wrapText="1"/>
    </xf>
    <xf numFmtId="165" fontId="63" fillId="0" borderId="3" xfId="3" applyNumberFormat="1" applyFont="1" applyFill="1" applyBorder="1" applyAlignment="1">
      <alignment horizontal="left" vertical="center" wrapText="1"/>
    </xf>
    <xf numFmtId="165" fontId="58" fillId="0" borderId="3" xfId="3" applyNumberFormat="1" applyFont="1" applyFill="1" applyBorder="1" applyAlignment="1">
      <alignment horizontal="left" vertical="center" wrapText="1"/>
    </xf>
    <xf numFmtId="165" fontId="44" fillId="0" borderId="3" xfId="3" applyNumberFormat="1" applyFont="1" applyFill="1" applyBorder="1" applyAlignment="1">
      <alignment horizontal="left" vertical="center" wrapText="1"/>
    </xf>
    <xf numFmtId="165" fontId="58" fillId="0" borderId="3" xfId="0" applyNumberFormat="1" applyFont="1" applyBorder="1" applyAlignment="1">
      <alignment horizontal="center" vertical="center"/>
    </xf>
    <xf numFmtId="165" fontId="41" fillId="0" borderId="3" xfId="1" applyNumberFormat="1" applyFont="1" applyFill="1" applyBorder="1" applyAlignment="1">
      <alignment horizontal="center" vertical="center" wrapText="1"/>
    </xf>
    <xf numFmtId="0" fontId="41" fillId="14" borderId="3" xfId="0" applyFont="1" applyFill="1" applyBorder="1" applyAlignment="1">
      <alignment horizontal="center" vertical="center" wrapText="1"/>
    </xf>
    <xf numFmtId="0" fontId="41" fillId="14" borderId="3" xfId="0" applyFont="1" applyFill="1" applyBorder="1" applyAlignment="1">
      <alignment horizontal="left" vertical="center" wrapText="1"/>
    </xf>
    <xf numFmtId="165" fontId="41" fillId="14" borderId="3" xfId="1" applyNumberFormat="1" applyFont="1" applyFill="1" applyBorder="1" applyAlignment="1">
      <alignment horizontal="center" vertical="center" wrapText="1"/>
    </xf>
    <xf numFmtId="49" fontId="63" fillId="0" borderId="3" xfId="2" applyNumberFormat="1" applyFont="1" applyBorder="1" applyAlignment="1">
      <alignment horizontal="center" vertical="center" wrapText="1"/>
    </xf>
    <xf numFmtId="0" fontId="63" fillId="0" borderId="3" xfId="0" applyFont="1" applyBorder="1" applyAlignment="1">
      <alignment vertical="center" wrapText="1"/>
    </xf>
    <xf numFmtId="49" fontId="58" fillId="0" borderId="3" xfId="0" applyNumberFormat="1" applyFont="1" applyBorder="1" applyAlignment="1">
      <alignment horizontal="left" vertical="center" wrapText="1"/>
    </xf>
    <xf numFmtId="165" fontId="63" fillId="0" borderId="3" xfId="0" applyNumberFormat="1" applyFont="1" applyBorder="1" applyAlignment="1">
      <alignment horizontal="center" vertical="center"/>
    </xf>
    <xf numFmtId="49" fontId="58" fillId="0" borderId="3" xfId="12" applyNumberFormat="1" applyFont="1" applyBorder="1" applyAlignment="1">
      <alignment horizontal="left" vertical="center" wrapText="1"/>
    </xf>
    <xf numFmtId="165" fontId="44" fillId="11" borderId="3" xfId="1" applyNumberFormat="1" applyFont="1" applyFill="1" applyBorder="1" applyAlignment="1">
      <alignment horizontal="center" vertical="center" wrapText="1"/>
    </xf>
    <xf numFmtId="49" fontId="58" fillId="2" borderId="3" xfId="0" applyNumberFormat="1" applyFont="1" applyFill="1" applyBorder="1" applyAlignment="1">
      <alignment horizontal="left" vertical="center" wrapText="1"/>
    </xf>
    <xf numFmtId="165" fontId="63" fillId="0" borderId="3" xfId="1" quotePrefix="1" applyNumberFormat="1" applyFont="1" applyFill="1" applyBorder="1" applyAlignment="1">
      <alignment horizontal="center" vertical="center" wrapText="1"/>
    </xf>
    <xf numFmtId="49" fontId="58" fillId="0" borderId="3" xfId="2" applyNumberFormat="1" applyFont="1" applyBorder="1" applyAlignment="1">
      <alignment horizontal="center" vertical="center" wrapText="1"/>
    </xf>
    <xf numFmtId="2" fontId="58" fillId="2" borderId="3" xfId="0" applyNumberFormat="1" applyFont="1" applyFill="1" applyBorder="1" applyAlignment="1">
      <alignment horizontal="left" vertical="center" wrapText="1"/>
    </xf>
    <xf numFmtId="3" fontId="58" fillId="0" borderId="3" xfId="0" quotePrefix="1" applyNumberFormat="1" applyFont="1" applyBorder="1" applyAlignment="1">
      <alignment horizontal="right" vertical="center" wrapText="1"/>
    </xf>
    <xf numFmtId="0" fontId="58" fillId="0" borderId="3" xfId="0" applyFont="1" applyBorder="1" applyAlignment="1">
      <alignment vertical="center" wrapText="1"/>
    </xf>
    <xf numFmtId="0" fontId="63" fillId="2" borderId="3" xfId="0" applyFont="1" applyFill="1" applyBorder="1" applyAlignment="1">
      <alignment horizontal="center" vertical="center" wrapText="1"/>
    </xf>
    <xf numFmtId="165" fontId="63" fillId="2" borderId="3" xfId="1" applyNumberFormat="1" applyFont="1" applyFill="1" applyBorder="1" applyAlignment="1">
      <alignment horizontal="left" vertical="center" wrapText="1"/>
    </xf>
    <xf numFmtId="0" fontId="58" fillId="0" borderId="3" xfId="0" applyFont="1" applyBorder="1" applyAlignment="1">
      <alignment horizontal="left" vertical="center" wrapText="1"/>
    </xf>
    <xf numFmtId="165" fontId="45" fillId="0" borderId="3" xfId="1" applyNumberFormat="1" applyFont="1" applyFill="1" applyBorder="1" applyAlignment="1">
      <alignment horizontal="left" vertical="center" wrapText="1"/>
    </xf>
    <xf numFmtId="0" fontId="58" fillId="0" borderId="3" xfId="0" applyFont="1" applyBorder="1" applyAlignment="1">
      <alignment vertical="center"/>
    </xf>
    <xf numFmtId="165" fontId="63" fillId="2" borderId="3" xfId="1" applyNumberFormat="1" applyFont="1" applyFill="1" applyBorder="1" applyAlignment="1">
      <alignment horizontal="center" vertical="center" wrapText="1"/>
    </xf>
    <xf numFmtId="165" fontId="58" fillId="0" borderId="46" xfId="13" applyNumberFormat="1" applyFont="1" applyFill="1" applyBorder="1" applyAlignment="1">
      <alignment horizontal="center" vertical="center" wrapText="1"/>
    </xf>
    <xf numFmtId="165" fontId="58" fillId="0" borderId="14" xfId="13" applyNumberFormat="1" applyFont="1" applyBorder="1" applyAlignment="1">
      <alignment horizontal="center" vertical="center"/>
    </xf>
    <xf numFmtId="165" fontId="58" fillId="0" borderId="46" xfId="13" applyNumberFormat="1" applyFont="1" applyBorder="1" applyAlignment="1">
      <alignment horizontal="center" vertical="center"/>
    </xf>
    <xf numFmtId="165" fontId="58" fillId="0" borderId="45" xfId="1" applyNumberFormat="1" applyFont="1" applyFill="1" applyBorder="1" applyAlignment="1">
      <alignment horizontal="left" vertical="center" wrapText="1"/>
    </xf>
    <xf numFmtId="49" fontId="58" fillId="0" borderId="4" xfId="2" applyNumberFormat="1" applyFont="1" applyBorder="1" applyAlignment="1">
      <alignment horizontal="center" vertical="center" wrapText="1"/>
    </xf>
    <xf numFmtId="0" fontId="58" fillId="0" borderId="4" xfId="0" applyFont="1" applyBorder="1" applyAlignment="1">
      <alignment vertical="center"/>
    </xf>
    <xf numFmtId="165" fontId="58" fillId="2" borderId="4" xfId="1" applyNumberFormat="1" applyFont="1" applyFill="1" applyBorder="1" applyAlignment="1">
      <alignment horizontal="left" vertical="center" wrapText="1"/>
    </xf>
    <xf numFmtId="165" fontId="58" fillId="0" borderId="4" xfId="1" applyNumberFormat="1" applyFont="1" applyFill="1" applyBorder="1" applyAlignment="1">
      <alignment horizontal="left" vertical="center" wrapText="1"/>
    </xf>
    <xf numFmtId="0" fontId="58"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1" fillId="0" borderId="5" xfId="0" applyFont="1" applyBorder="1" applyAlignment="1">
      <alignment horizontal="center" vertical="center" wrapText="1"/>
    </xf>
    <xf numFmtId="0" fontId="24" fillId="0" borderId="3" xfId="4" quotePrefix="1" applyFont="1" applyBorder="1" applyAlignment="1">
      <alignment horizontal="center" vertical="center" wrapText="1"/>
    </xf>
    <xf numFmtId="0" fontId="31" fillId="0" borderId="3" xfId="4" quotePrefix="1" applyFont="1" applyBorder="1" applyAlignment="1">
      <alignment horizontal="center" vertical="center" wrapText="1"/>
    </xf>
    <xf numFmtId="0" fontId="24" fillId="8" borderId="3" xfId="0" applyFont="1" applyFill="1" applyBorder="1" applyAlignment="1">
      <alignment horizontal="center" vertical="center" wrapText="1"/>
    </xf>
    <xf numFmtId="0" fontId="28" fillId="9" borderId="3" xfId="4" applyFont="1" applyFill="1" applyBorder="1" applyAlignment="1">
      <alignment horizontal="center" vertical="center" wrapText="1"/>
    </xf>
    <xf numFmtId="0" fontId="28" fillId="9" borderId="3" xfId="0" applyFont="1" applyFill="1" applyBorder="1" applyAlignment="1">
      <alignment horizontal="center" vertical="center" wrapText="1"/>
    </xf>
    <xf numFmtId="0" fontId="28" fillId="9" borderId="3" xfId="4" quotePrefix="1" applyFont="1" applyFill="1" applyBorder="1" applyAlignment="1">
      <alignment horizontal="center" vertical="center" wrapText="1"/>
    </xf>
    <xf numFmtId="0" fontId="59" fillId="2" borderId="3" xfId="0" applyFont="1" applyFill="1" applyBorder="1" applyAlignment="1">
      <alignment horizontal="center" vertical="center" wrapText="1"/>
    </xf>
    <xf numFmtId="0" fontId="28" fillId="7" borderId="3" xfId="0" applyFont="1" applyFill="1" applyBorder="1" applyAlignment="1">
      <alignment horizontal="center" vertical="center" wrapText="1"/>
    </xf>
    <xf numFmtId="0" fontId="28" fillId="0" borderId="3" xfId="4"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4" quotePrefix="1" applyFont="1" applyBorder="1" applyAlignment="1">
      <alignment horizontal="center" vertical="center" wrapText="1"/>
    </xf>
    <xf numFmtId="0" fontId="34" fillId="0" borderId="3" xfId="4" quotePrefix="1" applyFont="1" applyBorder="1" applyAlignment="1">
      <alignment horizontal="center" vertical="center" wrapText="1"/>
    </xf>
    <xf numFmtId="0" fontId="65" fillId="0" borderId="3" xfId="4" applyFont="1" applyBorder="1" applyAlignment="1">
      <alignment horizontal="center" vertical="center" wrapText="1"/>
    </xf>
    <xf numFmtId="0" fontId="65" fillId="0" borderId="3" xfId="0" applyFont="1" applyBorder="1" applyAlignment="1">
      <alignment horizontal="center" vertical="center" wrapText="1"/>
    </xf>
    <xf numFmtId="0" fontId="65" fillId="0" borderId="3" xfId="4" quotePrefix="1" applyFont="1" applyBorder="1" applyAlignment="1">
      <alignment horizontal="center" vertical="center" wrapText="1"/>
    </xf>
    <xf numFmtId="0" fontId="53" fillId="0" borderId="3" xfId="4" applyFont="1" applyBorder="1" applyAlignment="1">
      <alignment horizontal="center" vertical="center" wrapText="1"/>
    </xf>
    <xf numFmtId="1" fontId="53" fillId="0" borderId="3" xfId="2" applyNumberFormat="1" applyFont="1" applyBorder="1" applyAlignment="1">
      <alignment horizontal="center" vertical="center" wrapText="1"/>
    </xf>
    <xf numFmtId="0" fontId="53" fillId="0" borderId="3" xfId="0" applyFont="1" applyBorder="1" applyAlignment="1">
      <alignment horizontal="center" vertical="center" wrapText="1"/>
    </xf>
    <xf numFmtId="0" fontId="59" fillId="0" borderId="3" xfId="4" applyFont="1" applyBorder="1" applyAlignment="1">
      <alignment horizontal="center" vertical="center" wrapText="1"/>
    </xf>
    <xf numFmtId="0" fontId="59" fillId="0" borderId="3" xfId="0" applyFont="1" applyBorder="1" applyAlignment="1">
      <alignment horizontal="center" vertical="center" wrapText="1"/>
    </xf>
    <xf numFmtId="0" fontId="59" fillId="0" borderId="3" xfId="4" quotePrefix="1" applyFont="1" applyBorder="1" applyAlignment="1">
      <alignment horizontal="center" vertical="center" wrapText="1"/>
    </xf>
    <xf numFmtId="1" fontId="59" fillId="0" borderId="3" xfId="2" applyNumberFormat="1" applyFont="1" applyBorder="1" applyAlignment="1">
      <alignment horizontal="center" vertical="center" wrapText="1"/>
    </xf>
    <xf numFmtId="1" fontId="24" fillId="0" borderId="3" xfId="2" applyNumberFormat="1" applyFont="1" applyBorder="1" applyAlignment="1">
      <alignment horizontal="center" vertical="center" wrapText="1"/>
    </xf>
    <xf numFmtId="1" fontId="31" fillId="0" borderId="3" xfId="2" applyNumberFormat="1" applyFont="1" applyBorder="1" applyAlignment="1">
      <alignment horizontal="center" vertical="center" wrapText="1"/>
    </xf>
    <xf numFmtId="0" fontId="24" fillId="7" borderId="3" xfId="4" applyFont="1" applyFill="1" applyBorder="1" applyAlignment="1">
      <alignment horizontal="center" vertical="center" wrapText="1"/>
    </xf>
    <xf numFmtId="0" fontId="24" fillId="7" borderId="3" xfId="0" applyFont="1" applyFill="1" applyBorder="1" applyAlignment="1">
      <alignment horizontal="center" vertical="center" wrapText="1"/>
    </xf>
    <xf numFmtId="0" fontId="24" fillId="7" borderId="3" xfId="4" quotePrefix="1" applyFont="1" applyFill="1" applyBorder="1" applyAlignment="1">
      <alignment horizontal="center" vertical="center" wrapText="1"/>
    </xf>
    <xf numFmtId="0" fontId="28" fillId="14" borderId="3" xfId="0" applyFont="1" applyFill="1" applyBorder="1" applyAlignment="1">
      <alignment horizontal="center" vertical="center" wrapText="1"/>
    </xf>
    <xf numFmtId="0" fontId="24" fillId="14" borderId="3" xfId="0" applyFont="1" applyFill="1" applyBorder="1" applyAlignment="1">
      <alignment horizontal="center" vertical="center" wrapText="1"/>
    </xf>
    <xf numFmtId="49" fontId="59" fillId="0" borderId="3" xfId="8" applyNumberFormat="1" applyFont="1" applyBorder="1" applyAlignment="1">
      <alignment horizontal="center" vertical="center" wrapText="1"/>
    </xf>
    <xf numFmtId="49" fontId="59" fillId="0" borderId="3" xfId="0" applyNumberFormat="1" applyFont="1" applyBorder="1" applyAlignment="1">
      <alignment horizontal="center" vertical="center" wrapText="1"/>
    </xf>
    <xf numFmtId="0" fontId="24" fillId="14" borderId="3" xfId="4" applyFont="1" applyFill="1" applyBorder="1" applyAlignment="1">
      <alignment horizontal="center" vertical="center" wrapText="1"/>
    </xf>
    <xf numFmtId="0" fontId="24" fillId="14" borderId="3" xfId="4" quotePrefix="1" applyFont="1" applyFill="1" applyBorder="1" applyAlignment="1">
      <alignment horizontal="center" vertical="center" wrapText="1"/>
    </xf>
    <xf numFmtId="49" fontId="59" fillId="0" borderId="3" xfId="12" applyNumberFormat="1" applyFont="1" applyBorder="1" applyAlignment="1">
      <alignment horizontal="center" vertical="center" wrapText="1"/>
    </xf>
    <xf numFmtId="49" fontId="31" fillId="11" borderId="3" xfId="8" applyNumberFormat="1" applyFont="1" applyFill="1" applyBorder="1" applyAlignment="1">
      <alignment horizontal="center" vertical="center" wrapText="1"/>
    </xf>
    <xf numFmtId="3" fontId="59" fillId="0" borderId="3" xfId="2" quotePrefix="1" applyNumberFormat="1" applyFont="1" applyBorder="1" applyAlignment="1">
      <alignment horizontal="center" vertical="center" wrapText="1"/>
    </xf>
    <xf numFmtId="3" fontId="59" fillId="0" borderId="3" xfId="0" quotePrefix="1" applyNumberFormat="1" applyFont="1" applyBorder="1" applyAlignment="1">
      <alignment horizontal="center" vertical="center" wrapText="1"/>
    </xf>
    <xf numFmtId="3" fontId="59" fillId="0" borderId="3" xfId="1" applyNumberFormat="1" applyFont="1" applyFill="1" applyBorder="1" applyAlignment="1">
      <alignment horizontal="center" vertical="center" wrapText="1"/>
    </xf>
    <xf numFmtId="49" fontId="59" fillId="0" borderId="14" xfId="12" applyNumberFormat="1" applyFont="1" applyBorder="1" applyAlignment="1">
      <alignment horizontal="center" vertical="center" wrapText="1"/>
    </xf>
    <xf numFmtId="49" fontId="59" fillId="0" borderId="14" xfId="8" applyNumberFormat="1" applyFont="1" applyBorder="1" applyAlignment="1">
      <alignment horizontal="center" vertical="center" wrapText="1"/>
    </xf>
    <xf numFmtId="49" fontId="59" fillId="0" borderId="46" xfId="8" applyNumberFormat="1" applyFont="1" applyBorder="1" applyAlignment="1">
      <alignment horizontal="center" vertical="center" wrapText="1"/>
    </xf>
    <xf numFmtId="3" fontId="59" fillId="0" borderId="45" xfId="2" quotePrefix="1" applyNumberFormat="1" applyFont="1" applyBorder="1" applyAlignment="1">
      <alignment horizontal="center" vertical="center" wrapText="1"/>
    </xf>
    <xf numFmtId="49" fontId="59" fillId="0" borderId="46" xfId="12" applyNumberFormat="1" applyFont="1" applyBorder="1" applyAlignment="1">
      <alignment horizontal="center" vertical="center" wrapText="1"/>
    </xf>
    <xf numFmtId="49" fontId="59" fillId="0" borderId="0" xfId="8" applyNumberFormat="1" applyFont="1" applyAlignment="1">
      <alignment horizontal="center" vertical="center" wrapText="1"/>
    </xf>
    <xf numFmtId="49" fontId="59" fillId="0" borderId="4" xfId="12" applyNumberFormat="1" applyFont="1" applyBorder="1" applyAlignment="1">
      <alignment horizontal="center" vertical="center" wrapText="1"/>
    </xf>
    <xf numFmtId="3" fontId="59" fillId="0" borderId="4" xfId="2" quotePrefix="1" applyNumberFormat="1" applyFont="1" applyBorder="1" applyAlignment="1">
      <alignment horizontal="center" vertical="center" wrapText="1"/>
    </xf>
    <xf numFmtId="165" fontId="28" fillId="3" borderId="2" xfId="0" applyNumberFormat="1" applyFont="1" applyFill="1" applyBorder="1" applyAlignment="1">
      <alignment horizontal="center" vertical="center" wrapText="1"/>
    </xf>
    <xf numFmtId="0" fontId="24" fillId="8" borderId="2" xfId="0" applyFont="1" applyFill="1" applyBorder="1" applyAlignment="1">
      <alignment horizontal="center" vertical="center" wrapText="1"/>
    </xf>
    <xf numFmtId="165" fontId="24" fillId="11" borderId="3" xfId="1" applyNumberFormat="1" applyFont="1" applyFill="1" applyBorder="1" applyAlignment="1">
      <alignment horizontal="center" vertical="center" wrapText="1"/>
    </xf>
    <xf numFmtId="0" fontId="39" fillId="0" borderId="3" xfId="0" applyFont="1" applyBorder="1" applyAlignment="1">
      <alignment horizontal="center" vertical="center" wrapText="1"/>
    </xf>
    <xf numFmtId="0" fontId="59" fillId="0" borderId="45" xfId="0" applyFont="1" applyBorder="1" applyAlignment="1">
      <alignment horizontal="center" vertical="center" wrapText="1"/>
    </xf>
    <xf numFmtId="165" fontId="6" fillId="0" borderId="0" xfId="1" applyNumberFormat="1" applyFont="1" applyFill="1" applyBorder="1" applyAlignment="1">
      <alignment horizontal="center" vertical="center" wrapText="1"/>
    </xf>
    <xf numFmtId="164" fontId="36" fillId="0" borderId="0" xfId="1" applyFont="1" applyFill="1" applyBorder="1" applyAlignment="1">
      <alignment horizontal="left" vertical="center" wrapText="1"/>
    </xf>
    <xf numFmtId="164" fontId="71" fillId="0" borderId="0" xfId="1" applyFont="1" applyFill="1" applyBorder="1" applyAlignment="1">
      <alignment horizontal="left" vertical="center" wrapText="1"/>
    </xf>
    <xf numFmtId="164" fontId="66" fillId="0" borderId="0" xfId="1" applyFont="1" applyFill="1" applyBorder="1" applyAlignment="1">
      <alignment horizontal="left" vertical="center" wrapText="1"/>
    </xf>
    <xf numFmtId="164" fontId="37" fillId="0" borderId="0" xfId="1" applyFont="1" applyFill="1" applyBorder="1" applyAlignment="1">
      <alignment horizontal="left" vertical="center" wrapText="1"/>
    </xf>
    <xf numFmtId="167" fontId="36" fillId="0" borderId="0" xfId="1" applyNumberFormat="1" applyFont="1" applyFill="1" applyBorder="1" applyAlignment="1">
      <alignment horizontal="left" vertical="center" wrapText="1"/>
    </xf>
    <xf numFmtId="170" fontId="36" fillId="0" borderId="0" xfId="1" applyNumberFormat="1" applyFont="1" applyFill="1" applyBorder="1" applyAlignment="1">
      <alignment horizontal="left" vertical="center" wrapText="1"/>
    </xf>
    <xf numFmtId="165" fontId="24" fillId="0" borderId="0" xfId="1" applyNumberFormat="1" applyFont="1" applyFill="1" applyBorder="1" applyAlignment="1">
      <alignment horizontal="center" vertical="center" wrapText="1"/>
    </xf>
    <xf numFmtId="0" fontId="11" fillId="0" borderId="0" xfId="0" applyFont="1" applyAlignment="1">
      <alignment horizontal="left"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3" fillId="0" borderId="1" xfId="0" applyFont="1" applyBorder="1" applyAlignment="1">
      <alignment horizontal="right" vertical="center" wrapText="1"/>
    </xf>
    <xf numFmtId="0" fontId="6" fillId="0" borderId="2" xfId="0" applyFont="1" applyBorder="1" applyAlignment="1">
      <alignment horizontal="center" vertical="center" wrapText="1"/>
    </xf>
    <xf numFmtId="3" fontId="6" fillId="0" borderId="2" xfId="0" applyNumberFormat="1" applyFont="1" applyBorder="1" applyAlignment="1">
      <alignment horizontal="center" vertical="center" wrapText="1"/>
    </xf>
    <xf numFmtId="0" fontId="21" fillId="2" borderId="8"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21" fillId="2" borderId="16"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7" fillId="2" borderId="0" xfId="0" applyFont="1" applyFill="1" applyAlignment="1">
      <alignment horizontal="center" vertical="center" wrapText="1"/>
    </xf>
    <xf numFmtId="0" fontId="25" fillId="2" borderId="0" xfId="0" applyFont="1" applyFill="1" applyAlignment="1">
      <alignment horizontal="center" vertical="center" wrapText="1"/>
    </xf>
    <xf numFmtId="0" fontId="26" fillId="2" borderId="0" xfId="0" applyFont="1" applyFill="1" applyAlignment="1">
      <alignment horizontal="center" vertical="center" wrapText="1"/>
    </xf>
    <xf numFmtId="3" fontId="21" fillId="2" borderId="16" xfId="0" applyNumberFormat="1" applyFont="1" applyFill="1" applyBorder="1" applyAlignment="1">
      <alignment horizontal="center" vertical="center" wrapText="1"/>
    </xf>
    <xf numFmtId="3" fontId="21" fillId="2" borderId="2" xfId="0" applyNumberFormat="1" applyFont="1" applyFill="1" applyBorder="1" applyAlignment="1">
      <alignment horizontal="center" vertical="center" wrapText="1"/>
    </xf>
    <xf numFmtId="3" fontId="21" fillId="2" borderId="31" xfId="0" applyNumberFormat="1" applyFont="1" applyFill="1" applyBorder="1" applyAlignment="1">
      <alignment horizontal="center" vertical="center" wrapText="1"/>
    </xf>
    <xf numFmtId="3" fontId="21" fillId="2" borderId="37" xfId="0" applyNumberFormat="1" applyFont="1" applyFill="1" applyBorder="1" applyAlignment="1">
      <alignment horizontal="center" vertical="center" wrapText="1"/>
    </xf>
    <xf numFmtId="3" fontId="21" fillId="2" borderId="32" xfId="0" applyNumberFormat="1" applyFont="1" applyFill="1" applyBorder="1" applyAlignment="1">
      <alignment horizontal="center" vertical="center" wrapText="1"/>
    </xf>
    <xf numFmtId="3" fontId="21" fillId="2" borderId="29" xfId="0" applyNumberFormat="1" applyFont="1" applyFill="1" applyBorder="1" applyAlignment="1">
      <alignment horizontal="center" vertical="center" wrapText="1"/>
    </xf>
    <xf numFmtId="3" fontId="21" fillId="2" borderId="1" xfId="0" applyNumberFormat="1" applyFont="1" applyFill="1" applyBorder="1" applyAlignment="1">
      <alignment horizontal="center" vertical="center" wrapText="1"/>
    </xf>
    <xf numFmtId="3" fontId="21" fillId="2" borderId="30" xfId="0" applyNumberFormat="1" applyFont="1" applyFill="1" applyBorder="1" applyAlignment="1">
      <alignment horizontal="center" vertical="center" wrapText="1"/>
    </xf>
    <xf numFmtId="0" fontId="27" fillId="2" borderId="10" xfId="0" applyFont="1" applyFill="1" applyBorder="1" applyAlignment="1">
      <alignment horizontal="center" vertical="center" wrapText="1"/>
    </xf>
    <xf numFmtId="0" fontId="21" fillId="0" borderId="16" xfId="0" applyFont="1" applyBorder="1" applyAlignment="1">
      <alignment horizontal="center" vertical="center" wrapText="1"/>
    </xf>
    <xf numFmtId="0" fontId="21" fillId="0" borderId="2" xfId="0" applyFont="1" applyBorder="1" applyAlignment="1">
      <alignment horizontal="center" vertical="center" wrapText="1"/>
    </xf>
    <xf numFmtId="0" fontId="21" fillId="2" borderId="18" xfId="0" applyFont="1" applyFill="1" applyBorder="1" applyAlignment="1">
      <alignment horizontal="center" vertical="center" wrapText="1"/>
    </xf>
    <xf numFmtId="0" fontId="21" fillId="2" borderId="20" xfId="0" applyFont="1" applyFill="1" applyBorder="1" applyAlignment="1">
      <alignment horizontal="center" vertical="center" wrapText="1"/>
    </xf>
    <xf numFmtId="0" fontId="38" fillId="2" borderId="0" xfId="0" applyFont="1" applyFill="1" applyAlignment="1">
      <alignment horizontal="center" vertical="center" wrapText="1"/>
    </xf>
    <xf numFmtId="0" fontId="5" fillId="0" borderId="0" xfId="0" applyFont="1" applyAlignment="1">
      <alignment horizontal="center" vertical="center" wrapText="1"/>
    </xf>
    <xf numFmtId="0" fontId="21" fillId="2" borderId="19" xfId="0" applyFont="1" applyFill="1" applyBorder="1" applyAlignment="1">
      <alignment horizontal="center" vertical="center" wrapText="1"/>
    </xf>
    <xf numFmtId="0" fontId="4" fillId="0" borderId="0" xfId="0" applyFont="1" applyAlignment="1">
      <alignment horizontal="center" vertical="center" wrapText="1"/>
    </xf>
    <xf numFmtId="0" fontId="6" fillId="2" borderId="0" xfId="0" applyFont="1" applyFill="1" applyAlignment="1">
      <alignment horizontal="center" vertical="center" wrapText="1"/>
    </xf>
    <xf numFmtId="3" fontId="41" fillId="2" borderId="2" xfId="0" applyNumberFormat="1" applyFont="1" applyFill="1" applyBorder="1" applyAlignment="1">
      <alignment horizontal="center" vertical="center" wrapText="1"/>
    </xf>
    <xf numFmtId="0" fontId="41" fillId="2" borderId="2" xfId="0" applyFont="1" applyFill="1" applyBorder="1" applyAlignment="1">
      <alignment horizontal="center" vertical="center" wrapText="1"/>
    </xf>
    <xf numFmtId="0" fontId="41" fillId="0" borderId="2" xfId="0" applyFont="1" applyBorder="1" applyAlignment="1">
      <alignment horizontal="center" vertical="center" wrapText="1"/>
    </xf>
    <xf numFmtId="0" fontId="25" fillId="2" borderId="0" xfId="0" applyFont="1" applyFill="1" applyAlignment="1">
      <alignment horizontal="right" vertical="center" wrapText="1"/>
    </xf>
    <xf numFmtId="3" fontId="21" fillId="2" borderId="25" xfId="0" applyNumberFormat="1" applyFont="1" applyFill="1" applyBorder="1" applyAlignment="1">
      <alignment horizontal="center" vertical="center" wrapText="1"/>
    </xf>
    <xf numFmtId="0" fontId="21" fillId="2" borderId="26" xfId="0" applyFont="1" applyFill="1" applyBorder="1" applyAlignment="1">
      <alignment horizontal="center" vertical="center" wrapText="1"/>
    </xf>
    <xf numFmtId="0" fontId="21" fillId="2" borderId="25" xfId="0" applyFont="1" applyFill="1" applyBorder="1" applyAlignment="1">
      <alignment horizontal="center" vertical="center" wrapText="1"/>
    </xf>
    <xf numFmtId="0" fontId="21" fillId="2" borderId="24" xfId="0" applyFont="1" applyFill="1" applyBorder="1" applyAlignment="1">
      <alignment horizontal="center" vertical="center" wrapText="1"/>
    </xf>
    <xf numFmtId="0" fontId="21" fillId="0" borderId="25" xfId="0" applyFont="1" applyBorder="1" applyAlignment="1">
      <alignment horizontal="center" vertical="center" wrapText="1"/>
    </xf>
    <xf numFmtId="0" fontId="25" fillId="0" borderId="0" xfId="0" applyFont="1" applyFill="1" applyAlignment="1">
      <alignment vertical="center" wrapText="1"/>
    </xf>
    <xf numFmtId="0" fontId="67" fillId="0" borderId="0" xfId="0" applyFont="1" applyFill="1" applyAlignment="1">
      <alignment horizontal="right" vertical="center" wrapText="1"/>
    </xf>
    <xf numFmtId="0" fontId="21" fillId="0" borderId="0" xfId="0" applyFont="1" applyFill="1" applyAlignment="1">
      <alignment horizontal="right" vertical="center" wrapText="1"/>
    </xf>
    <xf numFmtId="0" fontId="24" fillId="0" borderId="0" xfId="0" applyFont="1" applyFill="1" applyAlignment="1">
      <alignment horizontal="center" vertical="center" wrapText="1"/>
    </xf>
    <xf numFmtId="0" fontId="29" fillId="0" borderId="0" xfId="0" applyFont="1" applyFill="1" applyAlignment="1">
      <alignment horizontal="left" vertical="center" wrapText="1"/>
    </xf>
    <xf numFmtId="0" fontId="36" fillId="0" borderId="0" xfId="0" applyFont="1" applyFill="1" applyAlignment="1">
      <alignment horizontal="left" vertical="center" wrapText="1"/>
    </xf>
    <xf numFmtId="165" fontId="36" fillId="0" borderId="0" xfId="0" applyNumberFormat="1" applyFont="1" applyFill="1" applyAlignment="1">
      <alignment horizontal="left" vertical="center" wrapText="1"/>
    </xf>
    <xf numFmtId="0" fontId="4" fillId="0" borderId="0" xfId="0" applyFont="1" applyFill="1" applyAlignment="1">
      <alignment horizontal="left" vertical="center" wrapText="1"/>
    </xf>
    <xf numFmtId="0" fontId="25" fillId="0" borderId="0" xfId="0" applyFont="1" applyFill="1" applyAlignment="1">
      <alignment horizontal="center" vertical="center" wrapText="1"/>
    </xf>
    <xf numFmtId="0" fontId="67" fillId="0" borderId="0" xfId="0" applyFont="1" applyFill="1" applyAlignment="1">
      <alignment horizontal="center" vertical="center" wrapText="1"/>
    </xf>
    <xf numFmtId="0" fontId="21" fillId="0" borderId="0" xfId="0" applyFont="1" applyFill="1" applyAlignment="1">
      <alignment horizontal="center" vertical="center" wrapText="1"/>
    </xf>
    <xf numFmtId="0" fontId="26" fillId="0" borderId="0" xfId="0" applyFont="1" applyFill="1" applyAlignment="1">
      <alignment horizontal="center" vertical="center" wrapText="1"/>
    </xf>
    <xf numFmtId="0" fontId="68" fillId="0" borderId="0" xfId="0" applyFont="1" applyFill="1" applyAlignment="1">
      <alignment horizontal="center" vertical="center" wrapText="1"/>
    </xf>
    <xf numFmtId="0" fontId="22" fillId="0" borderId="0" xfId="0" applyFont="1" applyFill="1" applyAlignment="1">
      <alignment horizontal="center" vertical="center" wrapText="1"/>
    </xf>
    <xf numFmtId="0" fontId="31" fillId="0" borderId="0" xfId="0" applyFont="1" applyFill="1" applyAlignment="1">
      <alignment horizontal="center" vertical="center" wrapText="1"/>
    </xf>
    <xf numFmtId="0" fontId="27" fillId="0" borderId="0" xfId="0" applyFont="1" applyFill="1" applyAlignment="1">
      <alignment vertical="center" wrapText="1"/>
    </xf>
    <xf numFmtId="0" fontId="23" fillId="0" borderId="0" xfId="0" applyFont="1" applyFill="1" applyAlignment="1">
      <alignment vertical="center" wrapText="1"/>
    </xf>
    <xf numFmtId="0" fontId="70" fillId="0" borderId="0" xfId="0" applyFont="1" applyFill="1" applyAlignment="1">
      <alignment horizontal="center" vertical="center" wrapText="1"/>
    </xf>
    <xf numFmtId="0" fontId="23" fillId="0" borderId="0" xfId="0" applyFont="1" applyFill="1" applyAlignment="1">
      <alignment horizontal="center" vertical="center" wrapText="1"/>
    </xf>
    <xf numFmtId="0" fontId="46" fillId="0" borderId="0" xfId="0" applyFont="1" applyFill="1" applyAlignment="1">
      <alignment horizontal="center" vertical="center" wrapText="1"/>
    </xf>
    <xf numFmtId="0" fontId="6" fillId="0" borderId="0" xfId="0" applyFont="1" applyFill="1" applyAlignment="1">
      <alignment horizontal="center" vertical="center" wrapText="1"/>
    </xf>
    <xf numFmtId="0" fontId="46" fillId="0" borderId="0" xfId="0" applyFont="1" applyFill="1" applyAlignment="1">
      <alignment horizontal="center" vertical="center" wrapText="1"/>
    </xf>
    <xf numFmtId="165" fontId="24" fillId="0" borderId="0" xfId="0" applyNumberFormat="1" applyFont="1" applyFill="1" applyAlignment="1">
      <alignment horizontal="center" vertical="center" wrapText="1"/>
    </xf>
    <xf numFmtId="164" fontId="36" fillId="0" borderId="0" xfId="0" applyNumberFormat="1" applyFont="1" applyFill="1" applyAlignment="1">
      <alignment horizontal="left" vertical="center" wrapText="1"/>
    </xf>
    <xf numFmtId="0" fontId="69" fillId="0" borderId="0" xfId="0" applyFont="1" applyFill="1" applyAlignment="1">
      <alignment horizontal="left" vertical="center" wrapText="1"/>
    </xf>
    <xf numFmtId="0" fontId="31" fillId="0" borderId="0" xfId="0" applyFont="1" applyFill="1" applyAlignment="1">
      <alignment horizontal="left" vertical="center" wrapText="1"/>
    </xf>
    <xf numFmtId="0" fontId="37" fillId="0" borderId="0" xfId="0" applyFont="1" applyFill="1" applyAlignment="1">
      <alignment horizontal="left" vertical="center" wrapText="1"/>
    </xf>
    <xf numFmtId="0" fontId="30" fillId="0" borderId="0" xfId="0" applyFont="1" applyFill="1" applyAlignment="1">
      <alignment horizontal="left" vertical="center" wrapText="1"/>
    </xf>
    <xf numFmtId="165" fontId="37" fillId="0" borderId="0" xfId="0" applyNumberFormat="1" applyFont="1" applyFill="1" applyAlignment="1">
      <alignment horizontal="left" vertical="center" wrapText="1"/>
    </xf>
    <xf numFmtId="0" fontId="46" fillId="0" borderId="0" xfId="0" applyFont="1" applyFill="1" applyAlignment="1">
      <alignment horizontal="left" vertical="center" wrapText="1"/>
    </xf>
    <xf numFmtId="0" fontId="6" fillId="0" borderId="0" xfId="0" applyFont="1" applyFill="1" applyAlignment="1">
      <alignment horizontal="left" vertical="center" wrapText="1"/>
    </xf>
    <xf numFmtId="167" fontId="36" fillId="0" borderId="0" xfId="0" applyNumberFormat="1" applyFont="1" applyFill="1" applyAlignment="1">
      <alignment horizontal="left" vertical="center" wrapText="1"/>
    </xf>
    <xf numFmtId="0" fontId="4" fillId="0" borderId="0" xfId="0" applyFont="1" applyFill="1" applyAlignment="1">
      <alignment horizontal="center" vertical="center" wrapText="1"/>
    </xf>
    <xf numFmtId="3" fontId="4" fillId="0" borderId="0" xfId="0" applyNumberFormat="1" applyFont="1" applyFill="1" applyAlignment="1">
      <alignment horizontal="right" vertical="center" wrapText="1"/>
    </xf>
    <xf numFmtId="3" fontId="29" fillId="0" borderId="0" xfId="0" applyNumberFormat="1" applyFont="1" applyFill="1" applyAlignment="1">
      <alignment horizontal="right" vertical="center" wrapText="1"/>
    </xf>
    <xf numFmtId="165" fontId="4" fillId="0" borderId="0" xfId="0" applyNumberFormat="1" applyFont="1" applyFill="1" applyAlignment="1">
      <alignment horizontal="left" vertical="center" wrapText="1"/>
    </xf>
    <xf numFmtId="173" fontId="4" fillId="0" borderId="0" xfId="0" applyNumberFormat="1" applyFont="1" applyFill="1" applyAlignment="1">
      <alignment horizontal="left" vertical="center" wrapText="1"/>
    </xf>
    <xf numFmtId="4" fontId="4" fillId="0" borderId="0" xfId="0" applyNumberFormat="1" applyFont="1" applyFill="1" applyAlignment="1">
      <alignment horizontal="right" vertical="center" wrapText="1"/>
    </xf>
    <xf numFmtId="169" fontId="4" fillId="0" borderId="0" xfId="0" applyNumberFormat="1" applyFont="1" applyFill="1" applyAlignment="1">
      <alignment horizontal="left" vertical="center" wrapText="1"/>
    </xf>
    <xf numFmtId="4" fontId="72" fillId="0" borderId="0" xfId="0" applyNumberFormat="1" applyFont="1" applyFill="1" applyAlignment="1">
      <alignment horizontal="left" vertical="top"/>
    </xf>
    <xf numFmtId="4" fontId="62" fillId="0" borderId="0" xfId="0" applyNumberFormat="1" applyFont="1" applyFill="1" applyAlignment="1">
      <alignment horizontal="left" vertical="top"/>
    </xf>
    <xf numFmtId="171" fontId="4" fillId="0" borderId="0" xfId="0" applyNumberFormat="1" applyFont="1" applyFill="1" applyAlignment="1">
      <alignment horizontal="right" vertical="center" wrapText="1"/>
    </xf>
    <xf numFmtId="0" fontId="4" fillId="0" borderId="0" xfId="0" applyFont="1" applyFill="1" applyAlignment="1">
      <alignment horizontal="center" vertical="center" wrapText="1"/>
    </xf>
    <xf numFmtId="0" fontId="6" fillId="0" borderId="0" xfId="0" applyFont="1" applyFill="1" applyAlignment="1">
      <alignment horizontal="center" vertical="center" wrapText="1"/>
    </xf>
    <xf numFmtId="164" fontId="4" fillId="0" borderId="0" xfId="0" applyNumberFormat="1" applyFont="1" applyFill="1" applyAlignment="1">
      <alignment horizontal="left" vertical="center" wrapText="1"/>
    </xf>
    <xf numFmtId="165" fontId="30" fillId="0" borderId="0" xfId="0" applyNumberFormat="1" applyFont="1" applyFill="1" applyAlignment="1">
      <alignment horizontal="left" vertical="center" wrapText="1"/>
    </xf>
    <xf numFmtId="49" fontId="24" fillId="0" borderId="0" xfId="12" applyNumberFormat="1" applyFont="1" applyFill="1" applyAlignment="1">
      <alignment horizontal="center" vertical="center" wrapText="1"/>
    </xf>
    <xf numFmtId="167" fontId="4" fillId="0" borderId="0" xfId="0" applyNumberFormat="1" applyFont="1" applyFill="1" applyAlignment="1">
      <alignment horizontal="left" vertical="center" wrapText="1"/>
    </xf>
    <xf numFmtId="0" fontId="66" fillId="0" borderId="0" xfId="0" applyFont="1" applyFill="1" applyAlignment="1">
      <alignment horizontal="center" vertical="center" wrapText="1"/>
    </xf>
    <xf numFmtId="0" fontId="69" fillId="0" borderId="0" xfId="0" applyFont="1" applyFill="1" applyAlignment="1">
      <alignment horizontal="center" vertical="center" wrapText="1"/>
    </xf>
    <xf numFmtId="0" fontId="36" fillId="0" borderId="0" xfId="0" applyFont="1" applyFill="1" applyAlignment="1">
      <alignment horizontal="center" vertical="center" wrapText="1"/>
    </xf>
    <xf numFmtId="165" fontId="75" fillId="0" borderId="0" xfId="1" applyNumberFormat="1" applyFont="1" applyFill="1" applyBorder="1" applyAlignment="1">
      <alignment horizontal="center" vertical="center" wrapText="1"/>
    </xf>
    <xf numFmtId="165" fontId="66" fillId="0" borderId="0" xfId="0" applyNumberFormat="1" applyFont="1" applyFill="1" applyAlignment="1">
      <alignment horizontal="center" vertical="center" wrapText="1"/>
    </xf>
    <xf numFmtId="165" fontId="71" fillId="0" borderId="0" xfId="1" applyNumberFormat="1" applyFont="1" applyFill="1" applyBorder="1" applyAlignment="1">
      <alignment horizontal="left" vertical="center" wrapText="1"/>
    </xf>
    <xf numFmtId="164" fontId="66" fillId="0" borderId="0" xfId="1" applyNumberFormat="1" applyFont="1" applyFill="1" applyBorder="1" applyAlignment="1">
      <alignment horizontal="left" vertical="center" wrapText="1"/>
    </xf>
    <xf numFmtId="165" fontId="66" fillId="0" borderId="0" xfId="1" applyNumberFormat="1" applyFont="1" applyFill="1" applyBorder="1" applyAlignment="1">
      <alignment horizontal="center" vertical="center" wrapText="1"/>
    </xf>
    <xf numFmtId="164" fontId="36" fillId="0" borderId="0" xfId="1" applyFont="1" applyFill="1" applyAlignment="1">
      <alignment horizontal="left" vertical="center" wrapText="1"/>
    </xf>
    <xf numFmtId="164" fontId="66" fillId="0" borderId="0" xfId="1" applyFont="1" applyFill="1" applyBorder="1" applyAlignment="1">
      <alignment horizontal="center" vertical="center" wrapText="1"/>
    </xf>
    <xf numFmtId="165" fontId="66" fillId="0" borderId="0" xfId="1" applyNumberFormat="1" applyFont="1" applyFill="1" applyBorder="1" applyAlignment="1">
      <alignment horizontal="left" vertical="center" wrapText="1"/>
    </xf>
    <xf numFmtId="49" fontId="66" fillId="0" borderId="0" xfId="12" applyNumberFormat="1" applyFont="1" applyFill="1" applyAlignment="1">
      <alignment horizontal="center" vertical="center" wrapText="1"/>
    </xf>
    <xf numFmtId="0" fontId="27" fillId="0" borderId="0" xfId="0" applyFont="1" applyFill="1" applyBorder="1" applyAlignment="1">
      <alignment vertical="center" wrapText="1"/>
    </xf>
    <xf numFmtId="0" fontId="21" fillId="0" borderId="21" xfId="0" applyFont="1" applyFill="1" applyBorder="1" applyAlignment="1">
      <alignment horizontal="center" vertical="center" wrapText="1"/>
    </xf>
    <xf numFmtId="3" fontId="21" fillId="0" borderId="21" xfId="0" applyNumberFormat="1" applyFont="1" applyFill="1" applyBorder="1" applyAlignment="1">
      <alignment horizontal="center" vertical="center" wrapText="1"/>
    </xf>
    <xf numFmtId="0" fontId="21" fillId="0" borderId="21" xfId="0" applyFont="1" applyFill="1" applyBorder="1" applyAlignment="1">
      <alignment horizontal="center" vertical="center" wrapText="1"/>
    </xf>
    <xf numFmtId="3" fontId="21" fillId="0" borderId="21" xfId="0" applyNumberFormat="1" applyFont="1" applyFill="1" applyBorder="1" applyAlignment="1">
      <alignment horizontal="center" vertical="center" wrapText="1"/>
    </xf>
    <xf numFmtId="0" fontId="11" fillId="0" borderId="21" xfId="0" applyFont="1" applyFill="1" applyBorder="1" applyAlignment="1">
      <alignment horizontal="left" vertical="center" wrapText="1"/>
    </xf>
    <xf numFmtId="165" fontId="21" fillId="0" borderId="21" xfId="1" applyNumberFormat="1" applyFont="1" applyFill="1" applyBorder="1" applyAlignment="1">
      <alignment horizontal="center" vertical="center" wrapText="1"/>
    </xf>
    <xf numFmtId="165" fontId="21" fillId="0" borderId="21" xfId="1" applyNumberFormat="1" applyFont="1" applyFill="1" applyBorder="1" applyAlignment="1">
      <alignment horizontal="left" vertical="center" wrapText="1"/>
    </xf>
    <xf numFmtId="164" fontId="21" fillId="0" borderId="21" xfId="1" applyFont="1" applyFill="1" applyBorder="1" applyAlignment="1">
      <alignment horizontal="right" vertical="center" wrapText="1"/>
    </xf>
    <xf numFmtId="165" fontId="41" fillId="0" borderId="21" xfId="0" applyNumberFormat="1" applyFont="1" applyFill="1" applyBorder="1" applyAlignment="1">
      <alignment horizontal="left" vertical="center" wrapText="1"/>
    </xf>
    <xf numFmtId="0" fontId="21" fillId="0" borderId="21" xfId="0" applyFont="1" applyFill="1" applyBorder="1" applyAlignment="1">
      <alignment horizontal="left" vertical="center" wrapText="1"/>
    </xf>
    <xf numFmtId="165" fontId="21" fillId="0" borderId="21" xfId="0" applyNumberFormat="1" applyFont="1" applyFill="1" applyBorder="1" applyAlignment="1">
      <alignment horizontal="left" vertical="center" wrapText="1"/>
    </xf>
    <xf numFmtId="165" fontId="21" fillId="0" borderId="21" xfId="1" applyNumberFormat="1" applyFont="1" applyFill="1" applyBorder="1" applyAlignment="1">
      <alignment horizontal="right" vertical="center" wrapText="1"/>
    </xf>
    <xf numFmtId="0" fontId="40" fillId="0" borderId="21" xfId="0" applyFont="1" applyFill="1" applyBorder="1" applyAlignment="1">
      <alignment horizontal="left" vertical="center" wrapText="1"/>
    </xf>
    <xf numFmtId="0" fontId="22" fillId="0" borderId="21" xfId="0" applyFont="1" applyFill="1" applyBorder="1" applyAlignment="1">
      <alignment horizontal="center" vertical="center" wrapText="1"/>
    </xf>
    <xf numFmtId="0" fontId="22" fillId="0" borderId="21" xfId="0" applyFont="1" applyFill="1" applyBorder="1" applyAlignment="1">
      <alignment horizontal="left" vertical="center" wrapText="1"/>
    </xf>
    <xf numFmtId="165" fontId="22" fillId="0" borderId="21" xfId="0" applyNumberFormat="1" applyFont="1" applyFill="1" applyBorder="1" applyAlignment="1">
      <alignment horizontal="left" vertical="center" wrapText="1"/>
    </xf>
    <xf numFmtId="165" fontId="22" fillId="0" borderId="21" xfId="1" applyNumberFormat="1" applyFont="1" applyFill="1" applyBorder="1" applyAlignment="1">
      <alignment horizontal="left" vertical="center" wrapText="1"/>
    </xf>
    <xf numFmtId="165" fontId="22" fillId="0" borderId="21" xfId="1" applyNumberFormat="1" applyFont="1" applyFill="1" applyBorder="1" applyAlignment="1">
      <alignment horizontal="right" vertical="center" wrapText="1"/>
    </xf>
    <xf numFmtId="164" fontId="22" fillId="0" borderId="21" xfId="1" applyFont="1" applyFill="1" applyBorder="1" applyAlignment="1">
      <alignment horizontal="right" vertical="center" wrapText="1"/>
    </xf>
    <xf numFmtId="0" fontId="44" fillId="0" borderId="21" xfId="0" applyFont="1" applyFill="1" applyBorder="1" applyAlignment="1">
      <alignment horizontal="left" vertical="center" wrapText="1"/>
    </xf>
    <xf numFmtId="0" fontId="41" fillId="0" borderId="21" xfId="0" applyFont="1" applyFill="1" applyBorder="1" applyAlignment="1">
      <alignment horizontal="left" vertical="center" wrapText="1"/>
    </xf>
    <xf numFmtId="0" fontId="27" fillId="0" borderId="0" xfId="0" applyFont="1" applyFill="1" applyAlignment="1">
      <alignment horizontal="right" vertical="center" wrapText="1"/>
    </xf>
    <xf numFmtId="0" fontId="11" fillId="0" borderId="0" xfId="0" applyFont="1" applyFill="1" applyAlignment="1">
      <alignment horizontal="center" vertical="center" wrapText="1"/>
    </xf>
    <xf numFmtId="0" fontId="11" fillId="0" borderId="0" xfId="0" applyFont="1" applyFill="1" applyAlignment="1">
      <alignment horizontal="left" vertical="center" wrapText="1"/>
    </xf>
    <xf numFmtId="165" fontId="11" fillId="0" borderId="0" xfId="0" applyNumberFormat="1" applyFont="1" applyFill="1" applyAlignment="1">
      <alignment horizontal="left" vertical="center" wrapText="1"/>
    </xf>
    <xf numFmtId="0" fontId="57" fillId="0" borderId="0" xfId="0" applyFont="1" applyFill="1" applyAlignment="1">
      <alignment horizontal="left" vertical="center" wrapText="1"/>
    </xf>
    <xf numFmtId="165" fontId="28" fillId="0" borderId="0" xfId="0" applyNumberFormat="1" applyFont="1" applyFill="1" applyAlignment="1">
      <alignment horizontal="left" vertical="center" wrapText="1"/>
    </xf>
    <xf numFmtId="172" fontId="4" fillId="0" borderId="0" xfId="0" applyNumberFormat="1" applyFont="1" applyFill="1" applyAlignment="1">
      <alignment horizontal="left" vertical="center" wrapText="1"/>
    </xf>
    <xf numFmtId="168" fontId="4" fillId="0" borderId="0" xfId="0" applyNumberFormat="1" applyFont="1" applyFill="1" applyAlignment="1">
      <alignment horizontal="left" vertical="center" wrapText="1"/>
    </xf>
    <xf numFmtId="2" fontId="4" fillId="0" borderId="0" xfId="0" applyNumberFormat="1" applyFont="1" applyFill="1" applyAlignment="1">
      <alignment horizontal="center" vertical="center" wrapText="1"/>
    </xf>
    <xf numFmtId="172" fontId="4" fillId="0" borderId="0" xfId="0" applyNumberFormat="1" applyFont="1" applyFill="1" applyAlignment="1">
      <alignment horizontal="center" vertical="center" wrapText="1"/>
    </xf>
    <xf numFmtId="0" fontId="24" fillId="0" borderId="0" xfId="0" applyFont="1" applyFill="1" applyAlignment="1">
      <alignment horizontal="left" vertical="center" wrapText="1"/>
    </xf>
    <xf numFmtId="172" fontId="30" fillId="0" borderId="0" xfId="0" applyNumberFormat="1" applyFont="1" applyFill="1" applyAlignment="1">
      <alignment horizontal="left" vertical="center" wrapText="1"/>
    </xf>
    <xf numFmtId="0" fontId="34" fillId="0" borderId="0" xfId="0" applyFont="1" applyFill="1" applyAlignment="1">
      <alignment horizontal="left" vertical="center" wrapText="1"/>
    </xf>
    <xf numFmtId="0" fontId="5" fillId="0" borderId="0" xfId="0" applyFont="1" applyFill="1" applyAlignment="1">
      <alignment horizontal="left" vertical="center" wrapText="1"/>
    </xf>
    <xf numFmtId="0" fontId="38" fillId="0" borderId="0" xfId="0" applyFont="1" applyFill="1" applyAlignment="1">
      <alignment horizontal="left" vertical="center" wrapText="1"/>
    </xf>
    <xf numFmtId="0" fontId="38" fillId="0" borderId="0" xfId="0" applyFont="1" applyFill="1" applyAlignment="1">
      <alignment horizontal="center" vertical="center" wrapText="1"/>
    </xf>
    <xf numFmtId="0" fontId="38" fillId="0" borderId="0" xfId="0" applyFont="1" applyFill="1" applyAlignment="1">
      <alignment horizontal="center" vertical="center" wrapText="1"/>
    </xf>
    <xf numFmtId="165" fontId="46" fillId="0" borderId="0" xfId="0" applyNumberFormat="1" applyFont="1" applyFill="1" applyAlignment="1">
      <alignment horizontal="left" vertical="center" wrapText="1"/>
    </xf>
    <xf numFmtId="165" fontId="47" fillId="0" borderId="21" xfId="1" applyNumberFormat="1" applyFont="1" applyFill="1" applyBorder="1" applyAlignment="1">
      <alignment horizontal="right" vertical="center" wrapText="1"/>
    </xf>
    <xf numFmtId="49" fontId="31" fillId="0" borderId="0" xfId="12" applyNumberFormat="1" applyFont="1" applyFill="1" applyAlignment="1">
      <alignment horizontal="center" vertical="center" wrapText="1"/>
    </xf>
    <xf numFmtId="165" fontId="38" fillId="0" borderId="0" xfId="0" applyNumberFormat="1" applyFont="1" applyFill="1" applyAlignment="1">
      <alignment horizontal="left" vertical="center" wrapText="1"/>
    </xf>
    <xf numFmtId="165" fontId="61" fillId="0" borderId="0" xfId="1" applyNumberFormat="1" applyFont="1" applyFill="1" applyBorder="1" applyAlignment="1">
      <alignment horizontal="right" vertical="center" wrapText="1"/>
    </xf>
    <xf numFmtId="0" fontId="40" fillId="0" borderId="0" xfId="0" applyFont="1" applyFill="1" applyAlignment="1">
      <alignment horizontal="left" vertical="center" wrapText="1"/>
    </xf>
    <xf numFmtId="0" fontId="40" fillId="0" borderId="0" xfId="0" applyFont="1" applyFill="1" applyAlignment="1">
      <alignment horizontal="center" vertical="center" wrapText="1"/>
    </xf>
    <xf numFmtId="0" fontId="41" fillId="0" borderId="0" xfId="0" applyFont="1" applyFill="1" applyAlignment="1">
      <alignment horizontal="left" vertical="center" wrapText="1"/>
    </xf>
    <xf numFmtId="165" fontId="40" fillId="0" borderId="0" xfId="0" applyNumberFormat="1" applyFont="1" applyFill="1" applyAlignment="1">
      <alignment horizontal="left" vertical="center" wrapText="1"/>
    </xf>
    <xf numFmtId="0" fontId="48" fillId="0" borderId="0" xfId="0" applyFont="1" applyFill="1" applyAlignment="1">
      <alignment horizontal="left" vertical="center" wrapText="1"/>
    </xf>
    <xf numFmtId="165" fontId="48" fillId="0" borderId="0" xfId="0" applyNumberFormat="1" applyFont="1" applyFill="1" applyAlignment="1">
      <alignment horizontal="left" vertical="center" wrapText="1"/>
    </xf>
    <xf numFmtId="165" fontId="47" fillId="0" borderId="0" xfId="0" applyNumberFormat="1" applyFont="1" applyFill="1" applyAlignment="1">
      <alignment horizontal="left" vertical="center" wrapText="1"/>
    </xf>
    <xf numFmtId="0" fontId="47" fillId="0" borderId="0" xfId="0" applyFont="1" applyFill="1" applyAlignment="1">
      <alignment horizontal="left" vertical="center" wrapText="1"/>
    </xf>
    <xf numFmtId="0" fontId="42" fillId="0" borderId="0" xfId="0" applyFont="1" applyFill="1" applyAlignment="1">
      <alignment horizontal="left" vertical="center" wrapText="1"/>
    </xf>
    <xf numFmtId="0" fontId="42" fillId="0" borderId="0" xfId="0" applyFont="1" applyFill="1" applyAlignment="1">
      <alignment horizontal="center" vertical="center" wrapText="1"/>
    </xf>
    <xf numFmtId="49" fontId="34" fillId="0" borderId="0" xfId="12" applyNumberFormat="1" applyFont="1" applyFill="1" applyAlignment="1">
      <alignment horizontal="center" vertical="center" wrapText="1"/>
    </xf>
    <xf numFmtId="165" fontId="42" fillId="0" borderId="0" xfId="0" applyNumberFormat="1" applyFont="1" applyFill="1" applyAlignment="1">
      <alignment horizontal="left" vertical="center" wrapText="1"/>
    </xf>
    <xf numFmtId="0" fontId="56" fillId="0" borderId="0" xfId="0" applyFont="1" applyFill="1" applyAlignment="1">
      <alignment horizontal="left" vertical="center" wrapText="1"/>
    </xf>
    <xf numFmtId="165" fontId="56" fillId="0" borderId="0" xfId="0" applyNumberFormat="1" applyFont="1" applyFill="1" applyAlignment="1">
      <alignment horizontal="left" vertical="center" wrapText="1"/>
    </xf>
    <xf numFmtId="165" fontId="56" fillId="0" borderId="0" xfId="1" applyNumberFormat="1" applyFont="1" applyFill="1" applyBorder="1" applyAlignment="1">
      <alignment horizontal="right" vertical="center" wrapText="1"/>
    </xf>
    <xf numFmtId="0" fontId="41" fillId="0" borderId="0" xfId="0" applyFont="1" applyFill="1" applyAlignment="1">
      <alignment horizontal="center" vertical="center" wrapText="1"/>
    </xf>
    <xf numFmtId="49" fontId="28" fillId="0" borderId="0" xfId="12" applyNumberFormat="1" applyFont="1" applyFill="1" applyAlignment="1">
      <alignment horizontal="center" vertical="center" wrapText="1"/>
    </xf>
    <xf numFmtId="165" fontId="41" fillId="0" borderId="0" xfId="0" applyNumberFormat="1" applyFont="1" applyFill="1" applyAlignment="1">
      <alignment horizontal="left" vertical="center" wrapText="1"/>
    </xf>
    <xf numFmtId="165" fontId="48" fillId="0" borderId="0" xfId="1" applyNumberFormat="1" applyFont="1" applyFill="1" applyBorder="1" applyAlignment="1">
      <alignment horizontal="right" vertical="center" wrapText="1"/>
    </xf>
    <xf numFmtId="0" fontId="4" fillId="0" borderId="0" xfId="4" applyFont="1" applyFill="1" applyAlignment="1">
      <alignment horizontal="center" vertical="center" wrapText="1"/>
    </xf>
    <xf numFmtId="0" fontId="4" fillId="0" borderId="0" xfId="4" quotePrefix="1" applyFont="1" applyFill="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21" xfId="0" applyFont="1" applyFill="1" applyBorder="1" applyAlignment="1">
      <alignment horizontal="left" vertical="center" wrapText="1"/>
    </xf>
    <xf numFmtId="0" fontId="6" fillId="0" borderId="21" xfId="0" applyFont="1" applyFill="1" applyBorder="1" applyAlignment="1">
      <alignment vertical="center" wrapText="1"/>
    </xf>
    <xf numFmtId="165" fontId="6" fillId="0" borderId="21" xfId="0" applyNumberFormat="1" applyFont="1" applyFill="1" applyBorder="1" applyAlignment="1">
      <alignment vertical="center" wrapText="1"/>
    </xf>
    <xf numFmtId="164" fontId="6" fillId="0" borderId="21" xfId="1" applyFont="1" applyFill="1" applyBorder="1" applyAlignment="1">
      <alignment vertical="center" wrapText="1"/>
    </xf>
    <xf numFmtId="0" fontId="6" fillId="0" borderId="27" xfId="0" applyFont="1" applyFill="1" applyBorder="1" applyAlignment="1">
      <alignment vertical="center" wrapText="1"/>
    </xf>
    <xf numFmtId="0" fontId="6" fillId="0" borderId="0" xfId="0" applyFont="1" applyFill="1" applyAlignment="1">
      <alignment vertical="center" wrapText="1"/>
    </xf>
    <xf numFmtId="0" fontId="28" fillId="0" borderId="28" xfId="0" applyFont="1" applyFill="1" applyBorder="1" applyAlignment="1">
      <alignment horizontal="center" vertical="center" wrapText="1"/>
    </xf>
    <xf numFmtId="0" fontId="4" fillId="0" borderId="21" xfId="0" applyFont="1" applyFill="1" applyBorder="1" applyAlignment="1">
      <alignment horizontal="center" vertical="center" wrapText="1"/>
    </xf>
    <xf numFmtId="49" fontId="24" fillId="0" borderId="21" xfId="12" applyNumberFormat="1" applyFont="1" applyFill="1" applyBorder="1" applyAlignment="1">
      <alignment horizontal="left" vertical="center" wrapText="1"/>
    </xf>
    <xf numFmtId="0" fontId="24" fillId="0" borderId="21" xfId="0" applyFont="1" applyFill="1" applyBorder="1" applyAlignment="1">
      <alignment horizontal="left" vertical="center" wrapText="1"/>
    </xf>
    <xf numFmtId="0" fontId="4" fillId="0" borderId="21" xfId="0" applyFont="1" applyFill="1" applyBorder="1" applyAlignment="1">
      <alignment horizontal="left" vertical="center" wrapText="1"/>
    </xf>
    <xf numFmtId="4" fontId="4" fillId="0" borderId="21" xfId="0" applyNumberFormat="1" applyFont="1" applyFill="1" applyBorder="1" applyAlignment="1">
      <alignment horizontal="right" vertical="center" wrapText="1"/>
    </xf>
    <xf numFmtId="0" fontId="4" fillId="0" borderId="27" xfId="0" applyFont="1" applyFill="1" applyBorder="1" applyAlignment="1">
      <alignment horizontal="left" vertical="center" wrapText="1"/>
    </xf>
    <xf numFmtId="0" fontId="24" fillId="0" borderId="28" xfId="0" applyFont="1" applyFill="1" applyBorder="1" applyAlignment="1">
      <alignment horizontal="center" vertical="center" wrapText="1"/>
    </xf>
    <xf numFmtId="165" fontId="29" fillId="0" borderId="0" xfId="0" applyNumberFormat="1" applyFont="1" applyFill="1" applyAlignment="1">
      <alignment horizontal="left" vertical="center" wrapText="1"/>
    </xf>
    <xf numFmtId="4" fontId="29" fillId="0" borderId="0" xfId="0" applyNumberFormat="1" applyFont="1" applyFill="1" applyAlignment="1">
      <alignment horizontal="right" vertical="center" wrapText="1"/>
    </xf>
    <xf numFmtId="0" fontId="26" fillId="0" borderId="47" xfId="0" applyFont="1" applyFill="1" applyBorder="1" applyAlignment="1">
      <alignment horizontal="right" vertical="center" wrapText="1"/>
    </xf>
    <xf numFmtId="0" fontId="26" fillId="0" borderId="0" xfId="0" applyFont="1" applyFill="1" applyBorder="1" applyAlignment="1">
      <alignment horizontal="right" vertical="center" wrapText="1"/>
    </xf>
    <xf numFmtId="0" fontId="26" fillId="0" borderId="0" xfId="0" applyFont="1" applyFill="1" applyBorder="1" applyAlignment="1">
      <alignment vertical="center" wrapText="1"/>
    </xf>
    <xf numFmtId="0" fontId="21" fillId="0" borderId="0" xfId="19" applyFont="1" applyFill="1" applyAlignment="1">
      <alignment horizontal="center" vertical="center"/>
    </xf>
    <xf numFmtId="0" fontId="22" fillId="0" borderId="0" xfId="19" applyFont="1" applyFill="1" applyAlignment="1">
      <alignment horizontal="center" vertical="center"/>
    </xf>
    <xf numFmtId="0" fontId="22" fillId="0" borderId="47" xfId="19" applyFont="1" applyFill="1" applyBorder="1" applyAlignment="1">
      <alignment vertical="center"/>
    </xf>
    <xf numFmtId="0" fontId="22" fillId="0" borderId="47" xfId="19" applyFont="1" applyFill="1" applyBorder="1" applyAlignment="1">
      <alignment horizontal="center" vertical="center"/>
    </xf>
    <xf numFmtId="164" fontId="0" fillId="0" borderId="0" xfId="1" applyFont="1" applyFill="1" applyAlignment="1">
      <alignment horizontal="center" vertical="center"/>
    </xf>
    <xf numFmtId="1" fontId="0" fillId="0" borderId="0" xfId="0" applyNumberFormat="1" applyFill="1" applyAlignment="1">
      <alignment horizontal="center" vertical="center"/>
    </xf>
    <xf numFmtId="174" fontId="0" fillId="0" borderId="0" xfId="0" applyNumberFormat="1" applyFill="1" applyAlignment="1">
      <alignment horizontal="center" vertical="center"/>
    </xf>
    <xf numFmtId="165" fontId="23" fillId="0" borderId="0" xfId="0" applyNumberFormat="1" applyFont="1" applyFill="1" applyAlignment="1">
      <alignment horizontal="center" vertical="center" wrapText="1"/>
    </xf>
    <xf numFmtId="165" fontId="6" fillId="0" borderId="0" xfId="0" applyNumberFormat="1" applyFont="1" applyFill="1" applyAlignment="1">
      <alignment horizontal="center" vertical="center" wrapText="1"/>
    </xf>
    <xf numFmtId="0" fontId="28" fillId="0" borderId="0" xfId="0" applyFont="1" applyFill="1" applyAlignment="1">
      <alignment horizontal="left" vertical="center" wrapText="1"/>
    </xf>
    <xf numFmtId="164" fontId="30" fillId="0" borderId="0" xfId="0" applyNumberFormat="1" applyFont="1" applyFill="1" applyAlignment="1">
      <alignment horizontal="left" vertical="center" wrapText="1"/>
    </xf>
    <xf numFmtId="0" fontId="24" fillId="0" borderId="0" xfId="15" applyFont="1" applyFill="1" applyAlignment="1">
      <alignment horizontal="center" vertical="center"/>
    </xf>
    <xf numFmtId="0" fontId="34" fillId="0" borderId="0" xfId="0" applyFont="1" applyFill="1" applyAlignment="1">
      <alignment horizontal="center" vertical="center" wrapText="1"/>
    </xf>
    <xf numFmtId="164" fontId="5" fillId="0" borderId="0" xfId="1" applyFont="1" applyFill="1" applyBorder="1" applyAlignment="1">
      <alignment horizontal="center" vertical="center" wrapText="1"/>
    </xf>
    <xf numFmtId="164" fontId="5" fillId="0" borderId="0" xfId="0" applyNumberFormat="1" applyFont="1" applyFill="1" applyAlignment="1">
      <alignment horizontal="left" vertical="center" wrapText="1"/>
    </xf>
    <xf numFmtId="0" fontId="50" fillId="0" borderId="0" xfId="0" applyFont="1" applyFill="1" applyAlignment="1">
      <alignment horizontal="left" vertical="center" wrapText="1"/>
    </xf>
    <xf numFmtId="0" fontId="50" fillId="0" borderId="0" xfId="0" applyFont="1" applyFill="1" applyAlignment="1">
      <alignment horizontal="center" vertical="center" wrapText="1"/>
    </xf>
    <xf numFmtId="164" fontId="51" fillId="0" borderId="0" xfId="1" applyFont="1" applyFill="1" applyBorder="1" applyAlignment="1">
      <alignment horizontal="center" vertical="center" wrapText="1"/>
    </xf>
    <xf numFmtId="0" fontId="51" fillId="0" borderId="0" xfId="0" applyFont="1" applyFill="1" applyAlignment="1">
      <alignment horizontal="left" vertical="center" wrapText="1"/>
    </xf>
    <xf numFmtId="164" fontId="51" fillId="0" borderId="0" xfId="0" applyNumberFormat="1" applyFont="1" applyFill="1" applyAlignment="1">
      <alignment horizontal="left" vertical="center" wrapText="1"/>
    </xf>
    <xf numFmtId="165" fontId="51" fillId="0" borderId="0" xfId="0" applyNumberFormat="1" applyFont="1" applyFill="1" applyAlignment="1">
      <alignment horizontal="left" vertical="center" wrapText="1"/>
    </xf>
    <xf numFmtId="3" fontId="24" fillId="0" borderId="0" xfId="2" quotePrefix="1" applyNumberFormat="1" applyFont="1" applyFill="1" applyAlignment="1">
      <alignment horizontal="center" vertical="center" wrapText="1"/>
    </xf>
    <xf numFmtId="0" fontId="39" fillId="0" borderId="0" xfId="0" applyFont="1" applyFill="1" applyAlignment="1">
      <alignment horizontal="left" vertical="center" wrapText="1"/>
    </xf>
    <xf numFmtId="0" fontId="39" fillId="0" borderId="0" xfId="0" applyFont="1" applyFill="1" applyAlignment="1">
      <alignment horizontal="center" vertical="center" wrapText="1"/>
    </xf>
    <xf numFmtId="164" fontId="29" fillId="0" borderId="0" xfId="1" applyFont="1" applyFill="1" applyBorder="1" applyAlignment="1">
      <alignment horizontal="center" vertical="center" wrapText="1"/>
    </xf>
    <xf numFmtId="164" fontId="29" fillId="0" borderId="0" xfId="0" applyNumberFormat="1" applyFont="1" applyFill="1" applyAlignment="1">
      <alignment horizontal="left" vertical="center" wrapText="1"/>
    </xf>
    <xf numFmtId="0" fontId="28" fillId="0" borderId="21" xfId="0" applyFont="1" applyFill="1" applyBorder="1" applyAlignment="1">
      <alignment vertical="center" wrapText="1"/>
    </xf>
    <xf numFmtId="0" fontId="6" fillId="0" borderId="21" xfId="19" applyFont="1" applyFill="1" applyBorder="1" applyAlignment="1">
      <alignment horizontal="center" vertical="center" wrapText="1"/>
    </xf>
    <xf numFmtId="0" fontId="6" fillId="0" borderId="21" xfId="19" applyFont="1" applyFill="1" applyBorder="1" applyAlignment="1">
      <alignment horizontal="center" vertical="center" wrapText="1"/>
    </xf>
    <xf numFmtId="0" fontId="30" fillId="0" borderId="21" xfId="19" quotePrefix="1" applyFont="1" applyFill="1" applyBorder="1" applyAlignment="1">
      <alignment horizontal="center" vertical="center" wrapText="1"/>
    </xf>
    <xf numFmtId="0" fontId="41" fillId="0" borderId="21" xfId="19" applyFont="1" applyFill="1" applyBorder="1" applyAlignment="1">
      <alignment horizontal="left" vertical="center" wrapText="1"/>
    </xf>
    <xf numFmtId="49" fontId="41" fillId="0" borderId="21" xfId="19" applyNumberFormat="1" applyFont="1" applyFill="1" applyBorder="1" applyAlignment="1">
      <alignment horizontal="center" vertical="center" wrapText="1"/>
    </xf>
    <xf numFmtId="165" fontId="41" fillId="0" borderId="21" xfId="7" quotePrefix="1" applyNumberFormat="1" applyFont="1" applyFill="1" applyBorder="1" applyAlignment="1">
      <alignment horizontal="right" vertical="center" wrapText="1"/>
    </xf>
    <xf numFmtId="165" fontId="4" fillId="0" borderId="21" xfId="7" quotePrefix="1" applyNumberFormat="1" applyFont="1" applyFill="1" applyBorder="1" applyAlignment="1">
      <alignment horizontal="center" vertical="center" wrapText="1"/>
    </xf>
    <xf numFmtId="0" fontId="41" fillId="0" borderId="21" xfId="19" quotePrefix="1" applyFont="1" applyFill="1" applyBorder="1" applyAlignment="1">
      <alignment horizontal="center" vertical="center" wrapText="1"/>
    </xf>
    <xf numFmtId="49" fontId="41" fillId="0" borderId="21" xfId="19" applyNumberFormat="1" applyFont="1" applyFill="1" applyBorder="1" applyAlignment="1">
      <alignment horizontal="justify" vertical="center" wrapText="1"/>
    </xf>
    <xf numFmtId="165" fontId="41" fillId="0" borderId="21" xfId="7" applyNumberFormat="1" applyFont="1" applyFill="1" applyBorder="1" applyAlignment="1">
      <alignment horizontal="right" vertical="center" wrapText="1"/>
    </xf>
    <xf numFmtId="165" fontId="6" fillId="0" borderId="21" xfId="7" applyNumberFormat="1" applyFont="1" applyFill="1" applyBorder="1" applyAlignment="1">
      <alignment horizontal="center" vertical="center" wrapText="1"/>
    </xf>
    <xf numFmtId="0" fontId="41" fillId="0" borderId="21" xfId="19" applyFont="1" applyFill="1" applyBorder="1" applyAlignment="1">
      <alignment horizontal="center" vertical="center" wrapText="1"/>
    </xf>
    <xf numFmtId="0" fontId="40" fillId="0" borderId="21" xfId="20" applyFont="1" applyFill="1" applyBorder="1" applyAlignment="1">
      <alignment horizontal="center" vertical="center"/>
    </xf>
    <xf numFmtId="49" fontId="40" fillId="0" borderId="21" xfId="21" applyNumberFormat="1" applyFont="1" applyFill="1" applyBorder="1" applyAlignment="1" applyProtection="1">
      <alignment horizontal="justify" vertical="center" wrapText="1"/>
    </xf>
    <xf numFmtId="165" fontId="40" fillId="0" borderId="21" xfId="7" applyNumberFormat="1" applyFont="1" applyFill="1" applyBorder="1" applyAlignment="1">
      <alignment horizontal="right" vertical="center"/>
    </xf>
    <xf numFmtId="165" fontId="4" fillId="0" borderId="21" xfId="7" applyNumberFormat="1" applyFont="1" applyFill="1" applyBorder="1" applyAlignment="1">
      <alignment vertical="center"/>
    </xf>
    <xf numFmtId="0" fontId="41" fillId="0" borderId="21" xfId="20" applyFont="1" applyFill="1" applyBorder="1" applyAlignment="1">
      <alignment horizontal="center" vertical="center"/>
    </xf>
    <xf numFmtId="49" fontId="41" fillId="0" borderId="21" xfId="21" applyNumberFormat="1" applyFont="1" applyFill="1" applyBorder="1" applyAlignment="1" applyProtection="1">
      <alignment horizontal="justify" vertical="center" wrapText="1"/>
    </xf>
    <xf numFmtId="165" fontId="41" fillId="0" borderId="21" xfId="7" applyNumberFormat="1" applyFont="1" applyFill="1" applyBorder="1" applyAlignment="1">
      <alignment horizontal="right" vertical="center"/>
    </xf>
    <xf numFmtId="165" fontId="6" fillId="0" borderId="21" xfId="7" applyNumberFormat="1" applyFont="1" applyFill="1" applyBorder="1" applyAlignment="1">
      <alignment vertical="center"/>
    </xf>
    <xf numFmtId="3" fontId="40" fillId="0" borderId="21" xfId="20" applyNumberFormat="1" applyFont="1" applyFill="1" applyBorder="1" applyAlignment="1">
      <alignment horizontal="right" vertical="center"/>
    </xf>
    <xf numFmtId="0" fontId="4" fillId="0" borderId="21" xfId="19" applyFont="1" applyFill="1" applyBorder="1" applyAlignment="1">
      <alignment vertical="center"/>
    </xf>
    <xf numFmtId="0" fontId="74" fillId="0" borderId="0" xfId="0" applyFont="1" applyFill="1" applyAlignment="1">
      <alignment horizontal="left" vertical="center"/>
    </xf>
    <xf numFmtId="0" fontId="20" fillId="0" borderId="0" xfId="0" applyFont="1" applyFill="1" applyAlignment="1">
      <alignment horizontal="left" vertical="center"/>
    </xf>
    <xf numFmtId="0" fontId="14" fillId="0" borderId="0" xfId="0" applyFont="1" applyFill="1" applyAlignment="1">
      <alignment horizontal="center" vertical="center"/>
    </xf>
    <xf numFmtId="0" fontId="0" fillId="0" borderId="0" xfId="0" applyFill="1" applyAlignment="1">
      <alignment horizontal="left" vertical="center"/>
    </xf>
    <xf numFmtId="165" fontId="0" fillId="0" borderId="0" xfId="0" applyNumberFormat="1" applyFill="1" applyAlignment="1">
      <alignment horizontal="left" vertical="center"/>
    </xf>
    <xf numFmtId="0" fontId="0" fillId="0" borderId="0" xfId="0" applyFill="1" applyAlignment="1">
      <alignment horizontal="center" vertical="center"/>
    </xf>
    <xf numFmtId="0" fontId="76" fillId="0" borderId="0" xfId="0" applyFont="1" applyFill="1" applyAlignment="1">
      <alignment horizontal="left" vertical="center"/>
    </xf>
    <xf numFmtId="164" fontId="15" fillId="0" borderId="0" xfId="1" applyFont="1" applyFill="1" applyAlignment="1">
      <alignment horizontal="left" vertical="center"/>
    </xf>
    <xf numFmtId="167" fontId="0" fillId="0" borderId="0" xfId="1" applyNumberFormat="1" applyFont="1" applyFill="1" applyBorder="1" applyAlignment="1">
      <alignment horizontal="left" vertical="center"/>
    </xf>
    <xf numFmtId="0" fontId="77" fillId="0" borderId="0" xfId="0" applyFont="1" applyFill="1" applyAlignment="1">
      <alignment horizontal="center" vertical="center" wrapText="1"/>
    </xf>
    <xf numFmtId="0" fontId="41" fillId="0" borderId="21" xfId="0" applyFont="1" applyFill="1" applyBorder="1" applyAlignment="1">
      <alignment horizontal="center" vertical="center" wrapText="1"/>
    </xf>
    <xf numFmtId="3" fontId="41" fillId="0" borderId="21" xfId="0" applyNumberFormat="1" applyFont="1" applyFill="1" applyBorder="1" applyAlignment="1">
      <alignment horizontal="center" vertical="center" wrapText="1"/>
    </xf>
    <xf numFmtId="0" fontId="41" fillId="0" borderId="21" xfId="0" applyFont="1" applyFill="1" applyBorder="1" applyAlignment="1">
      <alignment horizontal="center" vertical="center" wrapText="1"/>
    </xf>
    <xf numFmtId="3" fontId="41" fillId="0" borderId="21" xfId="0" applyNumberFormat="1" applyFont="1" applyFill="1" applyBorder="1" applyAlignment="1">
      <alignment horizontal="center" vertical="center" wrapText="1"/>
    </xf>
    <xf numFmtId="0" fontId="40" fillId="0" borderId="21" xfId="0" applyFont="1" applyFill="1" applyBorder="1" applyAlignment="1">
      <alignment horizontal="center" vertical="center" wrapText="1"/>
    </xf>
    <xf numFmtId="165" fontId="41" fillId="0" borderId="21" xfId="1" applyNumberFormat="1" applyFont="1" applyFill="1" applyBorder="1" applyAlignment="1">
      <alignment horizontal="left" vertical="center" wrapText="1"/>
    </xf>
    <xf numFmtId="164" fontId="41" fillId="0" borderId="21" xfId="1" applyFont="1" applyFill="1" applyBorder="1" applyAlignment="1">
      <alignment horizontal="left" vertical="center" wrapText="1"/>
    </xf>
    <xf numFmtId="2" fontId="41" fillId="0" borderId="21" xfId="0" applyNumberFormat="1" applyFont="1" applyFill="1" applyBorder="1" applyAlignment="1">
      <alignment horizontal="center" vertical="center" wrapText="1"/>
    </xf>
    <xf numFmtId="0" fontId="41" fillId="0" borderId="21" xfId="4" applyFont="1" applyFill="1" applyBorder="1" applyAlignment="1">
      <alignment horizontal="center" vertical="center" wrapText="1"/>
    </xf>
    <xf numFmtId="164" fontId="41" fillId="0" borderId="21" xfId="1" applyFont="1" applyFill="1" applyBorder="1" applyAlignment="1">
      <alignment horizontal="right" vertical="center" wrapText="1"/>
    </xf>
    <xf numFmtId="0" fontId="42" fillId="0" borderId="21" xfId="0" applyFont="1" applyFill="1" applyBorder="1" applyAlignment="1">
      <alignment horizontal="center" vertical="center" wrapText="1"/>
    </xf>
    <xf numFmtId="0" fontId="42" fillId="0" borderId="21" xfId="0" applyFont="1" applyFill="1" applyBorder="1" applyAlignment="1">
      <alignment horizontal="left" vertical="center" wrapText="1"/>
    </xf>
    <xf numFmtId="0" fontId="42" fillId="0" borderId="21" xfId="4" applyFont="1" applyFill="1" applyBorder="1" applyAlignment="1">
      <alignment horizontal="center" vertical="center" wrapText="1"/>
    </xf>
    <xf numFmtId="165" fontId="42" fillId="0" borderId="21" xfId="1" applyNumberFormat="1" applyFont="1" applyFill="1" applyBorder="1" applyAlignment="1">
      <alignment horizontal="left" vertical="center" wrapText="1"/>
    </xf>
    <xf numFmtId="165" fontId="42" fillId="0" borderId="21" xfId="1" applyNumberFormat="1" applyFont="1" applyFill="1" applyBorder="1" applyAlignment="1">
      <alignment horizontal="right" vertical="center" wrapText="1"/>
    </xf>
    <xf numFmtId="49" fontId="40" fillId="0" borderId="21" xfId="2" applyNumberFormat="1" applyFont="1" applyFill="1" applyBorder="1" applyAlignment="1">
      <alignment horizontal="center" vertical="center" wrapText="1"/>
    </xf>
    <xf numFmtId="1" fontId="40" fillId="0" borderId="21" xfId="2" applyNumberFormat="1" applyFont="1" applyFill="1" applyBorder="1" applyAlignment="1">
      <alignment horizontal="left" vertical="center" wrapText="1"/>
    </xf>
    <xf numFmtId="3" fontId="24" fillId="0" borderId="21" xfId="2" quotePrefix="1" applyNumberFormat="1" applyFont="1" applyFill="1" applyBorder="1" applyAlignment="1">
      <alignment horizontal="center" vertical="center" wrapText="1"/>
    </xf>
    <xf numFmtId="165" fontId="40" fillId="0" borderId="21" xfId="1" applyNumberFormat="1" applyFont="1" applyFill="1" applyBorder="1" applyAlignment="1">
      <alignment horizontal="left" vertical="center" wrapText="1"/>
    </xf>
    <xf numFmtId="165" fontId="40" fillId="0" borderId="21" xfId="1" applyNumberFormat="1" applyFont="1" applyFill="1" applyBorder="1" applyAlignment="1">
      <alignment horizontal="right" vertical="center" wrapText="1"/>
    </xf>
    <xf numFmtId="49" fontId="42" fillId="0" borderId="21" xfId="2" applyNumberFormat="1" applyFont="1" applyFill="1" applyBorder="1" applyAlignment="1">
      <alignment horizontal="center" vertical="center" wrapText="1"/>
    </xf>
    <xf numFmtId="0" fontId="42" fillId="0" borderId="21" xfId="0" applyFont="1" applyFill="1" applyBorder="1" applyAlignment="1">
      <alignment vertical="center" wrapText="1"/>
    </xf>
    <xf numFmtId="0" fontId="24" fillId="0" borderId="21" xfId="4" applyFont="1" applyFill="1" applyBorder="1" applyAlignment="1">
      <alignment horizontal="center" vertical="center" wrapText="1"/>
    </xf>
    <xf numFmtId="49" fontId="24" fillId="0" borderId="21" xfId="0" applyNumberFormat="1" applyFont="1" applyFill="1" applyBorder="1" applyAlignment="1">
      <alignment horizontal="center" vertical="center" wrapText="1"/>
    </xf>
    <xf numFmtId="164" fontId="40" fillId="0" borderId="21" xfId="1" applyFont="1" applyFill="1" applyBorder="1" applyAlignment="1">
      <alignment horizontal="center" vertical="center" wrapText="1"/>
    </xf>
    <xf numFmtId="49" fontId="40" fillId="0" borderId="21" xfId="8" applyNumberFormat="1" applyFont="1" applyFill="1" applyBorder="1" applyAlignment="1">
      <alignment horizontal="left" vertical="center" wrapText="1"/>
    </xf>
    <xf numFmtId="0" fontId="28" fillId="0" borderId="21" xfId="4" applyFont="1" applyFill="1" applyBorder="1" applyAlignment="1">
      <alignment horizontal="center" vertical="center" wrapText="1"/>
    </xf>
    <xf numFmtId="0" fontId="28" fillId="0" borderId="21" xfId="0" applyFont="1" applyFill="1" applyBorder="1" applyAlignment="1">
      <alignment horizontal="center" vertical="center" wrapText="1"/>
    </xf>
    <xf numFmtId="0" fontId="34" fillId="0" borderId="21" xfId="4" applyFont="1" applyFill="1" applyBorder="1" applyAlignment="1">
      <alignment horizontal="center" vertical="center" wrapText="1"/>
    </xf>
    <xf numFmtId="0" fontId="34" fillId="0" borderId="21" xfId="0" applyFont="1" applyFill="1" applyBorder="1" applyAlignment="1">
      <alignment horizontal="center" vertical="center" wrapText="1"/>
    </xf>
    <xf numFmtId="165" fontId="44" fillId="0" borderId="21" xfId="1" applyNumberFormat="1" applyFont="1" applyFill="1" applyBorder="1" applyAlignment="1">
      <alignment horizontal="left" vertical="center" wrapText="1"/>
    </xf>
    <xf numFmtId="164" fontId="42" fillId="0" borderId="21" xfId="1" applyFont="1" applyFill="1" applyBorder="1" applyAlignment="1">
      <alignment horizontal="right" vertical="center" wrapText="1"/>
    </xf>
    <xf numFmtId="0" fontId="24" fillId="0" borderId="21" xfId="0" applyFont="1" applyFill="1" applyBorder="1" applyAlignment="1">
      <alignment horizontal="center" vertical="center" wrapText="1"/>
    </xf>
    <xf numFmtId="49" fontId="40" fillId="0" borderId="21" xfId="12" applyNumberFormat="1" applyFont="1" applyFill="1" applyBorder="1" applyAlignment="1">
      <alignment horizontal="left" vertical="center" wrapText="1"/>
    </xf>
    <xf numFmtId="49" fontId="24" fillId="0" borderId="21" xfId="12" applyNumberFormat="1" applyFont="1" applyFill="1" applyBorder="1" applyAlignment="1">
      <alignment horizontal="center" vertical="center" wrapText="1"/>
    </xf>
    <xf numFmtId="49" fontId="40" fillId="0" borderId="21" xfId="0" applyNumberFormat="1" applyFont="1" applyFill="1" applyBorder="1" applyAlignment="1">
      <alignment horizontal="left" vertical="center" wrapText="1"/>
    </xf>
    <xf numFmtId="49" fontId="34" fillId="0" borderId="21" xfId="0" applyNumberFormat="1" applyFont="1" applyFill="1" applyBorder="1" applyAlignment="1">
      <alignment horizontal="center" vertical="center" wrapText="1"/>
    </xf>
    <xf numFmtId="0" fontId="44" fillId="0" borderId="21" xfId="0" applyFont="1" applyFill="1" applyBorder="1" applyAlignment="1">
      <alignment horizontal="center" vertical="center" wrapText="1"/>
    </xf>
    <xf numFmtId="49" fontId="44" fillId="0" borderId="21" xfId="8" applyNumberFormat="1" applyFont="1" applyFill="1" applyBorder="1" applyAlignment="1">
      <alignment horizontal="left" vertical="center" wrapText="1"/>
    </xf>
    <xf numFmtId="0" fontId="31" fillId="0" borderId="21" xfId="4" applyFont="1" applyFill="1" applyBorder="1" applyAlignment="1">
      <alignment horizontal="center" vertical="center" wrapText="1"/>
    </xf>
    <xf numFmtId="0" fontId="31" fillId="0" borderId="21" xfId="0" applyFont="1" applyFill="1" applyBorder="1" applyAlignment="1">
      <alignment horizontal="center" vertical="center" wrapText="1"/>
    </xf>
    <xf numFmtId="168" fontId="44" fillId="0" borderId="21" xfId="1" applyNumberFormat="1" applyFont="1" applyFill="1" applyBorder="1" applyAlignment="1">
      <alignment horizontal="right" vertical="center" wrapText="1"/>
    </xf>
    <xf numFmtId="49" fontId="24" fillId="0" borderId="21" xfId="0" quotePrefix="1" applyNumberFormat="1" applyFont="1" applyFill="1" applyBorder="1" applyAlignment="1">
      <alignment horizontal="center" vertical="center" wrapText="1"/>
    </xf>
    <xf numFmtId="3" fontId="24" fillId="0" borderId="21" xfId="1" applyNumberFormat="1" applyFont="1" applyFill="1" applyBorder="1" applyAlignment="1">
      <alignment horizontal="center" vertical="center" wrapText="1"/>
    </xf>
    <xf numFmtId="2" fontId="40" fillId="0" borderId="21" xfId="0" applyNumberFormat="1" applyFont="1" applyFill="1" applyBorder="1" applyAlignment="1">
      <alignment horizontal="left" vertical="center" wrapText="1"/>
    </xf>
    <xf numFmtId="3" fontId="24" fillId="0" borderId="21" xfId="0" applyNumberFormat="1" applyFont="1" applyFill="1" applyBorder="1" applyAlignment="1">
      <alignment horizontal="center" vertical="center" wrapText="1"/>
    </xf>
    <xf numFmtId="0" fontId="49" fillId="0" borderId="21" xfId="0" applyFont="1" applyFill="1" applyBorder="1" applyAlignment="1">
      <alignment horizontal="center" vertical="center" wrapText="1"/>
    </xf>
    <xf numFmtId="49" fontId="49" fillId="0" borderId="21" xfId="0" applyNumberFormat="1" applyFont="1" applyFill="1" applyBorder="1" applyAlignment="1">
      <alignment horizontal="left" vertical="center" wrapText="1"/>
    </xf>
    <xf numFmtId="0" fontId="50" fillId="0" borderId="21" xfId="4" applyFont="1" applyFill="1" applyBorder="1" applyAlignment="1">
      <alignment horizontal="center" vertical="center" wrapText="1"/>
    </xf>
    <xf numFmtId="0" fontId="50" fillId="0" borderId="21" xfId="0" applyFont="1" applyFill="1" applyBorder="1" applyAlignment="1">
      <alignment horizontal="center" vertical="center" wrapText="1"/>
    </xf>
    <xf numFmtId="165" fontId="49" fillId="0" borderId="21" xfId="1" applyNumberFormat="1" applyFont="1" applyFill="1" applyBorder="1" applyAlignment="1">
      <alignment horizontal="right" vertical="center" wrapText="1"/>
    </xf>
    <xf numFmtId="0" fontId="49" fillId="0" borderId="21" xfId="0" applyFont="1" applyFill="1" applyBorder="1" applyAlignment="1">
      <alignment horizontal="left" vertical="center" wrapText="1"/>
    </xf>
    <xf numFmtId="164" fontId="40" fillId="0" borderId="21" xfId="1" applyFont="1" applyFill="1" applyBorder="1" applyAlignment="1">
      <alignment horizontal="right" vertical="center" wrapText="1"/>
    </xf>
    <xf numFmtId="3" fontId="24" fillId="0" borderId="21" xfId="0" quotePrefix="1" applyNumberFormat="1" applyFont="1" applyFill="1" applyBorder="1" applyAlignment="1">
      <alignment horizontal="center" vertical="center" wrapText="1"/>
    </xf>
    <xf numFmtId="165" fontId="40" fillId="0" borderId="21" xfId="1" applyNumberFormat="1" applyFont="1" applyFill="1" applyBorder="1" applyAlignment="1">
      <alignment horizontal="center" vertical="center" wrapText="1"/>
    </xf>
    <xf numFmtId="3" fontId="40" fillId="0" borderId="21" xfId="0" quotePrefix="1" applyNumberFormat="1" applyFont="1" applyFill="1" applyBorder="1" applyAlignment="1">
      <alignment horizontal="right" vertical="center" wrapText="1"/>
    </xf>
    <xf numFmtId="165" fontId="40" fillId="0" borderId="21" xfId="1" quotePrefix="1" applyNumberFormat="1" applyFont="1" applyFill="1" applyBorder="1" applyAlignment="1">
      <alignment horizontal="right" vertical="center" wrapText="1"/>
    </xf>
    <xf numFmtId="0" fontId="40" fillId="0" borderId="21" xfId="12" applyFont="1" applyFill="1" applyBorder="1" applyAlignment="1">
      <alignment horizontal="left" vertical="center" wrapText="1"/>
    </xf>
    <xf numFmtId="168" fontId="40" fillId="0" borderId="21" xfId="1" applyNumberFormat="1" applyFont="1" applyFill="1" applyBorder="1" applyAlignment="1">
      <alignment horizontal="right" vertical="center" wrapText="1"/>
    </xf>
    <xf numFmtId="164" fontId="42" fillId="0" borderId="21" xfId="1" applyFont="1" applyFill="1" applyBorder="1" applyAlignment="1">
      <alignment horizontal="left" vertical="center" wrapText="1"/>
    </xf>
    <xf numFmtId="165" fontId="44" fillId="0" borderId="21" xfId="1" applyNumberFormat="1" applyFont="1" applyFill="1" applyBorder="1" applyAlignment="1">
      <alignment horizontal="right" vertical="center" wrapText="1"/>
    </xf>
    <xf numFmtId="0" fontId="40" fillId="0" borderId="21" xfId="0" quotePrefix="1" applyFont="1" applyFill="1" applyBorder="1" applyAlignment="1">
      <alignment horizontal="center" vertical="center" wrapText="1"/>
    </xf>
    <xf numFmtId="49" fontId="24" fillId="0" borderId="21" xfId="16" applyNumberFormat="1" applyFont="1" applyFill="1" applyBorder="1" applyAlignment="1">
      <alignment horizontal="center" vertical="center" wrapText="1"/>
    </xf>
    <xf numFmtId="0" fontId="24" fillId="0" borderId="21" xfId="0" quotePrefix="1" applyFont="1" applyFill="1" applyBorder="1" applyAlignment="1">
      <alignment horizontal="center" vertical="center" wrapText="1"/>
    </xf>
    <xf numFmtId="165" fontId="42" fillId="0" borderId="21" xfId="1" applyNumberFormat="1" applyFont="1" applyFill="1" applyBorder="1" applyAlignment="1">
      <alignment horizontal="center" vertical="center" wrapText="1"/>
    </xf>
    <xf numFmtId="49" fontId="43" fillId="0" borderId="21" xfId="2" applyNumberFormat="1" applyFont="1" applyFill="1" applyBorder="1" applyAlignment="1">
      <alignment horizontal="center" vertical="center" wrapText="1"/>
    </xf>
    <xf numFmtId="49" fontId="45" fillId="0" borderId="21" xfId="0" applyNumberFormat="1" applyFont="1" applyFill="1" applyBorder="1" applyAlignment="1">
      <alignment horizontal="left" vertical="center" wrapText="1"/>
    </xf>
    <xf numFmtId="3" fontId="39" fillId="0" borderId="21" xfId="2" quotePrefix="1" applyNumberFormat="1" applyFont="1" applyFill="1" applyBorder="1" applyAlignment="1">
      <alignment horizontal="center" vertical="center" wrapText="1"/>
    </xf>
    <xf numFmtId="165" fontId="43" fillId="0" borderId="21" xfId="1" applyNumberFormat="1" applyFont="1" applyFill="1" applyBorder="1" applyAlignment="1">
      <alignment horizontal="right" vertical="center" wrapText="1"/>
    </xf>
    <xf numFmtId="0" fontId="43" fillId="0" borderId="21" xfId="0" applyFont="1" applyFill="1" applyBorder="1" applyAlignment="1">
      <alignment horizontal="left" vertical="center" wrapText="1"/>
    </xf>
    <xf numFmtId="164" fontId="44" fillId="0" borderId="21" xfId="1" applyFont="1" applyFill="1" applyBorder="1" applyAlignment="1">
      <alignment horizontal="right" vertical="center" wrapText="1"/>
    </xf>
    <xf numFmtId="165" fontId="41" fillId="0" borderId="21" xfId="1" applyNumberFormat="1" applyFont="1" applyFill="1" applyBorder="1" applyAlignment="1">
      <alignment horizontal="right" vertical="center" wrapText="1"/>
    </xf>
    <xf numFmtId="168" fontId="40" fillId="0" borderId="21" xfId="1" quotePrefix="1" applyNumberFormat="1" applyFont="1" applyFill="1" applyBorder="1" applyAlignment="1">
      <alignment horizontal="right" vertical="center" wrapText="1"/>
    </xf>
    <xf numFmtId="165" fontId="40" fillId="0" borderId="21" xfId="1" applyNumberFormat="1" applyFont="1" applyFill="1" applyBorder="1" applyAlignment="1">
      <alignment horizontal="right" vertical="center"/>
    </xf>
    <xf numFmtId="165" fontId="40" fillId="0" borderId="21" xfId="0" applyNumberFormat="1" applyFont="1" applyFill="1" applyBorder="1" applyAlignment="1">
      <alignment horizontal="right" vertical="center"/>
    </xf>
    <xf numFmtId="0" fontId="4" fillId="0" borderId="21" xfId="0" applyFont="1" applyFill="1" applyBorder="1" applyAlignment="1">
      <alignment horizontal="right" vertical="center" wrapText="1"/>
    </xf>
    <xf numFmtId="168" fontId="43" fillId="0" borderId="21" xfId="1" quotePrefix="1" applyNumberFormat="1" applyFont="1" applyFill="1" applyBorder="1" applyAlignment="1">
      <alignment horizontal="right" vertical="center" wrapText="1"/>
    </xf>
    <xf numFmtId="165" fontId="42" fillId="0" borderId="21" xfId="0" applyNumberFormat="1" applyFont="1" applyFill="1" applyBorder="1" applyAlignment="1">
      <alignment horizontal="right" vertical="center"/>
    </xf>
    <xf numFmtId="165" fontId="42" fillId="0" borderId="21" xfId="1" applyNumberFormat="1" applyFont="1" applyFill="1" applyBorder="1" applyAlignment="1">
      <alignment horizontal="right" vertical="center"/>
    </xf>
    <xf numFmtId="49" fontId="40" fillId="0" borderId="21" xfId="0" applyNumberFormat="1" applyFont="1" applyFill="1" applyBorder="1" applyAlignment="1">
      <alignment horizontal="right" vertical="center" wrapText="1"/>
    </xf>
    <xf numFmtId="49" fontId="40" fillId="0" borderId="21" xfId="0" quotePrefix="1" applyNumberFormat="1" applyFont="1" applyFill="1" applyBorder="1" applyAlignment="1">
      <alignment horizontal="right" vertical="center" wrapText="1"/>
    </xf>
    <xf numFmtId="3" fontId="40" fillId="0" borderId="21" xfId="1" applyNumberFormat="1" applyFont="1" applyFill="1" applyBorder="1" applyAlignment="1">
      <alignment horizontal="right" vertical="center" wrapText="1"/>
    </xf>
    <xf numFmtId="3" fontId="40" fillId="0" borderId="21" xfId="0" applyNumberFormat="1" applyFont="1" applyFill="1" applyBorder="1" applyAlignment="1">
      <alignment horizontal="right" vertical="center" wrapText="1"/>
    </xf>
    <xf numFmtId="0" fontId="49" fillId="0" borderId="21" xfId="0" applyFont="1" applyFill="1" applyBorder="1" applyAlignment="1">
      <alignment horizontal="right" vertical="center" wrapText="1"/>
    </xf>
    <xf numFmtId="4" fontId="4" fillId="0" borderId="21" xfId="1" applyNumberFormat="1" applyFont="1" applyFill="1" applyBorder="1" applyAlignment="1">
      <alignment horizontal="right" vertical="center"/>
    </xf>
    <xf numFmtId="165" fontId="42" fillId="0" borderId="21" xfId="1" quotePrefix="1" applyNumberFormat="1" applyFont="1" applyFill="1" applyBorder="1" applyAlignment="1">
      <alignment horizontal="right" vertical="center" wrapText="1"/>
    </xf>
    <xf numFmtId="3" fontId="40" fillId="0" borderId="21" xfId="2" quotePrefix="1" applyNumberFormat="1" applyFont="1" applyFill="1" applyBorder="1" applyAlignment="1">
      <alignment horizontal="right" vertical="center" wrapText="1"/>
    </xf>
    <xf numFmtId="49" fontId="40" fillId="0" borderId="21" xfId="16" applyNumberFormat="1" applyFont="1" applyFill="1" applyBorder="1" applyAlignment="1">
      <alignment horizontal="right" vertical="center" wrapText="1"/>
    </xf>
    <xf numFmtId="3" fontId="43" fillId="0" borderId="21" xfId="2" quotePrefix="1" applyNumberFormat="1" applyFont="1" applyFill="1" applyBorder="1" applyAlignment="1">
      <alignment horizontal="right" vertical="center" wrapText="1"/>
    </xf>
    <xf numFmtId="165" fontId="45" fillId="0" borderId="21" xfId="1" quotePrefix="1" applyNumberFormat="1" applyFont="1" applyFill="1" applyBorder="1" applyAlignment="1">
      <alignment horizontal="right" vertical="center" wrapText="1"/>
    </xf>
    <xf numFmtId="0" fontId="78" fillId="0" borderId="47" xfId="0" applyFont="1" applyFill="1" applyBorder="1" applyAlignment="1">
      <alignment horizontal="center" vertical="center" wrapText="1"/>
    </xf>
    <xf numFmtId="164" fontId="44" fillId="0" borderId="21" xfId="1" applyFont="1" applyFill="1" applyBorder="1" applyAlignment="1">
      <alignment horizontal="left" vertical="center" wrapText="1"/>
    </xf>
    <xf numFmtId="0" fontId="40" fillId="0" borderId="21" xfId="4" applyFont="1" applyFill="1" applyBorder="1" applyAlignment="1">
      <alignment horizontal="center" vertical="center" wrapText="1"/>
    </xf>
    <xf numFmtId="0" fontId="40" fillId="0" borderId="21" xfId="4" quotePrefix="1" applyFont="1" applyFill="1" applyBorder="1" applyAlignment="1">
      <alignment horizontal="center" vertical="center" wrapText="1"/>
    </xf>
    <xf numFmtId="0" fontId="44" fillId="0" borderId="21" xfId="4" applyFont="1" applyFill="1" applyBorder="1" applyAlignment="1">
      <alignment horizontal="center" vertical="center" wrapText="1"/>
    </xf>
    <xf numFmtId="0" fontId="44" fillId="0" borderId="21" xfId="4" quotePrefix="1" applyFont="1" applyFill="1" applyBorder="1" applyAlignment="1">
      <alignment horizontal="center" vertical="center" wrapText="1"/>
    </xf>
    <xf numFmtId="165" fontId="41" fillId="0" borderId="21" xfId="1" applyNumberFormat="1" applyFont="1" applyFill="1" applyBorder="1" applyAlignment="1">
      <alignment horizontal="center" vertical="center" wrapText="1"/>
    </xf>
    <xf numFmtId="0" fontId="41" fillId="0" borderId="21" xfId="4" quotePrefix="1" applyFont="1" applyFill="1" applyBorder="1" applyAlignment="1">
      <alignment horizontal="center" vertical="center" wrapText="1"/>
    </xf>
    <xf numFmtId="164" fontId="41" fillId="0" borderId="21" xfId="1" applyFont="1" applyFill="1" applyBorder="1" applyAlignment="1">
      <alignment horizontal="center" vertical="center" wrapText="1"/>
    </xf>
    <xf numFmtId="0" fontId="42" fillId="0" borderId="21" xfId="4" quotePrefix="1" applyFont="1" applyFill="1" applyBorder="1" applyAlignment="1">
      <alignment horizontal="center" vertical="center" wrapText="1"/>
    </xf>
    <xf numFmtId="164" fontId="40" fillId="0" borderId="21" xfId="1" applyFont="1" applyFill="1" applyBorder="1" applyAlignment="1">
      <alignment horizontal="left" vertical="center" wrapText="1"/>
    </xf>
    <xf numFmtId="164" fontId="42" fillId="0" borderId="21" xfId="1" applyFont="1" applyFill="1" applyBorder="1" applyAlignment="1">
      <alignment horizontal="center" vertical="center" wrapText="1"/>
    </xf>
    <xf numFmtId="167" fontId="40" fillId="0" borderId="21" xfId="1" applyNumberFormat="1" applyFont="1" applyFill="1" applyBorder="1" applyAlignment="1">
      <alignment horizontal="center" vertical="center" wrapText="1"/>
    </xf>
    <xf numFmtId="168" fontId="40" fillId="0" borderId="21" xfId="1" applyNumberFormat="1" applyFont="1" applyFill="1" applyBorder="1" applyAlignment="1">
      <alignment horizontal="center" vertical="center" wrapText="1"/>
    </xf>
    <xf numFmtId="0" fontId="41" fillId="0" borderId="21" xfId="0" applyFont="1" applyFill="1" applyBorder="1" applyAlignment="1">
      <alignment horizontal="justify" vertical="center" wrapText="1"/>
    </xf>
    <xf numFmtId="0" fontId="42" fillId="0" borderId="21" xfId="0" applyFont="1" applyFill="1" applyBorder="1" applyAlignment="1">
      <alignment horizontal="justify" vertical="center" wrapText="1"/>
    </xf>
    <xf numFmtId="0" fontId="40" fillId="0" borderId="21" xfId="0" applyFont="1" applyFill="1" applyBorder="1" applyAlignment="1">
      <alignment horizontal="justify" vertical="center" wrapText="1"/>
    </xf>
  </cellXfs>
  <cellStyles count="22">
    <cellStyle name="?_x005f_x001d_??%U©÷u&amp;H©÷9_x005f_x0008_? s_x005f_x000a__x005f_x0007__x005f_x0001__x005f_x0001_?_x005f_x0002_??????" xfId="4"/>
    <cellStyle name="Comma" xfId="1" builtinId="3"/>
    <cellStyle name="Comma 10" xfId="7"/>
    <cellStyle name="Comma 10 2" xfId="3"/>
    <cellStyle name="Comma 105" xfId="13"/>
    <cellStyle name="Comma 117" xfId="14"/>
    <cellStyle name="Comma 13" xfId="10"/>
    <cellStyle name="Comma 2_bao cao cua UBND tinh quy II - 2011" xfId="18"/>
    <cellStyle name="Comma 21" xfId="5"/>
    <cellStyle name="Comma 3" xfId="21"/>
    <cellStyle name="Normal" xfId="0" builtinId="0"/>
    <cellStyle name="Normal 10" xfId="6"/>
    <cellStyle name="Normal 10 2 2" xfId="17"/>
    <cellStyle name="Normal 2 2" xfId="19"/>
    <cellStyle name="Normal 4" xfId="15"/>
    <cellStyle name="Normal 66" xfId="9"/>
    <cellStyle name="Normal 81" xfId="16"/>
    <cellStyle name="Normal_Bieu mau (CV )" xfId="2"/>
    <cellStyle name="Normal_Bieu mau (CV ) 2" xfId="8"/>
    <cellStyle name="Normal_Bieu mau (CV ) 3" xfId="11"/>
    <cellStyle name="Normal_Sheet1 (2)" xfId="20"/>
    <cellStyle name="Normal_Sheet1 2" xfId="1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T63"/>
  <sheetViews>
    <sheetView workbookViewId="0">
      <selection activeCell="F10" sqref="F10"/>
    </sheetView>
  </sheetViews>
  <sheetFormatPr defaultColWidth="9.33203125" defaultRowHeight="12.75" x14ac:dyDescent="0.2"/>
  <cols>
    <col min="1" max="1" width="4.83203125" style="6" customWidth="1"/>
    <col min="2" max="2" width="47.1640625" style="6" customWidth="1"/>
    <col min="3" max="3" width="11.1640625" style="6" customWidth="1"/>
    <col min="4" max="4" width="9.83203125" style="6" customWidth="1"/>
    <col min="5" max="5" width="10.83203125" style="6" customWidth="1"/>
    <col min="6" max="6" width="9.33203125" style="7" customWidth="1"/>
    <col min="7" max="7" width="8.5" style="7" customWidth="1"/>
    <col min="8" max="8" width="8.83203125" style="7" customWidth="1"/>
    <col min="9" max="17" width="8.5" style="7" customWidth="1"/>
    <col min="18" max="18" width="10.1640625" style="7" customWidth="1"/>
    <col min="19" max="19" width="5.83203125" style="6" customWidth="1"/>
    <col min="20" max="20" width="3.1640625" style="6" customWidth="1"/>
    <col min="21" max="21" width="11.6640625" style="6" bestFit="1" customWidth="1"/>
    <col min="22" max="16384" width="9.33203125" style="6"/>
  </cols>
  <sheetData>
    <row r="1" spans="1:20" s="72" customFormat="1" ht="14.25" customHeight="1" x14ac:dyDescent="0.2">
      <c r="A1" s="867"/>
      <c r="B1" s="867"/>
      <c r="C1" s="867"/>
      <c r="D1" s="867"/>
      <c r="E1" s="867"/>
      <c r="F1" s="867"/>
      <c r="G1" s="867"/>
      <c r="H1" s="867"/>
      <c r="I1" s="867"/>
      <c r="J1" s="867"/>
      <c r="K1" s="867"/>
      <c r="L1" s="867"/>
      <c r="M1" s="867"/>
      <c r="N1" s="867"/>
      <c r="O1" s="867"/>
      <c r="P1" s="867"/>
      <c r="Q1" s="867"/>
      <c r="R1" s="867"/>
      <c r="S1" s="867"/>
      <c r="T1" s="867"/>
    </row>
    <row r="2" spans="1:20" s="72" customFormat="1" ht="18.600000000000001" customHeight="1" x14ac:dyDescent="0.2">
      <c r="A2" s="868" t="s">
        <v>83</v>
      </c>
      <c r="B2" s="868"/>
      <c r="C2" s="868"/>
      <c r="D2" s="868"/>
      <c r="E2" s="868"/>
      <c r="F2" s="868"/>
      <c r="G2" s="868"/>
      <c r="H2" s="868"/>
      <c r="I2" s="868"/>
      <c r="J2" s="868"/>
      <c r="K2" s="868"/>
      <c r="L2" s="868"/>
      <c r="M2" s="868"/>
      <c r="N2" s="868"/>
      <c r="O2" s="868"/>
      <c r="P2" s="868"/>
      <c r="Q2" s="868"/>
      <c r="R2" s="868"/>
      <c r="S2" s="868"/>
    </row>
    <row r="3" spans="1:20" s="72" customFormat="1" ht="24" customHeight="1" x14ac:dyDescent="0.2">
      <c r="A3" s="869" t="s">
        <v>82</v>
      </c>
      <c r="B3" s="869"/>
      <c r="C3" s="869"/>
      <c r="D3" s="869"/>
      <c r="E3" s="869"/>
      <c r="F3" s="869"/>
      <c r="G3" s="869"/>
      <c r="H3" s="869"/>
      <c r="I3" s="869"/>
      <c r="J3" s="869"/>
      <c r="K3" s="869"/>
      <c r="L3" s="869"/>
      <c r="M3" s="869"/>
      <c r="N3" s="869"/>
      <c r="O3" s="869"/>
      <c r="P3" s="869"/>
      <c r="Q3" s="869"/>
      <c r="R3" s="869"/>
      <c r="S3" s="869"/>
    </row>
    <row r="4" spans="1:20" s="72" customFormat="1" ht="21.95" customHeight="1" x14ac:dyDescent="0.2">
      <c r="A4" s="870" t="s">
        <v>104</v>
      </c>
      <c r="B4" s="870"/>
      <c r="C4" s="870"/>
      <c r="D4" s="870"/>
      <c r="E4" s="870"/>
      <c r="F4" s="870"/>
      <c r="G4" s="870"/>
      <c r="H4" s="870"/>
      <c r="I4" s="870"/>
      <c r="J4" s="870"/>
      <c r="K4" s="870"/>
      <c r="L4" s="870"/>
      <c r="M4" s="870"/>
      <c r="N4" s="870"/>
      <c r="O4" s="870"/>
      <c r="P4" s="870"/>
      <c r="Q4" s="870"/>
      <c r="R4" s="870"/>
      <c r="S4" s="870"/>
    </row>
    <row r="5" spans="1:20" ht="22.9" customHeight="1" x14ac:dyDescent="0.2">
      <c r="A5" s="871" t="s">
        <v>84</v>
      </c>
      <c r="B5" s="871" t="s">
        <v>85</v>
      </c>
      <c r="C5" s="871" t="s">
        <v>86</v>
      </c>
      <c r="D5" s="871"/>
      <c r="E5" s="871" t="s">
        <v>87</v>
      </c>
      <c r="F5" s="872" t="s">
        <v>105</v>
      </c>
      <c r="G5" s="872"/>
      <c r="H5" s="872"/>
      <c r="I5" s="872"/>
      <c r="J5" s="872"/>
      <c r="K5" s="872"/>
      <c r="L5" s="872"/>
      <c r="M5" s="872"/>
      <c r="N5" s="872"/>
      <c r="O5" s="872"/>
      <c r="P5" s="872"/>
      <c r="Q5" s="872"/>
      <c r="R5" s="872"/>
      <c r="S5" s="871" t="s">
        <v>88</v>
      </c>
    </row>
    <row r="6" spans="1:20" ht="51" x14ac:dyDescent="0.2">
      <c r="A6" s="871"/>
      <c r="B6" s="871"/>
      <c r="C6" s="10" t="s">
        <v>89</v>
      </c>
      <c r="D6" s="10" t="s">
        <v>90</v>
      </c>
      <c r="E6" s="871"/>
      <c r="F6" s="11" t="s">
        <v>91</v>
      </c>
      <c r="G6" s="11" t="s">
        <v>92</v>
      </c>
      <c r="H6" s="11" t="s">
        <v>93</v>
      </c>
      <c r="I6" s="11" t="s">
        <v>94</v>
      </c>
      <c r="J6" s="11" t="s">
        <v>95</v>
      </c>
      <c r="K6" s="11" t="s">
        <v>96</v>
      </c>
      <c r="L6" s="11" t="s">
        <v>97</v>
      </c>
      <c r="M6" s="11" t="s">
        <v>98</v>
      </c>
      <c r="N6" s="11" t="s">
        <v>99</v>
      </c>
      <c r="O6" s="11" t="s">
        <v>100</v>
      </c>
      <c r="P6" s="11" t="s">
        <v>101</v>
      </c>
      <c r="Q6" s="11" t="s">
        <v>102</v>
      </c>
      <c r="R6" s="11" t="s">
        <v>103</v>
      </c>
      <c r="S6" s="871"/>
    </row>
    <row r="7" spans="1:20" ht="19.5" customHeight="1" x14ac:dyDescent="0.2">
      <c r="A7" s="12"/>
      <c r="B7" s="13" t="s">
        <v>23</v>
      </c>
      <c r="C7" s="12"/>
      <c r="D7" s="55">
        <f>D8+D26</f>
        <v>679937.16800000006</v>
      </c>
      <c r="E7" s="55">
        <f t="shared" ref="E7:R7" si="0">E8+E26</f>
        <v>253682.5</v>
      </c>
      <c r="F7" s="56">
        <f t="shared" si="0"/>
        <v>59554.968000000001</v>
      </c>
      <c r="G7" s="56">
        <f t="shared" si="0"/>
        <v>0</v>
      </c>
      <c r="H7" s="56">
        <f t="shared" si="0"/>
        <v>47682.531999999999</v>
      </c>
      <c r="I7" s="56">
        <f t="shared" si="0"/>
        <v>0</v>
      </c>
      <c r="J7" s="56">
        <f t="shared" si="0"/>
        <v>10000</v>
      </c>
      <c r="K7" s="56">
        <f t="shared" si="0"/>
        <v>0</v>
      </c>
      <c r="L7" s="56">
        <f t="shared" si="0"/>
        <v>10850</v>
      </c>
      <c r="M7" s="56">
        <f t="shared" si="0"/>
        <v>20000</v>
      </c>
      <c r="N7" s="56">
        <f t="shared" si="0"/>
        <v>11550</v>
      </c>
      <c r="O7" s="56">
        <f t="shared" si="0"/>
        <v>860</v>
      </c>
      <c r="P7" s="56">
        <f t="shared" si="0"/>
        <v>6500</v>
      </c>
      <c r="Q7" s="56">
        <f t="shared" si="0"/>
        <v>71685</v>
      </c>
      <c r="R7" s="56">
        <f t="shared" si="0"/>
        <v>238682.5</v>
      </c>
      <c r="S7" s="55"/>
    </row>
    <row r="8" spans="1:20" ht="19.5" customHeight="1" x14ac:dyDescent="0.2">
      <c r="A8" s="14" t="s">
        <v>24</v>
      </c>
      <c r="B8" s="15" t="s">
        <v>0</v>
      </c>
      <c r="C8" s="67"/>
      <c r="D8" s="16">
        <f>D9+D16</f>
        <v>497000</v>
      </c>
      <c r="E8" s="16">
        <f t="shared" ref="E8:R8" si="1">E9+E16</f>
        <v>212617.5</v>
      </c>
      <c r="F8" s="16">
        <f t="shared" si="1"/>
        <v>44187.161</v>
      </c>
      <c r="G8" s="16">
        <f t="shared" si="1"/>
        <v>0</v>
      </c>
      <c r="H8" s="16">
        <f t="shared" si="1"/>
        <v>41745.339</v>
      </c>
      <c r="I8" s="16">
        <f t="shared" si="1"/>
        <v>0</v>
      </c>
      <c r="J8" s="16">
        <f t="shared" si="1"/>
        <v>10000</v>
      </c>
      <c r="K8" s="16">
        <f t="shared" si="1"/>
        <v>0</v>
      </c>
      <c r="L8" s="16">
        <f t="shared" si="1"/>
        <v>10000</v>
      </c>
      <c r="M8" s="16">
        <f t="shared" si="1"/>
        <v>20000</v>
      </c>
      <c r="N8" s="16">
        <f t="shared" si="1"/>
        <v>10000</v>
      </c>
      <c r="O8" s="16">
        <f t="shared" si="1"/>
        <v>0</v>
      </c>
      <c r="P8" s="16">
        <f t="shared" si="1"/>
        <v>5000</v>
      </c>
      <c r="Q8" s="16">
        <f t="shared" si="1"/>
        <v>71685</v>
      </c>
      <c r="R8" s="16">
        <f t="shared" si="1"/>
        <v>212617.5</v>
      </c>
      <c r="S8" s="57"/>
    </row>
    <row r="9" spans="1:20" ht="19.5" customHeight="1" x14ac:dyDescent="0.2">
      <c r="A9" s="17" t="s">
        <v>15</v>
      </c>
      <c r="B9" s="18" t="s">
        <v>1</v>
      </c>
      <c r="C9" s="68"/>
      <c r="D9" s="58">
        <f>D10+D11+D12</f>
        <v>434000</v>
      </c>
      <c r="E9" s="58">
        <f t="shared" ref="E9:R9" si="2">E10+E11+E12</f>
        <v>206685</v>
      </c>
      <c r="F9" s="58">
        <f t="shared" si="2"/>
        <v>40000</v>
      </c>
      <c r="G9" s="58">
        <f t="shared" si="2"/>
        <v>0</v>
      </c>
      <c r="H9" s="58">
        <f t="shared" si="2"/>
        <v>40000</v>
      </c>
      <c r="I9" s="58">
        <f t="shared" si="2"/>
        <v>0</v>
      </c>
      <c r="J9" s="58">
        <f t="shared" si="2"/>
        <v>10000</v>
      </c>
      <c r="K9" s="58">
        <f t="shared" si="2"/>
        <v>0</v>
      </c>
      <c r="L9" s="58">
        <f t="shared" si="2"/>
        <v>10000</v>
      </c>
      <c r="M9" s="58">
        <f t="shared" si="2"/>
        <v>20000</v>
      </c>
      <c r="N9" s="58">
        <f t="shared" si="2"/>
        <v>10000</v>
      </c>
      <c r="O9" s="58">
        <f t="shared" si="2"/>
        <v>0</v>
      </c>
      <c r="P9" s="58">
        <f t="shared" si="2"/>
        <v>5000</v>
      </c>
      <c r="Q9" s="58">
        <f t="shared" si="2"/>
        <v>71685</v>
      </c>
      <c r="R9" s="58">
        <f t="shared" si="2"/>
        <v>206685</v>
      </c>
      <c r="S9" s="59"/>
    </row>
    <row r="10" spans="1:20" ht="27" x14ac:dyDescent="0.2">
      <c r="A10" s="19" t="s">
        <v>28</v>
      </c>
      <c r="B10" s="20" t="s">
        <v>29</v>
      </c>
      <c r="C10" s="69"/>
      <c r="D10" s="25"/>
      <c r="E10" s="25"/>
      <c r="F10" s="51"/>
      <c r="G10" s="51"/>
      <c r="H10" s="51"/>
      <c r="I10" s="51"/>
      <c r="J10" s="51"/>
      <c r="K10" s="51"/>
      <c r="L10" s="51"/>
      <c r="M10" s="51"/>
      <c r="N10" s="51"/>
      <c r="O10" s="51"/>
      <c r="P10" s="51"/>
      <c r="Q10" s="51"/>
      <c r="R10" s="51"/>
      <c r="S10" s="25"/>
    </row>
    <row r="11" spans="1:20" ht="22.15" customHeight="1" x14ac:dyDescent="0.2">
      <c r="A11" s="19" t="s">
        <v>30</v>
      </c>
      <c r="B11" s="20" t="s">
        <v>31</v>
      </c>
      <c r="C11" s="69"/>
      <c r="D11" s="25"/>
      <c r="E11" s="25"/>
      <c r="F11" s="51"/>
      <c r="G11" s="51"/>
      <c r="H11" s="51"/>
      <c r="I11" s="51"/>
      <c r="J11" s="51"/>
      <c r="K11" s="51"/>
      <c r="L11" s="51"/>
      <c r="M11" s="51"/>
      <c r="N11" s="51"/>
      <c r="O11" s="51"/>
      <c r="P11" s="51"/>
      <c r="Q11" s="51"/>
      <c r="R11" s="51"/>
      <c r="S11" s="25"/>
    </row>
    <row r="12" spans="1:20" ht="22.15" customHeight="1" x14ac:dyDescent="0.2">
      <c r="A12" s="21" t="s">
        <v>32</v>
      </c>
      <c r="B12" s="22" t="s">
        <v>33</v>
      </c>
      <c r="C12" s="69"/>
      <c r="D12" s="8">
        <f>SUM(D13:D15)</f>
        <v>434000</v>
      </c>
      <c r="E12" s="8">
        <f>SUM(E13:E15)</f>
        <v>206685</v>
      </c>
      <c r="F12" s="8">
        <f>SUM(F13:F15)</f>
        <v>40000</v>
      </c>
      <c r="G12" s="8">
        <f t="shared" ref="G12:O12" si="3">SUM(G13:G15)</f>
        <v>0</v>
      </c>
      <c r="H12" s="8">
        <f t="shared" si="3"/>
        <v>40000</v>
      </c>
      <c r="I12" s="8">
        <f t="shared" si="3"/>
        <v>0</v>
      </c>
      <c r="J12" s="8">
        <f>SUM(J13:J15)</f>
        <v>10000</v>
      </c>
      <c r="K12" s="8">
        <f t="shared" si="3"/>
        <v>0</v>
      </c>
      <c r="L12" s="8">
        <f>SUM(L13:L15)</f>
        <v>10000</v>
      </c>
      <c r="M12" s="8">
        <f>SUM(M13:M15)</f>
        <v>20000</v>
      </c>
      <c r="N12" s="8">
        <f>SUM(N13:N15)</f>
        <v>10000</v>
      </c>
      <c r="O12" s="8">
        <f t="shared" si="3"/>
        <v>0</v>
      </c>
      <c r="P12" s="8">
        <f>SUM(P13:P15)</f>
        <v>5000</v>
      </c>
      <c r="Q12" s="8">
        <f>SUM(Q13:Q15)</f>
        <v>71685</v>
      </c>
      <c r="R12" s="8">
        <f>SUM(R13:R15)</f>
        <v>206685</v>
      </c>
      <c r="S12" s="25"/>
    </row>
    <row r="13" spans="1:20" ht="51" x14ac:dyDescent="0.2">
      <c r="A13" s="23">
        <v>1</v>
      </c>
      <c r="B13" s="24" t="s">
        <v>2</v>
      </c>
      <c r="C13" s="70" t="s">
        <v>3</v>
      </c>
      <c r="D13" s="25">
        <v>164000</v>
      </c>
      <c r="E13" s="25">
        <v>89000</v>
      </c>
      <c r="F13" s="51">
        <v>40000</v>
      </c>
      <c r="G13" s="51"/>
      <c r="H13" s="51"/>
      <c r="I13" s="51"/>
      <c r="J13" s="51">
        <v>10000</v>
      </c>
      <c r="K13" s="51"/>
      <c r="L13" s="51"/>
      <c r="M13" s="51"/>
      <c r="N13" s="51">
        <v>10000</v>
      </c>
      <c r="O13" s="51"/>
      <c r="P13" s="51"/>
      <c r="Q13" s="51">
        <v>29000</v>
      </c>
      <c r="R13" s="51">
        <f>SUM(F13:Q13)</f>
        <v>89000</v>
      </c>
      <c r="S13" s="25"/>
    </row>
    <row r="14" spans="1:20" ht="22.5" x14ac:dyDescent="0.2">
      <c r="A14" s="23">
        <v>2</v>
      </c>
      <c r="B14" s="24" t="s">
        <v>4</v>
      </c>
      <c r="C14" s="70" t="s">
        <v>5</v>
      </c>
      <c r="D14" s="25">
        <v>80000</v>
      </c>
      <c r="E14" s="25">
        <v>42000</v>
      </c>
      <c r="F14" s="51"/>
      <c r="G14" s="51"/>
      <c r="H14" s="51">
        <v>10000</v>
      </c>
      <c r="I14" s="51"/>
      <c r="J14" s="51"/>
      <c r="K14" s="51"/>
      <c r="L14" s="51">
        <v>10000</v>
      </c>
      <c r="M14" s="51"/>
      <c r="N14" s="51"/>
      <c r="O14" s="51"/>
      <c r="P14" s="51">
        <v>5000</v>
      </c>
      <c r="Q14" s="51">
        <v>17000</v>
      </c>
      <c r="R14" s="51">
        <f t="shared" ref="R14:R15" si="4">SUM(F14:Q14)</f>
        <v>42000</v>
      </c>
      <c r="S14" s="25"/>
    </row>
    <row r="15" spans="1:20" ht="20.25" customHeight="1" x14ac:dyDescent="0.2">
      <c r="A15" s="23">
        <v>3</v>
      </c>
      <c r="B15" s="24" t="s">
        <v>6</v>
      </c>
      <c r="C15" s="70" t="s">
        <v>7</v>
      </c>
      <c r="D15" s="26">
        <v>190000</v>
      </c>
      <c r="E15" s="27">
        <v>75685</v>
      </c>
      <c r="F15" s="51"/>
      <c r="G15" s="51"/>
      <c r="H15" s="51">
        <v>30000</v>
      </c>
      <c r="I15" s="51"/>
      <c r="J15" s="51"/>
      <c r="K15" s="51"/>
      <c r="L15" s="51"/>
      <c r="M15" s="51">
        <v>20000</v>
      </c>
      <c r="N15" s="51"/>
      <c r="O15" s="51"/>
      <c r="P15" s="51"/>
      <c r="Q15" s="51">
        <v>25685</v>
      </c>
      <c r="R15" s="51">
        <f t="shared" si="4"/>
        <v>75685</v>
      </c>
      <c r="S15" s="25"/>
    </row>
    <row r="16" spans="1:20" ht="16.899999999999999" customHeight="1" x14ac:dyDescent="0.2">
      <c r="A16" s="17" t="s">
        <v>25</v>
      </c>
      <c r="B16" s="18" t="s">
        <v>8</v>
      </c>
      <c r="C16" s="68"/>
      <c r="D16" s="58">
        <f>D17+D20+D22+D23+D24</f>
        <v>63000</v>
      </c>
      <c r="E16" s="58">
        <f>E17+E20+E22+E23+E24</f>
        <v>5932.5</v>
      </c>
      <c r="F16" s="58">
        <f t="shared" ref="F16:R16" si="5">F17+F20+F22+F23+F24</f>
        <v>4187.1610000000001</v>
      </c>
      <c r="G16" s="58">
        <f t="shared" si="5"/>
        <v>0</v>
      </c>
      <c r="H16" s="60">
        <f t="shared" si="5"/>
        <v>1745.3389999999999</v>
      </c>
      <c r="I16" s="58">
        <f t="shared" si="5"/>
        <v>0</v>
      </c>
      <c r="J16" s="58">
        <f t="shared" si="5"/>
        <v>0</v>
      </c>
      <c r="K16" s="58">
        <f t="shared" si="5"/>
        <v>0</v>
      </c>
      <c r="L16" s="58">
        <f t="shared" si="5"/>
        <v>0</v>
      </c>
      <c r="M16" s="58">
        <f t="shared" si="5"/>
        <v>0</v>
      </c>
      <c r="N16" s="58">
        <f t="shared" si="5"/>
        <v>0</v>
      </c>
      <c r="O16" s="58">
        <f t="shared" si="5"/>
        <v>0</v>
      </c>
      <c r="P16" s="58">
        <f t="shared" si="5"/>
        <v>0</v>
      </c>
      <c r="Q16" s="58">
        <f t="shared" si="5"/>
        <v>0</v>
      </c>
      <c r="R16" s="58">
        <f t="shared" si="5"/>
        <v>5932.5</v>
      </c>
      <c r="S16" s="59"/>
    </row>
    <row r="17" spans="1:19" ht="16.899999999999999" customHeight="1" x14ac:dyDescent="0.2">
      <c r="A17" s="19" t="s">
        <v>28</v>
      </c>
      <c r="B17" s="28" t="s">
        <v>34</v>
      </c>
      <c r="C17" s="69"/>
      <c r="D17" s="8">
        <f>SUM(D18:D19)</f>
        <v>40000</v>
      </c>
      <c r="E17" s="8">
        <f>SUM(E18:E19)</f>
        <v>2262.5</v>
      </c>
      <c r="F17" s="8">
        <f>SUM(F18:F19)</f>
        <v>1937.1610000000001</v>
      </c>
      <c r="G17" s="8">
        <f t="shared" ref="G17:R17" si="6">SUM(G18:G19)</f>
        <v>0</v>
      </c>
      <c r="H17" s="35">
        <f>SUM(H18:H19)</f>
        <v>325.33899999999994</v>
      </c>
      <c r="I17" s="8">
        <f t="shared" si="6"/>
        <v>0</v>
      </c>
      <c r="J17" s="8">
        <f t="shared" si="6"/>
        <v>0</v>
      </c>
      <c r="K17" s="8">
        <f t="shared" si="6"/>
        <v>0</v>
      </c>
      <c r="L17" s="8">
        <f t="shared" si="6"/>
        <v>0</v>
      </c>
      <c r="M17" s="8">
        <f t="shared" si="6"/>
        <v>0</v>
      </c>
      <c r="N17" s="8">
        <f t="shared" si="6"/>
        <v>0</v>
      </c>
      <c r="O17" s="8">
        <f t="shared" si="6"/>
        <v>0</v>
      </c>
      <c r="P17" s="8">
        <f t="shared" si="6"/>
        <v>0</v>
      </c>
      <c r="Q17" s="8">
        <f t="shared" si="6"/>
        <v>0</v>
      </c>
      <c r="R17" s="8">
        <f t="shared" si="6"/>
        <v>2262.5</v>
      </c>
      <c r="S17" s="25"/>
    </row>
    <row r="18" spans="1:19" ht="25.5" x14ac:dyDescent="0.2">
      <c r="A18" s="23">
        <v>1</v>
      </c>
      <c r="B18" s="29" t="s">
        <v>9</v>
      </c>
      <c r="C18" s="70" t="s">
        <v>119</v>
      </c>
      <c r="D18" s="25">
        <v>35000</v>
      </c>
      <c r="E18" s="25">
        <v>2206.3389999999999</v>
      </c>
      <c r="F18" s="51">
        <v>1881</v>
      </c>
      <c r="G18" s="51"/>
      <c r="H18" s="61">
        <f>E18-F18</f>
        <v>325.33899999999994</v>
      </c>
      <c r="I18" s="51"/>
      <c r="J18" s="51"/>
      <c r="K18" s="51"/>
      <c r="L18" s="51"/>
      <c r="M18" s="51"/>
      <c r="N18" s="51"/>
      <c r="O18" s="51"/>
      <c r="P18" s="51"/>
      <c r="Q18" s="51"/>
      <c r="R18" s="51">
        <f>SUM(F18:Q18)</f>
        <v>2206.3389999999999</v>
      </c>
      <c r="S18" s="25"/>
    </row>
    <row r="19" spans="1:19" ht="18.600000000000001" customHeight="1" x14ac:dyDescent="0.2">
      <c r="A19" s="23">
        <v>2</v>
      </c>
      <c r="B19" s="29" t="s">
        <v>10</v>
      </c>
      <c r="C19" s="70" t="s">
        <v>118</v>
      </c>
      <c r="D19" s="25">
        <v>5000</v>
      </c>
      <c r="E19" s="25">
        <v>56.161000000000001</v>
      </c>
      <c r="F19" s="51">
        <f>E19</f>
        <v>56.161000000000001</v>
      </c>
      <c r="G19" s="51"/>
      <c r="H19" s="51"/>
      <c r="I19" s="51"/>
      <c r="J19" s="51"/>
      <c r="K19" s="51"/>
      <c r="L19" s="51"/>
      <c r="M19" s="51"/>
      <c r="N19" s="51"/>
      <c r="O19" s="51"/>
      <c r="P19" s="51"/>
      <c r="Q19" s="51"/>
      <c r="R19" s="51">
        <f>SUM(F19:Q19)</f>
        <v>56.161000000000001</v>
      </c>
      <c r="S19" s="25"/>
    </row>
    <row r="20" spans="1:19" ht="27" x14ac:dyDescent="0.2">
      <c r="A20" s="19" t="s">
        <v>30</v>
      </c>
      <c r="B20" s="28" t="s">
        <v>35</v>
      </c>
      <c r="C20" s="69"/>
      <c r="D20" s="8">
        <f>SUM(D21)</f>
        <v>23000</v>
      </c>
      <c r="E20" s="8">
        <f>SUM(E21)</f>
        <v>1420</v>
      </c>
      <c r="F20" s="8">
        <f t="shared" ref="F20:R20" si="7">SUM(F21)</f>
        <v>0</v>
      </c>
      <c r="G20" s="8">
        <f t="shared" si="7"/>
        <v>0</v>
      </c>
      <c r="H20" s="8">
        <f t="shared" si="7"/>
        <v>1420</v>
      </c>
      <c r="I20" s="8">
        <f t="shared" si="7"/>
        <v>0</v>
      </c>
      <c r="J20" s="8">
        <f t="shared" si="7"/>
        <v>0</v>
      </c>
      <c r="K20" s="8">
        <f t="shared" si="7"/>
        <v>0</v>
      </c>
      <c r="L20" s="8">
        <f t="shared" si="7"/>
        <v>0</v>
      </c>
      <c r="M20" s="8">
        <f t="shared" si="7"/>
        <v>0</v>
      </c>
      <c r="N20" s="8">
        <f t="shared" si="7"/>
        <v>0</v>
      </c>
      <c r="O20" s="8">
        <f t="shared" si="7"/>
        <v>0</v>
      </c>
      <c r="P20" s="8">
        <f t="shared" si="7"/>
        <v>0</v>
      </c>
      <c r="Q20" s="8">
        <f t="shared" si="7"/>
        <v>0</v>
      </c>
      <c r="R20" s="8">
        <f t="shared" si="7"/>
        <v>1420</v>
      </c>
      <c r="S20" s="25"/>
    </row>
    <row r="21" spans="1:19" ht="25.5" x14ac:dyDescent="0.2">
      <c r="A21" s="23">
        <v>1</v>
      </c>
      <c r="B21" s="30" t="s">
        <v>11</v>
      </c>
      <c r="C21" s="2" t="s">
        <v>12</v>
      </c>
      <c r="D21" s="31">
        <v>23000</v>
      </c>
      <c r="E21" s="25">
        <v>1420</v>
      </c>
      <c r="F21" s="51"/>
      <c r="G21" s="51"/>
      <c r="H21" s="51">
        <f>E21</f>
        <v>1420</v>
      </c>
      <c r="I21" s="51"/>
      <c r="J21" s="51"/>
      <c r="K21" s="51"/>
      <c r="L21" s="51"/>
      <c r="M21" s="51"/>
      <c r="N21" s="51"/>
      <c r="O21" s="51"/>
      <c r="P21" s="51"/>
      <c r="Q21" s="51"/>
      <c r="R21" s="51">
        <f>SUM(F21:Q21)</f>
        <v>1420</v>
      </c>
      <c r="S21" s="25"/>
    </row>
    <row r="22" spans="1:19" ht="19.149999999999999" customHeight="1" x14ac:dyDescent="0.2">
      <c r="A22" s="19" t="s">
        <v>32</v>
      </c>
      <c r="B22" s="28" t="s">
        <v>31</v>
      </c>
      <c r="C22" s="2"/>
      <c r="D22" s="31"/>
      <c r="E22" s="25"/>
      <c r="F22" s="51"/>
      <c r="G22" s="51"/>
      <c r="H22" s="51"/>
      <c r="I22" s="51"/>
      <c r="J22" s="51"/>
      <c r="K22" s="51"/>
      <c r="L22" s="51"/>
      <c r="M22" s="51"/>
      <c r="N22" s="51"/>
      <c r="O22" s="51"/>
      <c r="P22" s="51"/>
      <c r="Q22" s="51"/>
      <c r="R22" s="51"/>
      <c r="S22" s="25"/>
    </row>
    <row r="23" spans="1:19" ht="19.149999999999999" customHeight="1" x14ac:dyDescent="0.2">
      <c r="A23" s="19" t="s">
        <v>36</v>
      </c>
      <c r="B23" s="28" t="s">
        <v>37</v>
      </c>
      <c r="C23" s="2"/>
      <c r="D23" s="31"/>
      <c r="E23" s="25"/>
      <c r="F23" s="51"/>
      <c r="G23" s="51"/>
      <c r="H23" s="51"/>
      <c r="I23" s="51"/>
      <c r="J23" s="51"/>
      <c r="K23" s="51"/>
      <c r="L23" s="51"/>
      <c r="M23" s="51"/>
      <c r="N23" s="51"/>
      <c r="O23" s="51"/>
      <c r="P23" s="51"/>
      <c r="Q23" s="51"/>
      <c r="R23" s="51"/>
      <c r="S23" s="25"/>
    </row>
    <row r="24" spans="1:19" ht="19.149999999999999" customHeight="1" x14ac:dyDescent="0.2">
      <c r="A24" s="19" t="s">
        <v>38</v>
      </c>
      <c r="B24" s="28" t="s">
        <v>39</v>
      </c>
      <c r="C24" s="2"/>
      <c r="D24" s="31"/>
      <c r="E24" s="8">
        <f>SUM(E25)</f>
        <v>2250</v>
      </c>
      <c r="F24" s="8">
        <f t="shared" ref="F24:R24" si="8">SUM(F25)</f>
        <v>2250</v>
      </c>
      <c r="G24" s="8">
        <f t="shared" si="8"/>
        <v>0</v>
      </c>
      <c r="H24" s="8">
        <f t="shared" si="8"/>
        <v>0</v>
      </c>
      <c r="I24" s="8">
        <f t="shared" si="8"/>
        <v>0</v>
      </c>
      <c r="J24" s="8">
        <f t="shared" si="8"/>
        <v>0</v>
      </c>
      <c r="K24" s="8">
        <f t="shared" si="8"/>
        <v>0</v>
      </c>
      <c r="L24" s="8">
        <f t="shared" si="8"/>
        <v>0</v>
      </c>
      <c r="M24" s="8">
        <f t="shared" si="8"/>
        <v>0</v>
      </c>
      <c r="N24" s="8">
        <f t="shared" si="8"/>
        <v>0</v>
      </c>
      <c r="O24" s="8">
        <f t="shared" si="8"/>
        <v>0</v>
      </c>
      <c r="P24" s="8">
        <f t="shared" si="8"/>
        <v>0</v>
      </c>
      <c r="Q24" s="8">
        <f t="shared" si="8"/>
        <v>0</v>
      </c>
      <c r="R24" s="8">
        <f t="shared" si="8"/>
        <v>2250</v>
      </c>
      <c r="S24" s="25"/>
    </row>
    <row r="25" spans="1:19" ht="19.149999999999999" customHeight="1" x14ac:dyDescent="0.2">
      <c r="A25" s="23">
        <v>1</v>
      </c>
      <c r="B25" s="30" t="s">
        <v>13</v>
      </c>
      <c r="C25" s="69" t="s">
        <v>22</v>
      </c>
      <c r="D25" s="31">
        <v>14990</v>
      </c>
      <c r="E25" s="25">
        <v>2250</v>
      </c>
      <c r="F25" s="51">
        <f>E25</f>
        <v>2250</v>
      </c>
      <c r="G25" s="51"/>
      <c r="H25" s="51"/>
      <c r="I25" s="51"/>
      <c r="J25" s="51"/>
      <c r="K25" s="51"/>
      <c r="L25" s="51"/>
      <c r="M25" s="51"/>
      <c r="N25" s="51"/>
      <c r="O25" s="51"/>
      <c r="P25" s="51"/>
      <c r="Q25" s="51"/>
      <c r="R25" s="51">
        <f>SUM(F25:Q25)</f>
        <v>2250</v>
      </c>
      <c r="S25" s="25"/>
    </row>
    <row r="26" spans="1:19" ht="19.899999999999999" customHeight="1" x14ac:dyDescent="0.2">
      <c r="A26" s="14" t="s">
        <v>26</v>
      </c>
      <c r="B26" s="15" t="s">
        <v>27</v>
      </c>
      <c r="C26" s="67"/>
      <c r="D26" s="16">
        <f>D27+D54</f>
        <v>182937.16800000001</v>
      </c>
      <c r="E26" s="16">
        <f t="shared" ref="E26:R26" si="9">E27+E54</f>
        <v>41065</v>
      </c>
      <c r="F26" s="62">
        <f t="shared" si="9"/>
        <v>15367.807000000001</v>
      </c>
      <c r="G26" s="62">
        <f t="shared" si="9"/>
        <v>0</v>
      </c>
      <c r="H26" s="62">
        <f t="shared" si="9"/>
        <v>5937.1930000000002</v>
      </c>
      <c r="I26" s="62">
        <f t="shared" si="9"/>
        <v>0</v>
      </c>
      <c r="J26" s="62">
        <f t="shared" si="9"/>
        <v>0</v>
      </c>
      <c r="K26" s="62">
        <f t="shared" si="9"/>
        <v>0</v>
      </c>
      <c r="L26" s="62">
        <f t="shared" si="9"/>
        <v>850</v>
      </c>
      <c r="M26" s="62">
        <f t="shared" si="9"/>
        <v>0</v>
      </c>
      <c r="N26" s="62">
        <f t="shared" si="9"/>
        <v>1550</v>
      </c>
      <c r="O26" s="62">
        <f t="shared" si="9"/>
        <v>860</v>
      </c>
      <c r="P26" s="62">
        <f t="shared" si="9"/>
        <v>1500</v>
      </c>
      <c r="Q26" s="62">
        <f t="shared" si="9"/>
        <v>0</v>
      </c>
      <c r="R26" s="62">
        <f t="shared" si="9"/>
        <v>26065</v>
      </c>
      <c r="S26" s="57"/>
    </row>
    <row r="27" spans="1:19" ht="19.899999999999999" customHeight="1" x14ac:dyDescent="0.2">
      <c r="A27" s="32" t="s">
        <v>15</v>
      </c>
      <c r="B27" s="33" t="s">
        <v>14</v>
      </c>
      <c r="C27" s="71"/>
      <c r="D27" s="63">
        <f>D28+D35+D39+D48+D49</f>
        <v>142853.228</v>
      </c>
      <c r="E27" s="63">
        <f t="shared" ref="E27:R27" si="10">E28+E35+E39+E48+E49</f>
        <v>26065</v>
      </c>
      <c r="F27" s="64">
        <f t="shared" si="10"/>
        <v>15367.807000000001</v>
      </c>
      <c r="G27" s="64">
        <f t="shared" si="10"/>
        <v>0</v>
      </c>
      <c r="H27" s="64">
        <f t="shared" si="10"/>
        <v>5937.1930000000002</v>
      </c>
      <c r="I27" s="64">
        <f t="shared" si="10"/>
        <v>0</v>
      </c>
      <c r="J27" s="64">
        <f t="shared" si="10"/>
        <v>0</v>
      </c>
      <c r="K27" s="64">
        <f t="shared" si="10"/>
        <v>0</v>
      </c>
      <c r="L27" s="64">
        <f t="shared" si="10"/>
        <v>850</v>
      </c>
      <c r="M27" s="64">
        <f t="shared" si="10"/>
        <v>0</v>
      </c>
      <c r="N27" s="64">
        <f t="shared" si="10"/>
        <v>1550</v>
      </c>
      <c r="O27" s="64">
        <f t="shared" si="10"/>
        <v>860</v>
      </c>
      <c r="P27" s="64">
        <f t="shared" si="10"/>
        <v>1500</v>
      </c>
      <c r="Q27" s="64">
        <f t="shared" si="10"/>
        <v>0</v>
      </c>
      <c r="R27" s="64">
        <f t="shared" si="10"/>
        <v>26065</v>
      </c>
      <c r="S27" s="65"/>
    </row>
    <row r="28" spans="1:19" ht="19.899999999999999" customHeight="1" x14ac:dyDescent="0.2">
      <c r="A28" s="19" t="s">
        <v>28</v>
      </c>
      <c r="B28" s="28" t="s">
        <v>34</v>
      </c>
      <c r="C28" s="69"/>
      <c r="D28" s="35">
        <f>SUM(D29:D34)</f>
        <v>55306.228000000003</v>
      </c>
      <c r="E28" s="35">
        <f>SUM(E29:E34)</f>
        <v>1952.9150000000002</v>
      </c>
      <c r="F28" s="35">
        <f t="shared" ref="F28:R28" si="11">SUM(F29:F34)</f>
        <v>715.72199999999998</v>
      </c>
      <c r="G28" s="35">
        <f t="shared" si="11"/>
        <v>0</v>
      </c>
      <c r="H28" s="35">
        <f>SUM(H29:H34)</f>
        <v>1237.193</v>
      </c>
      <c r="I28" s="35">
        <f t="shared" si="11"/>
        <v>0</v>
      </c>
      <c r="J28" s="35">
        <f t="shared" si="11"/>
        <v>0</v>
      </c>
      <c r="K28" s="35">
        <f t="shared" si="11"/>
        <v>0</v>
      </c>
      <c r="L28" s="35">
        <f t="shared" si="11"/>
        <v>0</v>
      </c>
      <c r="M28" s="35">
        <f t="shared" si="11"/>
        <v>0</v>
      </c>
      <c r="N28" s="35">
        <f t="shared" si="11"/>
        <v>0</v>
      </c>
      <c r="O28" s="35">
        <f t="shared" si="11"/>
        <v>0</v>
      </c>
      <c r="P28" s="35">
        <f t="shared" si="11"/>
        <v>0</v>
      </c>
      <c r="Q28" s="35">
        <f t="shared" si="11"/>
        <v>0</v>
      </c>
      <c r="R28" s="35">
        <f t="shared" si="11"/>
        <v>1952.9150000000002</v>
      </c>
      <c r="S28" s="25"/>
    </row>
    <row r="29" spans="1:19" ht="25.5" x14ac:dyDescent="0.2">
      <c r="A29" s="36">
        <v>1</v>
      </c>
      <c r="B29" s="29" t="s">
        <v>16</v>
      </c>
      <c r="C29" s="2" t="s">
        <v>17</v>
      </c>
      <c r="D29" s="31">
        <v>30600</v>
      </c>
      <c r="E29" s="51">
        <v>715.72199999999998</v>
      </c>
      <c r="F29" s="51">
        <f>E29</f>
        <v>715.72199999999998</v>
      </c>
      <c r="G29" s="51"/>
      <c r="H29" s="51">
        <f>E29-F29</f>
        <v>0</v>
      </c>
      <c r="I29" s="51"/>
      <c r="J29" s="51"/>
      <c r="K29" s="51"/>
      <c r="L29" s="51"/>
      <c r="M29" s="51"/>
      <c r="N29" s="51"/>
      <c r="O29" s="51"/>
      <c r="P29" s="51"/>
      <c r="Q29" s="51"/>
      <c r="R29" s="51">
        <f>SUM(F29:Q29)</f>
        <v>715.72199999999998</v>
      </c>
      <c r="S29" s="25"/>
    </row>
    <row r="30" spans="1:19" ht="20.45" customHeight="1" x14ac:dyDescent="0.2">
      <c r="A30" s="36">
        <v>2</v>
      </c>
      <c r="B30" s="30" t="s">
        <v>18</v>
      </c>
      <c r="C30" s="2" t="s">
        <v>19</v>
      </c>
      <c r="D30" s="31">
        <v>970</v>
      </c>
      <c r="E30" s="51">
        <v>140.53700000000001</v>
      </c>
      <c r="F30" s="51"/>
      <c r="G30" s="51"/>
      <c r="H30" s="51">
        <f>E30</f>
        <v>140.53700000000001</v>
      </c>
      <c r="I30" s="51"/>
      <c r="J30" s="51"/>
      <c r="K30" s="51"/>
      <c r="L30" s="51"/>
      <c r="M30" s="51"/>
      <c r="N30" s="51"/>
      <c r="O30" s="51"/>
      <c r="P30" s="51"/>
      <c r="Q30" s="51"/>
      <c r="R30" s="51">
        <f t="shared" ref="R30:R34" si="12">SUM(F30:Q30)</f>
        <v>140.53700000000001</v>
      </c>
      <c r="S30" s="25"/>
    </row>
    <row r="31" spans="1:19" ht="20.45" customHeight="1" x14ac:dyDescent="0.2">
      <c r="A31" s="36">
        <v>3</v>
      </c>
      <c r="B31" s="30" t="s">
        <v>20</v>
      </c>
      <c r="C31" s="2" t="s">
        <v>21</v>
      </c>
      <c r="D31" s="31">
        <v>12500</v>
      </c>
      <c r="E31" s="51">
        <v>608.01</v>
      </c>
      <c r="F31" s="51"/>
      <c r="G31" s="51"/>
      <c r="H31" s="51">
        <f>E31</f>
        <v>608.01</v>
      </c>
      <c r="I31" s="51"/>
      <c r="J31" s="51"/>
      <c r="K31" s="51"/>
      <c r="L31" s="51"/>
      <c r="M31" s="51"/>
      <c r="N31" s="51"/>
      <c r="O31" s="51"/>
      <c r="P31" s="51"/>
      <c r="Q31" s="51"/>
      <c r="R31" s="51">
        <f t="shared" si="12"/>
        <v>608.01</v>
      </c>
      <c r="S31" s="25"/>
    </row>
    <row r="32" spans="1:19" ht="38.25" x14ac:dyDescent="0.2">
      <c r="A32" s="36">
        <v>4</v>
      </c>
      <c r="B32" s="29" t="s">
        <v>40</v>
      </c>
      <c r="C32" s="1" t="s">
        <v>41</v>
      </c>
      <c r="D32" s="66">
        <v>2236.2280000000001</v>
      </c>
      <c r="E32" s="51">
        <v>179.01499999999999</v>
      </c>
      <c r="F32" s="51"/>
      <c r="G32" s="51"/>
      <c r="H32" s="51">
        <f>E32</f>
        <v>179.01499999999999</v>
      </c>
      <c r="I32" s="51"/>
      <c r="J32" s="51"/>
      <c r="K32" s="51"/>
      <c r="L32" s="51"/>
      <c r="M32" s="51"/>
      <c r="N32" s="51"/>
      <c r="O32" s="51"/>
      <c r="P32" s="51"/>
      <c r="Q32" s="51"/>
      <c r="R32" s="51">
        <f t="shared" si="12"/>
        <v>179.01499999999999</v>
      </c>
      <c r="S32" s="25"/>
    </row>
    <row r="33" spans="1:19" ht="24" customHeight="1" x14ac:dyDescent="0.2">
      <c r="A33" s="36">
        <v>5</v>
      </c>
      <c r="B33" s="29" t="s">
        <v>42</v>
      </c>
      <c r="C33" s="1" t="s">
        <v>44</v>
      </c>
      <c r="D33" s="25">
        <v>2500</v>
      </c>
      <c r="E33" s="51">
        <v>246.25</v>
      </c>
      <c r="F33" s="51"/>
      <c r="G33" s="51"/>
      <c r="H33" s="51">
        <f>E33</f>
        <v>246.25</v>
      </c>
      <c r="I33" s="51"/>
      <c r="J33" s="51"/>
      <c r="K33" s="51"/>
      <c r="L33" s="51"/>
      <c r="M33" s="51"/>
      <c r="N33" s="51"/>
      <c r="O33" s="51"/>
      <c r="P33" s="51"/>
      <c r="Q33" s="51"/>
      <c r="R33" s="51">
        <f t="shared" si="12"/>
        <v>246.25</v>
      </c>
      <c r="S33" s="25"/>
    </row>
    <row r="34" spans="1:19" ht="22.5" x14ac:dyDescent="0.2">
      <c r="A34" s="36">
        <v>6</v>
      </c>
      <c r="B34" s="29" t="s">
        <v>43</v>
      </c>
      <c r="C34" s="1" t="s">
        <v>45</v>
      </c>
      <c r="D34" s="25">
        <v>6500</v>
      </c>
      <c r="E34" s="51">
        <v>63.381</v>
      </c>
      <c r="F34" s="51"/>
      <c r="G34" s="51"/>
      <c r="H34" s="51">
        <f>E34</f>
        <v>63.381</v>
      </c>
      <c r="I34" s="51"/>
      <c r="J34" s="51"/>
      <c r="K34" s="51"/>
      <c r="L34" s="51"/>
      <c r="M34" s="51"/>
      <c r="N34" s="51"/>
      <c r="O34" s="51"/>
      <c r="P34" s="51"/>
      <c r="Q34" s="51"/>
      <c r="R34" s="51">
        <f t="shared" si="12"/>
        <v>63.381</v>
      </c>
      <c r="S34" s="25"/>
    </row>
    <row r="35" spans="1:19" ht="27" x14ac:dyDescent="0.2">
      <c r="A35" s="19" t="s">
        <v>30</v>
      </c>
      <c r="B35" s="28" t="s">
        <v>35</v>
      </c>
      <c r="C35" s="1"/>
      <c r="D35" s="35">
        <f>SUM(D36:D38)</f>
        <v>20747</v>
      </c>
      <c r="E35" s="35">
        <f t="shared" ref="E35:R35" si="13">SUM(E36:E38)</f>
        <v>3772.085</v>
      </c>
      <c r="F35" s="35">
        <f t="shared" si="13"/>
        <v>3772.085</v>
      </c>
      <c r="G35" s="35">
        <f t="shared" si="13"/>
        <v>0</v>
      </c>
      <c r="H35" s="35">
        <f t="shared" si="13"/>
        <v>0</v>
      </c>
      <c r="I35" s="35">
        <f t="shared" si="13"/>
        <v>0</v>
      </c>
      <c r="J35" s="35">
        <f t="shared" si="13"/>
        <v>0</v>
      </c>
      <c r="K35" s="35">
        <f t="shared" si="13"/>
        <v>0</v>
      </c>
      <c r="L35" s="35">
        <f t="shared" si="13"/>
        <v>0</v>
      </c>
      <c r="M35" s="35">
        <f t="shared" si="13"/>
        <v>0</v>
      </c>
      <c r="N35" s="35">
        <f t="shared" si="13"/>
        <v>0</v>
      </c>
      <c r="O35" s="35">
        <f t="shared" si="13"/>
        <v>0</v>
      </c>
      <c r="P35" s="35">
        <f t="shared" si="13"/>
        <v>0</v>
      </c>
      <c r="Q35" s="35">
        <f t="shared" si="13"/>
        <v>0</v>
      </c>
      <c r="R35" s="35">
        <f t="shared" si="13"/>
        <v>3772.085</v>
      </c>
      <c r="S35" s="25"/>
    </row>
    <row r="36" spans="1:19" ht="25.5" x14ac:dyDescent="0.2">
      <c r="A36" s="37">
        <v>1</v>
      </c>
      <c r="B36" s="38" t="s">
        <v>46</v>
      </c>
      <c r="C36" s="2" t="s">
        <v>49</v>
      </c>
      <c r="D36" s="31">
        <v>6997</v>
      </c>
      <c r="E36" s="51">
        <v>682.08500000000004</v>
      </c>
      <c r="F36" s="51">
        <f>E36</f>
        <v>682.08500000000004</v>
      </c>
      <c r="G36" s="51"/>
      <c r="H36" s="51"/>
      <c r="I36" s="51"/>
      <c r="J36" s="51"/>
      <c r="K36" s="51"/>
      <c r="L36" s="51"/>
      <c r="M36" s="51"/>
      <c r="N36" s="51"/>
      <c r="O36" s="51"/>
      <c r="P36" s="51"/>
      <c r="Q36" s="51"/>
      <c r="R36" s="51">
        <f>SUM(F36:Q36)</f>
        <v>682.08500000000004</v>
      </c>
      <c r="S36" s="25"/>
    </row>
    <row r="37" spans="1:19" ht="25.5" x14ac:dyDescent="0.2">
      <c r="A37" s="37">
        <v>2</v>
      </c>
      <c r="B37" s="30" t="s">
        <v>47</v>
      </c>
      <c r="C37" s="2" t="s">
        <v>50</v>
      </c>
      <c r="D37" s="31">
        <v>6800</v>
      </c>
      <c r="E37" s="51">
        <v>1700</v>
      </c>
      <c r="F37" s="51">
        <f>E37</f>
        <v>1700</v>
      </c>
      <c r="G37" s="51"/>
      <c r="H37" s="51"/>
      <c r="I37" s="51"/>
      <c r="J37" s="51"/>
      <c r="K37" s="51"/>
      <c r="L37" s="51"/>
      <c r="M37" s="51"/>
      <c r="N37" s="51"/>
      <c r="O37" s="51"/>
      <c r="P37" s="51"/>
      <c r="Q37" s="51"/>
      <c r="R37" s="51">
        <f t="shared" ref="R37:R38" si="14">SUM(F37:Q37)</f>
        <v>1700</v>
      </c>
      <c r="S37" s="25"/>
    </row>
    <row r="38" spans="1:19" ht="33.75" x14ac:dyDescent="0.2">
      <c r="A38" s="37">
        <v>3</v>
      </c>
      <c r="B38" s="30" t="s">
        <v>48</v>
      </c>
      <c r="C38" s="2" t="s">
        <v>51</v>
      </c>
      <c r="D38" s="31">
        <v>6950</v>
      </c>
      <c r="E38" s="51">
        <v>1390</v>
      </c>
      <c r="F38" s="51">
        <f>E38</f>
        <v>1390</v>
      </c>
      <c r="G38" s="51"/>
      <c r="H38" s="51"/>
      <c r="I38" s="51"/>
      <c r="J38" s="51"/>
      <c r="K38" s="51"/>
      <c r="L38" s="51"/>
      <c r="M38" s="51"/>
      <c r="N38" s="51"/>
      <c r="O38" s="51"/>
      <c r="P38" s="51"/>
      <c r="Q38" s="51"/>
      <c r="R38" s="51">
        <f t="shared" si="14"/>
        <v>1390</v>
      </c>
      <c r="S38" s="25"/>
    </row>
    <row r="39" spans="1:19" ht="18" customHeight="1" x14ac:dyDescent="0.2">
      <c r="A39" s="19" t="s">
        <v>32</v>
      </c>
      <c r="B39" s="28" t="s">
        <v>31</v>
      </c>
      <c r="C39" s="1"/>
      <c r="D39" s="35">
        <f>SUM(D40:D47)</f>
        <v>31350</v>
      </c>
      <c r="E39" s="35">
        <f>SUM(E40:E47)</f>
        <v>13640</v>
      </c>
      <c r="F39" s="35">
        <f t="shared" ref="F39:R39" si="15">SUM(F40:F47)</f>
        <v>8880</v>
      </c>
      <c r="G39" s="35">
        <f>SUM(G40:G47)</f>
        <v>0</v>
      </c>
      <c r="H39" s="35">
        <f t="shared" si="15"/>
        <v>0</v>
      </c>
      <c r="I39" s="35">
        <f t="shared" si="15"/>
        <v>0</v>
      </c>
      <c r="J39" s="35">
        <f t="shared" si="15"/>
        <v>0</v>
      </c>
      <c r="K39" s="35">
        <f t="shared" si="15"/>
        <v>0</v>
      </c>
      <c r="L39" s="35">
        <f t="shared" si="15"/>
        <v>850</v>
      </c>
      <c r="M39" s="35">
        <f t="shared" si="15"/>
        <v>0</v>
      </c>
      <c r="N39" s="35">
        <f t="shared" si="15"/>
        <v>1550</v>
      </c>
      <c r="O39" s="35">
        <f t="shared" si="15"/>
        <v>860</v>
      </c>
      <c r="P39" s="35">
        <f t="shared" si="15"/>
        <v>1500</v>
      </c>
      <c r="Q39" s="35">
        <f t="shared" si="15"/>
        <v>0</v>
      </c>
      <c r="R39" s="35">
        <f t="shared" si="15"/>
        <v>13640</v>
      </c>
      <c r="S39" s="25"/>
    </row>
    <row r="40" spans="1:19" ht="25.5" x14ac:dyDescent="0.2">
      <c r="A40" s="36">
        <v>1</v>
      </c>
      <c r="B40" s="30" t="s">
        <v>52</v>
      </c>
      <c r="C40" s="2" t="s">
        <v>60</v>
      </c>
      <c r="D40" s="31">
        <v>6000</v>
      </c>
      <c r="E40" s="39">
        <v>2850</v>
      </c>
      <c r="F40" s="51">
        <v>2000</v>
      </c>
      <c r="G40" s="51"/>
      <c r="H40" s="51"/>
      <c r="I40" s="51"/>
      <c r="J40" s="51"/>
      <c r="K40" s="51"/>
      <c r="L40" s="51">
        <f>E40-F40</f>
        <v>850</v>
      </c>
      <c r="M40" s="51"/>
      <c r="N40" s="51"/>
      <c r="O40" s="51"/>
      <c r="P40" s="51"/>
      <c r="Q40" s="51"/>
      <c r="R40" s="51">
        <f>SUM(F40:Q40)</f>
        <v>2850</v>
      </c>
      <c r="S40" s="25"/>
    </row>
    <row r="41" spans="1:19" ht="25.5" x14ac:dyDescent="0.2">
      <c r="A41" s="36">
        <v>2</v>
      </c>
      <c r="B41" s="30" t="s">
        <v>53</v>
      </c>
      <c r="C41" s="2" t="s">
        <v>61</v>
      </c>
      <c r="D41" s="31">
        <v>6500</v>
      </c>
      <c r="E41" s="39">
        <v>3050</v>
      </c>
      <c r="F41" s="51">
        <v>1500</v>
      </c>
      <c r="G41" s="51"/>
      <c r="H41" s="51"/>
      <c r="I41" s="51"/>
      <c r="J41" s="51"/>
      <c r="K41" s="51"/>
      <c r="L41" s="51"/>
      <c r="M41" s="51"/>
      <c r="N41" s="51">
        <f>E41-F41</f>
        <v>1550</v>
      </c>
      <c r="O41" s="51"/>
      <c r="P41" s="51"/>
      <c r="Q41" s="51"/>
      <c r="R41" s="51">
        <f t="shared" ref="R41:R47" si="16">SUM(F41:Q41)</f>
        <v>3050</v>
      </c>
      <c r="S41" s="25"/>
    </row>
    <row r="42" spans="1:19" ht="19.899999999999999" customHeight="1" x14ac:dyDescent="0.2">
      <c r="A42" s="36">
        <v>3</v>
      </c>
      <c r="B42" s="30" t="s">
        <v>54</v>
      </c>
      <c r="C42" s="2" t="s">
        <v>62</v>
      </c>
      <c r="D42" s="31">
        <v>4200</v>
      </c>
      <c r="E42" s="39">
        <v>1860</v>
      </c>
      <c r="F42" s="51">
        <v>1000</v>
      </c>
      <c r="G42" s="51"/>
      <c r="H42" s="51"/>
      <c r="I42" s="51"/>
      <c r="J42" s="51"/>
      <c r="K42" s="51"/>
      <c r="L42" s="51"/>
      <c r="M42" s="51"/>
      <c r="N42" s="51"/>
      <c r="O42" s="51">
        <f>E42-F42</f>
        <v>860</v>
      </c>
      <c r="P42" s="51"/>
      <c r="Q42" s="51"/>
      <c r="R42" s="51">
        <f t="shared" si="16"/>
        <v>1860</v>
      </c>
      <c r="S42" s="25"/>
    </row>
    <row r="43" spans="1:19" ht="25.5" x14ac:dyDescent="0.2">
      <c r="A43" s="36">
        <v>4</v>
      </c>
      <c r="B43" s="30" t="s">
        <v>55</v>
      </c>
      <c r="C43" s="2" t="s">
        <v>63</v>
      </c>
      <c r="D43" s="31">
        <v>2050</v>
      </c>
      <c r="E43" s="39">
        <v>660</v>
      </c>
      <c r="F43" s="51">
        <f>E43</f>
        <v>660</v>
      </c>
      <c r="G43" s="51"/>
      <c r="H43" s="51"/>
      <c r="I43" s="51"/>
      <c r="J43" s="51"/>
      <c r="K43" s="51"/>
      <c r="L43" s="51"/>
      <c r="M43" s="51"/>
      <c r="N43" s="51"/>
      <c r="O43" s="51"/>
      <c r="P43" s="51"/>
      <c r="Q43" s="51"/>
      <c r="R43" s="51">
        <f t="shared" si="16"/>
        <v>660</v>
      </c>
      <c r="S43" s="25"/>
    </row>
    <row r="44" spans="1:19" ht="21" customHeight="1" x14ac:dyDescent="0.2">
      <c r="A44" s="36">
        <v>5</v>
      </c>
      <c r="B44" s="30" t="s">
        <v>56</v>
      </c>
      <c r="C44" s="2" t="s">
        <v>112</v>
      </c>
      <c r="D44" s="31">
        <v>2100</v>
      </c>
      <c r="E44" s="39">
        <v>720</v>
      </c>
      <c r="F44" s="51">
        <f>E44</f>
        <v>720</v>
      </c>
      <c r="G44" s="51"/>
      <c r="H44" s="51"/>
      <c r="I44" s="51"/>
      <c r="J44" s="51"/>
      <c r="K44" s="51"/>
      <c r="L44" s="51"/>
      <c r="M44" s="51"/>
      <c r="N44" s="51"/>
      <c r="O44" s="51"/>
      <c r="P44" s="51"/>
      <c r="Q44" s="51"/>
      <c r="R44" s="51">
        <f t="shared" si="16"/>
        <v>720</v>
      </c>
      <c r="S44" s="25"/>
    </row>
    <row r="45" spans="1:19" ht="21" customHeight="1" x14ac:dyDescent="0.2">
      <c r="A45" s="36">
        <v>6</v>
      </c>
      <c r="B45" s="30" t="s">
        <v>57</v>
      </c>
      <c r="C45" s="2" t="s">
        <v>110</v>
      </c>
      <c r="D45" s="31">
        <v>3500</v>
      </c>
      <c r="E45" s="39">
        <v>1500</v>
      </c>
      <c r="F45" s="51">
        <v>1000</v>
      </c>
      <c r="G45" s="51"/>
      <c r="H45" s="51"/>
      <c r="I45" s="51"/>
      <c r="J45" s="51"/>
      <c r="K45" s="51"/>
      <c r="L45" s="51"/>
      <c r="M45" s="51"/>
      <c r="N45" s="51"/>
      <c r="O45" s="51"/>
      <c r="P45" s="51">
        <f>E45-F45</f>
        <v>500</v>
      </c>
      <c r="Q45" s="51"/>
      <c r="R45" s="51">
        <f t="shared" si="16"/>
        <v>1500</v>
      </c>
      <c r="S45" s="25"/>
    </row>
    <row r="46" spans="1:19" ht="21" customHeight="1" x14ac:dyDescent="0.2">
      <c r="A46" s="36">
        <v>7</v>
      </c>
      <c r="B46" s="30" t="s">
        <v>58</v>
      </c>
      <c r="C46" s="2" t="s">
        <v>64</v>
      </c>
      <c r="D46" s="31">
        <v>3600</v>
      </c>
      <c r="E46" s="39">
        <v>1500</v>
      </c>
      <c r="F46" s="51">
        <v>1000</v>
      </c>
      <c r="G46" s="51"/>
      <c r="H46" s="51"/>
      <c r="I46" s="51"/>
      <c r="J46" s="51"/>
      <c r="K46" s="51"/>
      <c r="L46" s="51"/>
      <c r="M46" s="51"/>
      <c r="N46" s="51"/>
      <c r="O46" s="51"/>
      <c r="P46" s="51">
        <f t="shared" ref="P46:P47" si="17">E46-F46</f>
        <v>500</v>
      </c>
      <c r="Q46" s="51"/>
      <c r="R46" s="51">
        <f t="shared" si="16"/>
        <v>1500</v>
      </c>
      <c r="S46" s="25"/>
    </row>
    <row r="47" spans="1:19" ht="21" customHeight="1" x14ac:dyDescent="0.2">
      <c r="A47" s="36">
        <v>8</v>
      </c>
      <c r="B47" s="30" t="s">
        <v>59</v>
      </c>
      <c r="C47" s="2" t="s">
        <v>111</v>
      </c>
      <c r="D47" s="31">
        <v>3400</v>
      </c>
      <c r="E47" s="39">
        <v>1500</v>
      </c>
      <c r="F47" s="51">
        <v>1000</v>
      </c>
      <c r="G47" s="51"/>
      <c r="H47" s="51"/>
      <c r="I47" s="51"/>
      <c r="J47" s="51"/>
      <c r="K47" s="51"/>
      <c r="L47" s="51"/>
      <c r="M47" s="51"/>
      <c r="N47" s="51"/>
      <c r="O47" s="51"/>
      <c r="P47" s="51">
        <f t="shared" si="17"/>
        <v>500</v>
      </c>
      <c r="Q47" s="51"/>
      <c r="R47" s="51">
        <f t="shared" si="16"/>
        <v>1500</v>
      </c>
      <c r="S47" s="25"/>
    </row>
    <row r="48" spans="1:19" ht="21" customHeight="1" x14ac:dyDescent="0.2">
      <c r="A48" s="19" t="s">
        <v>36</v>
      </c>
      <c r="B48" s="28" t="s">
        <v>37</v>
      </c>
      <c r="C48" s="69"/>
      <c r="D48" s="25"/>
      <c r="E48" s="25"/>
      <c r="F48" s="51"/>
      <c r="G48" s="51"/>
      <c r="H48" s="51"/>
      <c r="I48" s="51"/>
      <c r="J48" s="51"/>
      <c r="K48" s="51"/>
      <c r="L48" s="51"/>
      <c r="M48" s="51"/>
      <c r="N48" s="51"/>
      <c r="O48" s="51"/>
      <c r="P48" s="51"/>
      <c r="Q48" s="51"/>
      <c r="R48" s="51"/>
      <c r="S48" s="25"/>
    </row>
    <row r="49" spans="1:19" ht="21" customHeight="1" x14ac:dyDescent="0.2">
      <c r="A49" s="19" t="s">
        <v>38</v>
      </c>
      <c r="B49" s="28" t="s">
        <v>39</v>
      </c>
      <c r="C49" s="69"/>
      <c r="D49" s="8">
        <f>SUM(D50:D53)</f>
        <v>35450</v>
      </c>
      <c r="E49" s="8">
        <f t="shared" ref="E49:R49" si="18">SUM(E50:E53)</f>
        <v>6700</v>
      </c>
      <c r="F49" s="35">
        <f t="shared" si="18"/>
        <v>2000</v>
      </c>
      <c r="G49" s="35">
        <f t="shared" si="18"/>
        <v>0</v>
      </c>
      <c r="H49" s="35">
        <f t="shared" si="18"/>
        <v>4700</v>
      </c>
      <c r="I49" s="35">
        <f t="shared" si="18"/>
        <v>0</v>
      </c>
      <c r="J49" s="35">
        <f t="shared" si="18"/>
        <v>0</v>
      </c>
      <c r="K49" s="35">
        <f t="shared" si="18"/>
        <v>0</v>
      </c>
      <c r="L49" s="35">
        <f t="shared" si="18"/>
        <v>0</v>
      </c>
      <c r="M49" s="35">
        <f t="shared" si="18"/>
        <v>0</v>
      </c>
      <c r="N49" s="35">
        <f t="shared" si="18"/>
        <v>0</v>
      </c>
      <c r="O49" s="35">
        <f t="shared" si="18"/>
        <v>0</v>
      </c>
      <c r="P49" s="35">
        <f t="shared" si="18"/>
        <v>0</v>
      </c>
      <c r="Q49" s="35">
        <f t="shared" si="18"/>
        <v>0</v>
      </c>
      <c r="R49" s="35">
        <f t="shared" si="18"/>
        <v>6700</v>
      </c>
      <c r="S49" s="25"/>
    </row>
    <row r="50" spans="1:19" ht="25.5" x14ac:dyDescent="0.2">
      <c r="A50" s="40">
        <v>1</v>
      </c>
      <c r="B50" s="41" t="s">
        <v>65</v>
      </c>
      <c r="C50" s="73" t="s">
        <v>113</v>
      </c>
      <c r="D50" s="51">
        <v>2500</v>
      </c>
      <c r="E50" s="51">
        <v>900</v>
      </c>
      <c r="F50" s="51"/>
      <c r="G50" s="51"/>
      <c r="H50" s="51">
        <v>900</v>
      </c>
      <c r="I50" s="51"/>
      <c r="J50" s="51"/>
      <c r="K50" s="51"/>
      <c r="L50" s="51"/>
      <c r="M50" s="51"/>
      <c r="N50" s="51"/>
      <c r="O50" s="51"/>
      <c r="P50" s="51"/>
      <c r="Q50" s="51"/>
      <c r="R50" s="51">
        <f>SUM(F50:Q50)</f>
        <v>900</v>
      </c>
      <c r="S50" s="25"/>
    </row>
    <row r="51" spans="1:19" ht="25.5" x14ac:dyDescent="0.2">
      <c r="A51" s="40">
        <v>2</v>
      </c>
      <c r="B51" s="29" t="s">
        <v>66</v>
      </c>
      <c r="C51" s="73" t="s">
        <v>114</v>
      </c>
      <c r="D51" s="51">
        <v>6950</v>
      </c>
      <c r="E51" s="51">
        <v>2000</v>
      </c>
      <c r="F51" s="51"/>
      <c r="G51" s="51"/>
      <c r="H51" s="51">
        <f>E51</f>
        <v>2000</v>
      </c>
      <c r="I51" s="51"/>
      <c r="J51" s="51"/>
      <c r="K51" s="51"/>
      <c r="L51" s="51"/>
      <c r="M51" s="51"/>
      <c r="N51" s="51"/>
      <c r="O51" s="51"/>
      <c r="P51" s="51"/>
      <c r="Q51" s="51"/>
      <c r="R51" s="51">
        <f t="shared" ref="R51:R53" si="19">SUM(F51:Q51)</f>
        <v>2000</v>
      </c>
      <c r="S51" s="25"/>
    </row>
    <row r="52" spans="1:19" ht="23.45" customHeight="1" x14ac:dyDescent="0.2">
      <c r="A52" s="40">
        <v>3</v>
      </c>
      <c r="B52" s="41" t="s">
        <v>67</v>
      </c>
      <c r="C52" s="73" t="s">
        <v>115</v>
      </c>
      <c r="D52" s="51">
        <v>6000</v>
      </c>
      <c r="E52" s="51">
        <v>1800</v>
      </c>
      <c r="F52" s="51"/>
      <c r="G52" s="51"/>
      <c r="H52" s="51">
        <f>E52</f>
        <v>1800</v>
      </c>
      <c r="I52" s="51"/>
      <c r="J52" s="51"/>
      <c r="K52" s="51"/>
      <c r="L52" s="51"/>
      <c r="M52" s="51"/>
      <c r="N52" s="51"/>
      <c r="O52" s="51"/>
      <c r="P52" s="51"/>
      <c r="Q52" s="51"/>
      <c r="R52" s="51">
        <f t="shared" si="19"/>
        <v>1800</v>
      </c>
      <c r="S52" s="25"/>
    </row>
    <row r="53" spans="1:19" ht="25.5" x14ac:dyDescent="0.2">
      <c r="A53" s="40">
        <v>4</v>
      </c>
      <c r="B53" s="41" t="s">
        <v>68</v>
      </c>
      <c r="C53" s="73" t="s">
        <v>116</v>
      </c>
      <c r="D53" s="51">
        <v>20000</v>
      </c>
      <c r="E53" s="51">
        <v>2000</v>
      </c>
      <c r="F53" s="51">
        <f>E53</f>
        <v>2000</v>
      </c>
      <c r="G53" s="51"/>
      <c r="H53" s="51"/>
      <c r="I53" s="51"/>
      <c r="J53" s="51"/>
      <c r="K53" s="51"/>
      <c r="L53" s="51"/>
      <c r="M53" s="51"/>
      <c r="N53" s="51"/>
      <c r="O53" s="51"/>
      <c r="P53" s="51"/>
      <c r="Q53" s="51"/>
      <c r="R53" s="51">
        <f t="shared" si="19"/>
        <v>2000</v>
      </c>
      <c r="S53" s="25"/>
    </row>
    <row r="54" spans="1:19" ht="22.5" customHeight="1" x14ac:dyDescent="0.2">
      <c r="A54" s="42" t="s">
        <v>25</v>
      </c>
      <c r="B54" s="43" t="s">
        <v>69</v>
      </c>
      <c r="C54" s="71"/>
      <c r="D54" s="9">
        <f>D55+D58</f>
        <v>40083.94</v>
      </c>
      <c r="E54" s="9">
        <f>E55+E58</f>
        <v>15000</v>
      </c>
      <c r="F54" s="44"/>
      <c r="G54" s="44"/>
      <c r="H54" s="44"/>
      <c r="I54" s="44"/>
      <c r="J54" s="44"/>
      <c r="K54" s="44"/>
      <c r="L54" s="44"/>
      <c r="M54" s="44"/>
      <c r="N54" s="44"/>
      <c r="O54" s="44"/>
      <c r="P54" s="44"/>
      <c r="Q54" s="44"/>
      <c r="R54" s="44"/>
      <c r="S54" s="34"/>
    </row>
    <row r="55" spans="1:19" ht="40.5" x14ac:dyDescent="0.2">
      <c r="A55" s="19" t="s">
        <v>70</v>
      </c>
      <c r="B55" s="28" t="s">
        <v>71</v>
      </c>
      <c r="C55" s="69"/>
      <c r="D55" s="50">
        <f>SUM(D56:D57)</f>
        <v>5103.9399999999996</v>
      </c>
      <c r="E55" s="50">
        <f t="shared" ref="E55:R55" si="20">SUM(E56:E57)</f>
        <v>1907</v>
      </c>
      <c r="F55" s="35">
        <f t="shared" si="20"/>
        <v>0</v>
      </c>
      <c r="G55" s="35">
        <f t="shared" si="20"/>
        <v>0</v>
      </c>
      <c r="H55" s="35">
        <f t="shared" si="20"/>
        <v>0</v>
      </c>
      <c r="I55" s="35">
        <f t="shared" si="20"/>
        <v>0</v>
      </c>
      <c r="J55" s="35">
        <f t="shared" si="20"/>
        <v>0</v>
      </c>
      <c r="K55" s="35">
        <f t="shared" si="20"/>
        <v>0</v>
      </c>
      <c r="L55" s="35">
        <f t="shared" si="20"/>
        <v>0</v>
      </c>
      <c r="M55" s="35">
        <f t="shared" si="20"/>
        <v>0</v>
      </c>
      <c r="N55" s="35">
        <f t="shared" si="20"/>
        <v>0</v>
      </c>
      <c r="O55" s="35">
        <f t="shared" si="20"/>
        <v>0</v>
      </c>
      <c r="P55" s="35">
        <f t="shared" si="20"/>
        <v>0</v>
      </c>
      <c r="Q55" s="35">
        <f t="shared" si="20"/>
        <v>0</v>
      </c>
      <c r="R55" s="35">
        <f t="shared" si="20"/>
        <v>0</v>
      </c>
      <c r="S55" s="25"/>
    </row>
    <row r="56" spans="1:19" ht="38.25" x14ac:dyDescent="0.2">
      <c r="A56" s="37">
        <v>1</v>
      </c>
      <c r="B56" s="30" t="s">
        <v>72</v>
      </c>
      <c r="C56" s="3" t="s">
        <v>73</v>
      </c>
      <c r="D56" s="45">
        <v>2092.9029999999998</v>
      </c>
      <c r="E56" s="45">
        <v>600</v>
      </c>
      <c r="F56" s="51"/>
      <c r="G56" s="51"/>
      <c r="H56" s="51"/>
      <c r="I56" s="51"/>
      <c r="J56" s="51"/>
      <c r="K56" s="51"/>
      <c r="L56" s="51"/>
      <c r="M56" s="51"/>
      <c r="N56" s="51"/>
      <c r="O56" s="51"/>
      <c r="P56" s="51"/>
      <c r="Q56" s="51"/>
      <c r="R56" s="51"/>
      <c r="S56" s="25"/>
    </row>
    <row r="57" spans="1:19" ht="25.5" x14ac:dyDescent="0.2">
      <c r="A57" s="37">
        <v>2</v>
      </c>
      <c r="B57" s="30" t="s">
        <v>74</v>
      </c>
      <c r="C57" s="3" t="s">
        <v>75</v>
      </c>
      <c r="D57" s="45">
        <v>3011.0369999999998</v>
      </c>
      <c r="E57" s="45">
        <v>1307</v>
      </c>
      <c r="F57" s="51"/>
      <c r="G57" s="51"/>
      <c r="H57" s="51"/>
      <c r="I57" s="51"/>
      <c r="J57" s="51"/>
      <c r="K57" s="51"/>
      <c r="L57" s="51"/>
      <c r="M57" s="51"/>
      <c r="N57" s="51"/>
      <c r="O57" s="51"/>
      <c r="P57" s="51"/>
      <c r="Q57" s="51"/>
      <c r="R57" s="51"/>
      <c r="S57" s="25"/>
    </row>
    <row r="58" spans="1:19" ht="18" customHeight="1" x14ac:dyDescent="0.2">
      <c r="A58" s="19" t="s">
        <v>76</v>
      </c>
      <c r="B58" s="28" t="s">
        <v>77</v>
      </c>
      <c r="C58" s="69"/>
      <c r="D58" s="8">
        <f>D59+D62</f>
        <v>34980</v>
      </c>
      <c r="E58" s="8">
        <f t="shared" ref="E58:R58" si="21">E59+E62</f>
        <v>13093</v>
      </c>
      <c r="F58" s="35">
        <f t="shared" si="21"/>
        <v>0</v>
      </c>
      <c r="G58" s="35">
        <f t="shared" si="21"/>
        <v>0</v>
      </c>
      <c r="H58" s="35">
        <f t="shared" si="21"/>
        <v>0</v>
      </c>
      <c r="I58" s="35">
        <f t="shared" si="21"/>
        <v>0</v>
      </c>
      <c r="J58" s="35">
        <f t="shared" si="21"/>
        <v>0</v>
      </c>
      <c r="K58" s="35">
        <f t="shared" si="21"/>
        <v>0</v>
      </c>
      <c r="L58" s="35">
        <f t="shared" si="21"/>
        <v>0</v>
      </c>
      <c r="M58" s="35">
        <f t="shared" si="21"/>
        <v>0</v>
      </c>
      <c r="N58" s="35">
        <f t="shared" si="21"/>
        <v>0</v>
      </c>
      <c r="O58" s="35">
        <f t="shared" si="21"/>
        <v>0</v>
      </c>
      <c r="P58" s="35">
        <f t="shared" si="21"/>
        <v>0</v>
      </c>
      <c r="Q58" s="35">
        <f t="shared" si="21"/>
        <v>0</v>
      </c>
      <c r="R58" s="35">
        <f t="shared" si="21"/>
        <v>0</v>
      </c>
      <c r="S58" s="25"/>
    </row>
    <row r="59" spans="1:19" ht="27" x14ac:dyDescent="0.2">
      <c r="A59" s="19" t="s">
        <v>28</v>
      </c>
      <c r="B59" s="28" t="s">
        <v>35</v>
      </c>
      <c r="C59" s="69"/>
      <c r="D59" s="46">
        <f>SUM(D60)</f>
        <v>6980</v>
      </c>
      <c r="E59" s="46">
        <f t="shared" ref="E59:R59" si="22">SUM(E60)</f>
        <v>3093</v>
      </c>
      <c r="F59" s="52">
        <f t="shared" si="22"/>
        <v>0</v>
      </c>
      <c r="G59" s="52">
        <f t="shared" si="22"/>
        <v>0</v>
      </c>
      <c r="H59" s="52">
        <f t="shared" si="22"/>
        <v>0</v>
      </c>
      <c r="I59" s="52">
        <f t="shared" si="22"/>
        <v>0</v>
      </c>
      <c r="J59" s="52">
        <f t="shared" si="22"/>
        <v>0</v>
      </c>
      <c r="K59" s="52">
        <f t="shared" si="22"/>
        <v>0</v>
      </c>
      <c r="L59" s="52">
        <f t="shared" si="22"/>
        <v>0</v>
      </c>
      <c r="M59" s="52">
        <f t="shared" si="22"/>
        <v>0</v>
      </c>
      <c r="N59" s="52">
        <f t="shared" si="22"/>
        <v>0</v>
      </c>
      <c r="O59" s="52">
        <f t="shared" si="22"/>
        <v>0</v>
      </c>
      <c r="P59" s="52">
        <f t="shared" si="22"/>
        <v>0</v>
      </c>
      <c r="Q59" s="52">
        <f t="shared" si="22"/>
        <v>0</v>
      </c>
      <c r="R59" s="52">
        <f t="shared" si="22"/>
        <v>0</v>
      </c>
      <c r="S59" s="25"/>
    </row>
    <row r="60" spans="1:19" ht="22.5" x14ac:dyDescent="0.2">
      <c r="A60" s="37">
        <v>1</v>
      </c>
      <c r="B60" s="30" t="s">
        <v>78</v>
      </c>
      <c r="C60" s="4" t="s">
        <v>79</v>
      </c>
      <c r="D60" s="45">
        <v>6980</v>
      </c>
      <c r="E60" s="45">
        <v>3093</v>
      </c>
      <c r="F60" s="51"/>
      <c r="G60" s="51"/>
      <c r="H60" s="51"/>
      <c r="I60" s="51"/>
      <c r="J60" s="51"/>
      <c r="K60" s="51"/>
      <c r="L60" s="51"/>
      <c r="M60" s="51"/>
      <c r="N60" s="51"/>
      <c r="O60" s="51"/>
      <c r="P60" s="51"/>
      <c r="Q60" s="51"/>
      <c r="R60" s="51"/>
      <c r="S60" s="25"/>
    </row>
    <row r="61" spans="1:19" ht="13.5" x14ac:dyDescent="0.2">
      <c r="A61" s="19" t="s">
        <v>30</v>
      </c>
      <c r="B61" s="28" t="s">
        <v>31</v>
      </c>
      <c r="C61" s="69"/>
      <c r="D61" s="25"/>
      <c r="E61" s="25"/>
      <c r="F61" s="51"/>
      <c r="G61" s="51"/>
      <c r="H61" s="51"/>
      <c r="I61" s="51"/>
      <c r="J61" s="51"/>
      <c r="K61" s="51"/>
      <c r="L61" s="51"/>
      <c r="M61" s="51"/>
      <c r="N61" s="51"/>
      <c r="O61" s="51"/>
      <c r="P61" s="51"/>
      <c r="Q61" s="51"/>
      <c r="R61" s="51"/>
      <c r="S61" s="25"/>
    </row>
    <row r="62" spans="1:19" ht="13.5" x14ac:dyDescent="0.2">
      <c r="A62" s="19" t="s">
        <v>32</v>
      </c>
      <c r="B62" s="28" t="s">
        <v>37</v>
      </c>
      <c r="C62" s="69"/>
      <c r="D62" s="35">
        <f>SUM(D63)</f>
        <v>28000</v>
      </c>
      <c r="E62" s="35">
        <f t="shared" ref="E62:R62" si="23">SUM(E63)</f>
        <v>10000</v>
      </c>
      <c r="F62" s="35">
        <f t="shared" si="23"/>
        <v>0</v>
      </c>
      <c r="G62" s="35">
        <f t="shared" si="23"/>
        <v>0</v>
      </c>
      <c r="H62" s="35">
        <f t="shared" si="23"/>
        <v>0</v>
      </c>
      <c r="I62" s="35">
        <f t="shared" si="23"/>
        <v>0</v>
      </c>
      <c r="J62" s="35">
        <f t="shared" si="23"/>
        <v>0</v>
      </c>
      <c r="K62" s="35">
        <f t="shared" si="23"/>
        <v>0</v>
      </c>
      <c r="L62" s="35">
        <f t="shared" si="23"/>
        <v>0</v>
      </c>
      <c r="M62" s="35">
        <f t="shared" si="23"/>
        <v>0</v>
      </c>
      <c r="N62" s="35">
        <f t="shared" si="23"/>
        <v>0</v>
      </c>
      <c r="O62" s="35">
        <f t="shared" si="23"/>
        <v>0</v>
      </c>
      <c r="P62" s="35">
        <f t="shared" si="23"/>
        <v>0</v>
      </c>
      <c r="Q62" s="35">
        <f t="shared" si="23"/>
        <v>0</v>
      </c>
      <c r="R62" s="35">
        <f t="shared" si="23"/>
        <v>0</v>
      </c>
      <c r="S62" s="25"/>
    </row>
    <row r="63" spans="1:19" ht="25.5" x14ac:dyDescent="0.2">
      <c r="A63" s="47">
        <v>1</v>
      </c>
      <c r="B63" s="48" t="s">
        <v>80</v>
      </c>
      <c r="C63" s="5" t="s">
        <v>81</v>
      </c>
      <c r="D63" s="49">
        <v>28000</v>
      </c>
      <c r="E63" s="49">
        <v>10000</v>
      </c>
      <c r="F63" s="53"/>
      <c r="G63" s="53"/>
      <c r="H63" s="53"/>
      <c r="I63" s="53"/>
      <c r="J63" s="53"/>
      <c r="K63" s="53"/>
      <c r="L63" s="53"/>
      <c r="M63" s="53"/>
      <c r="N63" s="53"/>
      <c r="O63" s="53"/>
      <c r="P63" s="53"/>
      <c r="Q63" s="53"/>
      <c r="R63" s="53"/>
      <c r="S63" s="54"/>
    </row>
  </sheetData>
  <mergeCells count="10">
    <mergeCell ref="A1:T1"/>
    <mergeCell ref="A2:S2"/>
    <mergeCell ref="A3:S3"/>
    <mergeCell ref="A4:S4"/>
    <mergeCell ref="A5:A6"/>
    <mergeCell ref="B5:B6"/>
    <mergeCell ref="C5:D5"/>
    <mergeCell ref="E5:E6"/>
    <mergeCell ref="F5:R5"/>
    <mergeCell ref="S5:S6"/>
  </mergeCells>
  <printOptions horizontalCentered="1"/>
  <pageMargins left="0.19685039370078741" right="0.19685039370078741" top="0.59055118110236227" bottom="0.39370078740157483" header="0.31496062992125984" footer="0.31496062992125984"/>
  <pageSetup paperSize="9" scale="80" orientation="landscape" verticalDpi="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0"/>
  <sheetViews>
    <sheetView zoomScale="85" zoomScaleNormal="85" zoomScaleSheetLayoutView="130" workbookViewId="0">
      <pane ySplit="7" topLeftCell="A8" activePane="bottomLeft" state="frozen"/>
      <selection pane="bottomLeft" activeCell="H47" sqref="H47"/>
    </sheetView>
  </sheetViews>
  <sheetFormatPr defaultColWidth="9.33203125" defaultRowHeight="12.75" x14ac:dyDescent="0.2"/>
  <cols>
    <col min="1" max="1" width="5.33203125" style="74" customWidth="1"/>
    <col min="2" max="2" width="64" style="74" customWidth="1"/>
    <col min="3" max="3" width="12.6640625" style="74" customWidth="1"/>
    <col min="4" max="4" width="24.5" style="74" customWidth="1"/>
    <col min="5" max="5" width="7.83203125" style="74" customWidth="1"/>
    <col min="6" max="6" width="14.33203125" style="74" customWidth="1"/>
    <col min="7" max="7" width="12.5" style="74" customWidth="1"/>
    <col min="8" max="8" width="11.83203125" style="74" customWidth="1"/>
    <col min="9" max="9" width="10.83203125" style="81" customWidth="1"/>
    <col min="10" max="10" width="10.6640625" style="81" customWidth="1"/>
    <col min="11" max="11" width="8.6640625" style="76" customWidth="1"/>
    <col min="12" max="14" width="6.1640625" style="74" customWidth="1"/>
    <col min="15" max="15" width="8.33203125" style="118" customWidth="1"/>
    <col min="16" max="16" width="17.33203125" style="74" customWidth="1"/>
    <col min="17" max="17" width="10.5" style="74" customWidth="1"/>
    <col min="18" max="18" width="23.5" style="74" customWidth="1"/>
    <col min="19" max="19" width="10.1640625" style="74" customWidth="1"/>
    <col min="20" max="20" width="11.5" style="74" customWidth="1"/>
    <col min="21" max="21" width="11.6640625" style="102" customWidth="1"/>
    <col min="22" max="23" width="9.33203125" style="102" customWidth="1"/>
    <col min="24" max="24" width="9.83203125" style="102" customWidth="1"/>
    <col min="25" max="25" width="9.33203125" style="102" customWidth="1"/>
    <col min="26" max="26" width="9.33203125" style="102"/>
    <col min="27" max="27" width="11.6640625" style="102" bestFit="1" customWidth="1"/>
    <col min="28" max="28" width="9.33203125" style="102"/>
    <col min="29" max="29" width="11.1640625" style="102" bestFit="1" customWidth="1"/>
    <col min="30" max="31" width="9.33203125" style="102"/>
    <col min="32" max="16384" width="9.33203125" style="74"/>
  </cols>
  <sheetData>
    <row r="1" spans="1:31" ht="15.75" x14ac:dyDescent="0.2">
      <c r="A1" s="903" t="s">
        <v>572</v>
      </c>
      <c r="B1" s="903"/>
      <c r="C1" s="903"/>
      <c r="D1" s="903"/>
      <c r="E1" s="903"/>
      <c r="F1" s="903"/>
      <c r="G1" s="903"/>
      <c r="H1" s="903"/>
      <c r="I1" s="903"/>
      <c r="J1" s="903"/>
      <c r="K1" s="903"/>
      <c r="L1" s="903"/>
      <c r="M1" s="117"/>
      <c r="N1" s="117"/>
      <c r="R1" s="77"/>
    </row>
    <row r="2" spans="1:31" ht="18.600000000000001" customHeight="1" x14ac:dyDescent="0.2">
      <c r="A2" s="880" t="s">
        <v>570</v>
      </c>
      <c r="B2" s="880"/>
      <c r="C2" s="880"/>
      <c r="D2" s="880"/>
      <c r="E2" s="880"/>
      <c r="F2" s="880"/>
      <c r="G2" s="880"/>
      <c r="H2" s="880"/>
      <c r="I2" s="880"/>
      <c r="J2" s="880"/>
      <c r="K2" s="880"/>
      <c r="L2" s="880"/>
      <c r="M2" s="172"/>
      <c r="N2" s="172"/>
    </row>
    <row r="3" spans="1:31" ht="17.25" customHeight="1" x14ac:dyDescent="0.2">
      <c r="A3" s="881" t="s">
        <v>576</v>
      </c>
      <c r="B3" s="881"/>
      <c r="C3" s="881"/>
      <c r="D3" s="881"/>
      <c r="E3" s="881"/>
      <c r="F3" s="881"/>
      <c r="G3" s="881"/>
      <c r="H3" s="881"/>
      <c r="I3" s="881"/>
      <c r="J3" s="881"/>
      <c r="K3" s="881"/>
      <c r="L3" s="881"/>
      <c r="M3" s="173"/>
      <c r="N3" s="173"/>
      <c r="O3" s="119"/>
    </row>
    <row r="4" spans="1:31" ht="15" customHeight="1" thickBot="1" x14ac:dyDescent="0.25">
      <c r="A4" s="78"/>
      <c r="B4" s="78"/>
      <c r="C4" s="78"/>
      <c r="D4" s="78"/>
      <c r="E4" s="78"/>
      <c r="F4" s="78"/>
      <c r="G4" s="78"/>
      <c r="H4" s="78"/>
      <c r="I4" s="890" t="s">
        <v>109</v>
      </c>
      <c r="J4" s="890"/>
      <c r="K4" s="890"/>
      <c r="L4" s="890"/>
      <c r="M4" s="120"/>
      <c r="N4" s="120"/>
      <c r="O4" s="119"/>
    </row>
    <row r="5" spans="1:31" ht="30.75" customHeight="1" x14ac:dyDescent="0.2">
      <c r="A5" s="875" t="s">
        <v>84</v>
      </c>
      <c r="B5" s="877" t="s">
        <v>85</v>
      </c>
      <c r="C5" s="891" t="s">
        <v>133</v>
      </c>
      <c r="D5" s="891" t="s">
        <v>134</v>
      </c>
      <c r="E5" s="891" t="s">
        <v>135</v>
      </c>
      <c r="F5" s="877" t="s">
        <v>86</v>
      </c>
      <c r="G5" s="877"/>
      <c r="H5" s="877" t="s">
        <v>537</v>
      </c>
      <c r="I5" s="882" t="s">
        <v>655</v>
      </c>
      <c r="J5" s="882"/>
      <c r="K5" s="882" t="s">
        <v>117</v>
      </c>
      <c r="L5" s="873" t="s">
        <v>88</v>
      </c>
      <c r="M5" s="121"/>
      <c r="N5" s="121"/>
      <c r="P5" s="898" t="s">
        <v>267</v>
      </c>
      <c r="Q5" s="122">
        <f>92/173%</f>
        <v>53.179190751445084</v>
      </c>
      <c r="R5" s="899" t="s">
        <v>106</v>
      </c>
    </row>
    <row r="6" spans="1:31" ht="18.75" customHeight="1" x14ac:dyDescent="0.2">
      <c r="A6" s="876"/>
      <c r="B6" s="878"/>
      <c r="C6" s="892"/>
      <c r="D6" s="892"/>
      <c r="E6" s="892"/>
      <c r="F6" s="878" t="s">
        <v>89</v>
      </c>
      <c r="G6" s="878" t="s">
        <v>90</v>
      </c>
      <c r="H6" s="878"/>
      <c r="I6" s="883"/>
      <c r="J6" s="883"/>
      <c r="K6" s="883"/>
      <c r="L6" s="874"/>
      <c r="M6" s="121"/>
      <c r="N6" s="121"/>
      <c r="P6" s="898"/>
      <c r="R6" s="899"/>
    </row>
    <row r="7" spans="1:31" ht="77.25" customHeight="1" x14ac:dyDescent="0.2">
      <c r="A7" s="907"/>
      <c r="B7" s="906"/>
      <c r="C7" s="908"/>
      <c r="D7" s="908"/>
      <c r="E7" s="908"/>
      <c r="F7" s="906"/>
      <c r="G7" s="906"/>
      <c r="H7" s="906"/>
      <c r="I7" s="633" t="s">
        <v>23</v>
      </c>
      <c r="J7" s="633" t="s">
        <v>132</v>
      </c>
      <c r="K7" s="904"/>
      <c r="L7" s="905"/>
      <c r="M7" s="121"/>
      <c r="N7" s="121"/>
      <c r="O7" s="123">
        <f>H8+1813</f>
        <v>24859.078000000001</v>
      </c>
      <c r="P7" s="898"/>
      <c r="R7" s="899"/>
    </row>
    <row r="8" spans="1:31" ht="15" x14ac:dyDescent="0.2">
      <c r="A8" s="614"/>
      <c r="B8" s="197" t="s">
        <v>571</v>
      </c>
      <c r="C8" s="197"/>
      <c r="D8" s="197"/>
      <c r="E8" s="197"/>
      <c r="F8" s="615"/>
      <c r="G8" s="198">
        <f>G10</f>
        <v>97847.959000000003</v>
      </c>
      <c r="H8" s="198">
        <f t="shared" ref="H8:K8" si="0">H10</f>
        <v>23046.078000000001</v>
      </c>
      <c r="I8" s="198">
        <f t="shared" si="0"/>
        <v>3344.3919999999998</v>
      </c>
      <c r="J8" s="198">
        <f t="shared" si="0"/>
        <v>3344.3919999999998</v>
      </c>
      <c r="K8" s="634">
        <f t="shared" si="0"/>
        <v>14.511762044717541</v>
      </c>
      <c r="L8" s="617">
        <f>SUM(L9:L9)</f>
        <v>40</v>
      </c>
      <c r="M8" s="124"/>
      <c r="N8" s="124"/>
      <c r="Q8" s="125">
        <f>K8-31.84</f>
        <v>-17.328237955282461</v>
      </c>
      <c r="S8" s="77">
        <f>H8+66627</f>
        <v>89673.078000000009</v>
      </c>
      <c r="T8" s="126">
        <f>800+45808+43818</f>
        <v>90426</v>
      </c>
    </row>
    <row r="9" spans="1:31" s="111" customFormat="1" ht="15" x14ac:dyDescent="0.2">
      <c r="A9" s="201"/>
      <c r="B9" s="203" t="s">
        <v>131</v>
      </c>
      <c r="C9" s="203"/>
      <c r="D9" s="203"/>
      <c r="E9" s="203"/>
      <c r="F9" s="203"/>
      <c r="G9" s="215">
        <f>SUMIF($O$10:$O$65,O9,$G$10:$G$65)</f>
        <v>97847.959000000003</v>
      </c>
      <c r="H9" s="215">
        <f>SUMIF($O$10:$O$65,O9,$H$10:$H$65)</f>
        <v>23046.077999999998</v>
      </c>
      <c r="I9" s="215">
        <f>SUMIF($O$10:$O$65,O9,$I$10:$I$65)</f>
        <v>3344.3919999999998</v>
      </c>
      <c r="J9" s="215">
        <f>SUMIF($O$10:$O$65,O9,$J$10:$J$65)</f>
        <v>3344.3919999999998</v>
      </c>
      <c r="K9" s="288">
        <f>I9/H9%</f>
        <v>14.511762044717544</v>
      </c>
      <c r="L9" s="289">
        <f>COUNTIF($O$10:$O$65,O9)</f>
        <v>40</v>
      </c>
      <c r="M9" s="290"/>
      <c r="N9" s="290"/>
      <c r="O9" s="155" t="s">
        <v>123</v>
      </c>
      <c r="U9" s="113"/>
      <c r="V9" s="113"/>
      <c r="W9" s="113"/>
      <c r="X9" s="113"/>
      <c r="Y9" s="113"/>
      <c r="Z9" s="113"/>
      <c r="AA9" s="113"/>
      <c r="AB9" s="113"/>
      <c r="AC9" s="113"/>
      <c r="AD9" s="113"/>
      <c r="AE9" s="113"/>
    </row>
    <row r="10" spans="1:31" s="106" customFormat="1" ht="15" x14ac:dyDescent="0.2">
      <c r="A10" s="188"/>
      <c r="B10" s="189" t="s">
        <v>164</v>
      </c>
      <c r="C10" s="189"/>
      <c r="D10" s="189"/>
      <c r="E10" s="189"/>
      <c r="F10" s="190"/>
      <c r="G10" s="191">
        <f>G11+G23+G34</f>
        <v>97847.959000000003</v>
      </c>
      <c r="H10" s="191">
        <f>H11+H23+H34</f>
        <v>23046.078000000001</v>
      </c>
      <c r="I10" s="191">
        <f>I11+I23+I34</f>
        <v>3344.3919999999998</v>
      </c>
      <c r="J10" s="191">
        <f>J11+J23+J34</f>
        <v>3344.3919999999998</v>
      </c>
      <c r="K10" s="192">
        <f>I10/H10*100</f>
        <v>14.511762044717541</v>
      </c>
      <c r="L10" s="193"/>
      <c r="M10" s="83"/>
      <c r="N10" s="83">
        <f>I10/H10%</f>
        <v>14.511762044717543</v>
      </c>
      <c r="O10" s="142"/>
      <c r="P10" s="74"/>
      <c r="Q10" s="148"/>
      <c r="R10" s="74"/>
      <c r="S10" s="125"/>
      <c r="T10" s="74"/>
      <c r="U10" s="102"/>
      <c r="V10" s="102"/>
      <c r="W10" s="102"/>
      <c r="X10" s="102"/>
      <c r="Y10" s="102"/>
      <c r="Z10" s="102"/>
      <c r="AA10" s="104"/>
      <c r="AB10" s="104"/>
      <c r="AC10" s="102"/>
    </row>
    <row r="11" spans="1:31" s="79" customFormat="1" ht="14.25" x14ac:dyDescent="0.2">
      <c r="A11" s="194" t="s">
        <v>15</v>
      </c>
      <c r="B11" s="195" t="s">
        <v>165</v>
      </c>
      <c r="C11" s="196"/>
      <c r="D11" s="195"/>
      <c r="E11" s="197"/>
      <c r="F11" s="197"/>
      <c r="G11" s="198">
        <f>G12</f>
        <v>14945.959000000001</v>
      </c>
      <c r="H11" s="198">
        <f t="shared" ref="H11:J11" si="1">H12</f>
        <v>6570.9709999999995</v>
      </c>
      <c r="I11" s="198">
        <f t="shared" si="1"/>
        <v>0</v>
      </c>
      <c r="J11" s="198">
        <f t="shared" si="1"/>
        <v>0</v>
      </c>
      <c r="K11" s="199">
        <f>I11/H11*100</f>
        <v>0</v>
      </c>
      <c r="L11" s="200"/>
      <c r="M11" s="149"/>
      <c r="N11" s="149"/>
      <c r="O11" s="118"/>
      <c r="Q11" s="146"/>
      <c r="S11" s="114"/>
      <c r="U11" s="103"/>
      <c r="V11" s="103"/>
      <c r="W11" s="103"/>
      <c r="X11" s="103"/>
      <c r="Y11" s="103"/>
      <c r="Z11" s="103"/>
      <c r="AA11" s="104"/>
      <c r="AB11" s="104"/>
      <c r="AC11" s="103"/>
    </row>
    <row r="12" spans="1:31" s="84" customFormat="1" ht="15" x14ac:dyDescent="0.2">
      <c r="A12" s="201"/>
      <c r="B12" s="203" t="s">
        <v>558</v>
      </c>
      <c r="C12" s="202"/>
      <c r="D12" s="203"/>
      <c r="E12" s="204"/>
      <c r="F12" s="205"/>
      <c r="G12" s="206">
        <f>SUM(G13:G22)</f>
        <v>14945.959000000001</v>
      </c>
      <c r="H12" s="206">
        <f t="shared" ref="H12:K12" si="2">SUM(H13:H22)</f>
        <v>6570.9709999999995</v>
      </c>
      <c r="I12" s="206">
        <f t="shared" si="2"/>
        <v>0</v>
      </c>
      <c r="J12" s="206">
        <f t="shared" si="2"/>
        <v>0</v>
      </c>
      <c r="K12" s="206">
        <f t="shared" si="2"/>
        <v>0</v>
      </c>
      <c r="L12" s="207"/>
      <c r="M12" s="132"/>
      <c r="N12" s="132"/>
      <c r="O12" s="119"/>
      <c r="Q12" s="150"/>
      <c r="S12" s="151"/>
      <c r="U12" s="112"/>
      <c r="V12" s="112"/>
      <c r="W12" s="112"/>
      <c r="X12" s="112"/>
      <c r="Y12" s="112"/>
      <c r="Z12" s="112"/>
      <c r="AA12" s="104"/>
      <c r="AB12" s="104"/>
      <c r="AC12" s="112"/>
    </row>
    <row r="13" spans="1:31" s="84" customFormat="1" ht="30" x14ac:dyDescent="0.2">
      <c r="A13" s="208">
        <v>1</v>
      </c>
      <c r="B13" s="209" t="s">
        <v>538</v>
      </c>
      <c r="C13" s="218" t="s">
        <v>144</v>
      </c>
      <c r="D13" s="240" t="s">
        <v>560</v>
      </c>
      <c r="E13" s="212" t="s">
        <v>167</v>
      </c>
      <c r="F13" s="212" t="s">
        <v>548</v>
      </c>
      <c r="G13" s="213">
        <v>950</v>
      </c>
      <c r="H13" s="214">
        <v>96.797000000000025</v>
      </c>
      <c r="I13" s="206"/>
      <c r="J13" s="206"/>
      <c r="K13" s="215"/>
      <c r="L13" s="207"/>
      <c r="M13" s="132"/>
      <c r="N13" s="132"/>
      <c r="O13" s="118" t="s">
        <v>123</v>
      </c>
      <c r="P13" s="175" t="s">
        <v>269</v>
      </c>
      <c r="Q13" s="150"/>
      <c r="S13" s="151"/>
      <c r="U13" s="112"/>
      <c r="V13" s="112"/>
      <c r="W13" s="112"/>
      <c r="X13" s="112"/>
      <c r="Y13" s="112"/>
      <c r="Z13" s="112"/>
      <c r="AA13" s="104"/>
      <c r="AB13" s="104"/>
      <c r="AC13" s="112"/>
    </row>
    <row r="14" spans="1:31" s="84" customFormat="1" ht="30" x14ac:dyDescent="0.2">
      <c r="A14" s="208">
        <v>2</v>
      </c>
      <c r="B14" s="209" t="s">
        <v>539</v>
      </c>
      <c r="C14" s="218" t="s">
        <v>141</v>
      </c>
      <c r="D14" s="240" t="s">
        <v>561</v>
      </c>
      <c r="E14" s="216" t="s">
        <v>167</v>
      </c>
      <c r="F14" s="212" t="s">
        <v>549</v>
      </c>
      <c r="G14" s="213">
        <v>1800</v>
      </c>
      <c r="H14" s="214">
        <v>142.03400000000011</v>
      </c>
      <c r="I14" s="206"/>
      <c r="J14" s="206"/>
      <c r="K14" s="215"/>
      <c r="L14" s="207"/>
      <c r="M14" s="132"/>
      <c r="N14" s="132"/>
      <c r="O14" s="118" t="s">
        <v>123</v>
      </c>
      <c r="P14" s="176" t="s">
        <v>271</v>
      </c>
      <c r="Q14" s="150"/>
      <c r="S14" s="151"/>
      <c r="U14" s="112"/>
      <c r="V14" s="112"/>
      <c r="W14" s="112"/>
      <c r="X14" s="112"/>
      <c r="Y14" s="112"/>
      <c r="Z14" s="112"/>
      <c r="AA14" s="104"/>
      <c r="AB14" s="104"/>
      <c r="AC14" s="112"/>
    </row>
    <row r="15" spans="1:31" s="84" customFormat="1" ht="30" x14ac:dyDescent="0.2">
      <c r="A15" s="208">
        <v>3</v>
      </c>
      <c r="B15" s="209" t="s">
        <v>540</v>
      </c>
      <c r="C15" s="218" t="s">
        <v>148</v>
      </c>
      <c r="D15" s="240" t="s">
        <v>561</v>
      </c>
      <c r="E15" s="216" t="s">
        <v>167</v>
      </c>
      <c r="F15" s="212" t="s">
        <v>550</v>
      </c>
      <c r="G15" s="213">
        <v>1786</v>
      </c>
      <c r="H15" s="214">
        <v>1431.4059999999999</v>
      </c>
      <c r="I15" s="206"/>
      <c r="J15" s="206"/>
      <c r="K15" s="215"/>
      <c r="L15" s="207"/>
      <c r="M15" s="132"/>
      <c r="N15" s="132"/>
      <c r="O15" s="118" t="s">
        <v>123</v>
      </c>
      <c r="P15" s="176" t="s">
        <v>272</v>
      </c>
      <c r="Q15" s="150"/>
      <c r="S15" s="151"/>
      <c r="U15" s="112"/>
      <c r="V15" s="112"/>
      <c r="W15" s="112"/>
      <c r="X15" s="112"/>
      <c r="Y15" s="112"/>
      <c r="Z15" s="112"/>
      <c r="AA15" s="104"/>
      <c r="AB15" s="104"/>
      <c r="AC15" s="112"/>
    </row>
    <row r="16" spans="1:31" s="84" customFormat="1" ht="30" x14ac:dyDescent="0.2">
      <c r="A16" s="208">
        <v>4</v>
      </c>
      <c r="B16" s="209" t="s">
        <v>541</v>
      </c>
      <c r="C16" s="218" t="s">
        <v>149</v>
      </c>
      <c r="D16" s="240" t="s">
        <v>562</v>
      </c>
      <c r="E16" s="216" t="s">
        <v>167</v>
      </c>
      <c r="F16" s="212" t="s">
        <v>551</v>
      </c>
      <c r="G16" s="213">
        <v>1300</v>
      </c>
      <c r="H16" s="214">
        <v>624.53</v>
      </c>
      <c r="I16" s="206"/>
      <c r="J16" s="206"/>
      <c r="K16" s="215"/>
      <c r="L16" s="207"/>
      <c r="M16" s="132"/>
      <c r="N16" s="132"/>
      <c r="O16" s="118" t="s">
        <v>123</v>
      </c>
      <c r="P16" s="147" t="s">
        <v>275</v>
      </c>
      <c r="Q16" s="150"/>
      <c r="S16" s="151"/>
      <c r="U16" s="112"/>
      <c r="V16" s="112"/>
      <c r="W16" s="112"/>
      <c r="X16" s="112"/>
      <c r="Y16" s="112"/>
      <c r="Z16" s="112"/>
      <c r="AA16" s="104"/>
      <c r="AB16" s="104"/>
      <c r="AC16" s="112"/>
    </row>
    <row r="17" spans="1:29" s="84" customFormat="1" ht="30" x14ac:dyDescent="0.2">
      <c r="A17" s="208">
        <v>5</v>
      </c>
      <c r="B17" s="209" t="s">
        <v>542</v>
      </c>
      <c r="C17" s="218" t="s">
        <v>656</v>
      </c>
      <c r="D17" s="240" t="s">
        <v>563</v>
      </c>
      <c r="E17" s="216" t="s">
        <v>167</v>
      </c>
      <c r="F17" s="212" t="s">
        <v>552</v>
      </c>
      <c r="G17" s="213">
        <v>1800</v>
      </c>
      <c r="H17" s="214">
        <v>297.25099999999998</v>
      </c>
      <c r="I17" s="206"/>
      <c r="J17" s="206"/>
      <c r="K17" s="215"/>
      <c r="L17" s="207"/>
      <c r="M17" s="132"/>
      <c r="N17" s="132"/>
      <c r="O17" s="118" t="s">
        <v>123</v>
      </c>
      <c r="P17" s="147" t="s">
        <v>276</v>
      </c>
      <c r="Q17" s="150"/>
      <c r="S17" s="151"/>
      <c r="U17" s="112"/>
      <c r="V17" s="112"/>
      <c r="W17" s="112"/>
      <c r="X17" s="112"/>
      <c r="Y17" s="112"/>
      <c r="Z17" s="112"/>
      <c r="AA17" s="104"/>
      <c r="AB17" s="104"/>
      <c r="AC17" s="112"/>
    </row>
    <row r="18" spans="1:29" s="84" customFormat="1" ht="30" x14ac:dyDescent="0.2">
      <c r="A18" s="208">
        <v>6</v>
      </c>
      <c r="B18" s="209" t="s">
        <v>543</v>
      </c>
      <c r="C18" s="218" t="s">
        <v>657</v>
      </c>
      <c r="D18" s="240" t="s">
        <v>564</v>
      </c>
      <c r="E18" s="216" t="s">
        <v>167</v>
      </c>
      <c r="F18" s="212" t="s">
        <v>553</v>
      </c>
      <c r="G18" s="213">
        <v>934.18600000000004</v>
      </c>
      <c r="H18" s="214">
        <v>820</v>
      </c>
      <c r="I18" s="206"/>
      <c r="J18" s="206"/>
      <c r="K18" s="215"/>
      <c r="L18" s="207"/>
      <c r="M18" s="132"/>
      <c r="N18" s="132"/>
      <c r="O18" s="118" t="s">
        <v>123</v>
      </c>
      <c r="P18" s="147" t="s">
        <v>277</v>
      </c>
      <c r="Q18" s="150"/>
      <c r="S18" s="151"/>
      <c r="U18" s="112"/>
      <c r="V18" s="112"/>
      <c r="W18" s="112"/>
      <c r="X18" s="112"/>
      <c r="Y18" s="112"/>
      <c r="Z18" s="112"/>
      <c r="AA18" s="104"/>
      <c r="AB18" s="104"/>
      <c r="AC18" s="112"/>
    </row>
    <row r="19" spans="1:29" s="84" customFormat="1" ht="30" x14ac:dyDescent="0.2">
      <c r="A19" s="208">
        <v>7</v>
      </c>
      <c r="B19" s="209" t="s">
        <v>544</v>
      </c>
      <c r="C19" s="218" t="s">
        <v>658</v>
      </c>
      <c r="D19" s="240" t="s">
        <v>565</v>
      </c>
      <c r="E19" s="216" t="s">
        <v>167</v>
      </c>
      <c r="F19" s="212" t="s">
        <v>554</v>
      </c>
      <c r="G19" s="213">
        <v>981.91300000000001</v>
      </c>
      <c r="H19" s="214">
        <v>170.20100000000002</v>
      </c>
      <c r="I19" s="206"/>
      <c r="J19" s="206"/>
      <c r="K19" s="215"/>
      <c r="L19" s="207"/>
      <c r="M19" s="132"/>
      <c r="N19" s="132"/>
      <c r="O19" s="118" t="s">
        <v>123</v>
      </c>
      <c r="P19" s="147" t="s">
        <v>277</v>
      </c>
      <c r="Q19" s="150"/>
      <c r="S19" s="151"/>
      <c r="U19" s="112"/>
      <c r="V19" s="112"/>
      <c r="W19" s="112"/>
      <c r="X19" s="112"/>
      <c r="Y19" s="112"/>
      <c r="Z19" s="112"/>
      <c r="AA19" s="104"/>
      <c r="AB19" s="104"/>
      <c r="AC19" s="112"/>
    </row>
    <row r="20" spans="1:29" s="84" customFormat="1" ht="30" x14ac:dyDescent="0.2">
      <c r="A20" s="208">
        <v>8</v>
      </c>
      <c r="B20" s="209" t="s">
        <v>545</v>
      </c>
      <c r="C20" s="218" t="s">
        <v>139</v>
      </c>
      <c r="D20" s="240" t="s">
        <v>566</v>
      </c>
      <c r="E20" s="216" t="s">
        <v>167</v>
      </c>
      <c r="F20" s="212" t="s">
        <v>555</v>
      </c>
      <c r="G20" s="213">
        <v>1650</v>
      </c>
      <c r="H20" s="214">
        <v>352.43100000000004</v>
      </c>
      <c r="I20" s="206"/>
      <c r="J20" s="206"/>
      <c r="K20" s="215"/>
      <c r="L20" s="207"/>
      <c r="M20" s="132"/>
      <c r="N20" s="132"/>
      <c r="O20" s="118" t="s">
        <v>123</v>
      </c>
      <c r="P20" s="147" t="s">
        <v>278</v>
      </c>
      <c r="Q20" s="150"/>
      <c r="S20" s="151"/>
      <c r="U20" s="112"/>
      <c r="V20" s="112"/>
      <c r="W20" s="112"/>
      <c r="X20" s="112"/>
      <c r="Y20" s="112"/>
      <c r="Z20" s="112"/>
      <c r="AA20" s="104"/>
      <c r="AB20" s="104"/>
      <c r="AC20" s="112"/>
    </row>
    <row r="21" spans="1:29" s="84" customFormat="1" ht="30" x14ac:dyDescent="0.2">
      <c r="A21" s="208">
        <v>9</v>
      </c>
      <c r="B21" s="209" t="s">
        <v>546</v>
      </c>
      <c r="C21" s="218" t="s">
        <v>226</v>
      </c>
      <c r="D21" s="240" t="s">
        <v>567</v>
      </c>
      <c r="E21" s="216" t="s">
        <v>167</v>
      </c>
      <c r="F21" s="212" t="s">
        <v>556</v>
      </c>
      <c r="G21" s="213">
        <v>1843.86</v>
      </c>
      <c r="H21" s="214">
        <v>1600</v>
      </c>
      <c r="I21" s="206"/>
      <c r="J21" s="206"/>
      <c r="K21" s="215"/>
      <c r="L21" s="207"/>
      <c r="M21" s="132"/>
      <c r="N21" s="132"/>
      <c r="O21" s="118" t="s">
        <v>123</v>
      </c>
      <c r="P21" s="147" t="s">
        <v>279</v>
      </c>
      <c r="Q21" s="150"/>
      <c r="S21" s="151"/>
      <c r="U21" s="112"/>
      <c r="V21" s="112"/>
      <c r="W21" s="112"/>
      <c r="X21" s="112"/>
      <c r="Y21" s="112"/>
      <c r="Z21" s="112"/>
      <c r="AA21" s="104"/>
      <c r="AB21" s="104"/>
      <c r="AC21" s="112"/>
    </row>
    <row r="22" spans="1:29" s="84" customFormat="1" ht="30" x14ac:dyDescent="0.2">
      <c r="A22" s="208">
        <v>10</v>
      </c>
      <c r="B22" s="209" t="s">
        <v>547</v>
      </c>
      <c r="C22" s="218" t="s">
        <v>137</v>
      </c>
      <c r="D22" s="240" t="s">
        <v>569</v>
      </c>
      <c r="E22" s="216" t="s">
        <v>167</v>
      </c>
      <c r="F22" s="212" t="s">
        <v>557</v>
      </c>
      <c r="G22" s="213">
        <v>1900</v>
      </c>
      <c r="H22" s="214">
        <v>1036.3209999999999</v>
      </c>
      <c r="I22" s="206"/>
      <c r="J22" s="206"/>
      <c r="K22" s="215"/>
      <c r="L22" s="207"/>
      <c r="M22" s="132"/>
      <c r="N22" s="132"/>
      <c r="O22" s="118" t="s">
        <v>123</v>
      </c>
      <c r="P22" s="147" t="s">
        <v>280</v>
      </c>
      <c r="Q22" s="150"/>
      <c r="S22" s="151"/>
      <c r="U22" s="112"/>
      <c r="V22" s="112"/>
      <c r="W22" s="112"/>
      <c r="X22" s="112"/>
      <c r="Y22" s="112"/>
      <c r="Z22" s="112"/>
      <c r="AA22" s="104"/>
      <c r="AB22" s="104"/>
      <c r="AC22" s="112"/>
    </row>
    <row r="23" spans="1:29" s="79" customFormat="1" ht="14.25" x14ac:dyDescent="0.2">
      <c r="A23" s="194" t="s">
        <v>25</v>
      </c>
      <c r="B23" s="195" t="s">
        <v>402</v>
      </c>
      <c r="C23" s="196"/>
      <c r="D23" s="195"/>
      <c r="E23" s="197"/>
      <c r="F23" s="197"/>
      <c r="G23" s="198">
        <f>G24</f>
        <v>50150</v>
      </c>
      <c r="H23" s="198">
        <f t="shared" ref="H23:J23" si="3">H24</f>
        <v>7638.8810000000012</v>
      </c>
      <c r="I23" s="198">
        <f t="shared" si="3"/>
        <v>2684.6320000000001</v>
      </c>
      <c r="J23" s="198">
        <f t="shared" si="3"/>
        <v>2684.6320000000001</v>
      </c>
      <c r="K23" s="199">
        <f>I23/H23*100</f>
        <v>35.144309749032608</v>
      </c>
      <c r="L23" s="200"/>
      <c r="M23" s="149"/>
      <c r="N23" s="149"/>
      <c r="O23" s="118"/>
      <c r="Q23" s="146"/>
      <c r="S23" s="114"/>
      <c r="U23" s="103"/>
      <c r="V23" s="103"/>
      <c r="W23" s="103"/>
      <c r="X23" s="103"/>
      <c r="Y23" s="103"/>
      <c r="Z23" s="103"/>
      <c r="AA23" s="104"/>
      <c r="AB23" s="104"/>
      <c r="AC23" s="103"/>
    </row>
    <row r="24" spans="1:29" s="84" customFormat="1" ht="15" x14ac:dyDescent="0.2">
      <c r="A24" s="201"/>
      <c r="B24" s="203" t="s">
        <v>558</v>
      </c>
      <c r="C24" s="202"/>
      <c r="D24" s="203"/>
      <c r="E24" s="204"/>
      <c r="F24" s="205"/>
      <c r="G24" s="206">
        <f>SUM(G25:G33)</f>
        <v>50150</v>
      </c>
      <c r="H24" s="206">
        <f>SUM(H25:H33)</f>
        <v>7638.8810000000012</v>
      </c>
      <c r="I24" s="217">
        <f>SUM(I25:I33)</f>
        <v>2684.6320000000001</v>
      </c>
      <c r="J24" s="217">
        <f>SUM(J25:J33)</f>
        <v>2684.6320000000001</v>
      </c>
      <c r="K24" s="215"/>
      <c r="L24" s="207"/>
      <c r="M24" s="132"/>
      <c r="N24" s="132"/>
      <c r="O24" s="119"/>
      <c r="Q24" s="150"/>
      <c r="S24" s="151"/>
      <c r="U24" s="112"/>
      <c r="V24" s="112"/>
      <c r="W24" s="112"/>
      <c r="X24" s="112"/>
      <c r="Y24" s="112"/>
      <c r="Z24" s="112"/>
      <c r="AA24" s="104"/>
      <c r="AB24" s="104"/>
      <c r="AC24" s="112"/>
    </row>
    <row r="25" spans="1:29" s="79" customFormat="1" ht="30" x14ac:dyDescent="0.2">
      <c r="A25" s="208">
        <v>1</v>
      </c>
      <c r="B25" s="209" t="s">
        <v>168</v>
      </c>
      <c r="C25" s="218" t="s">
        <v>144</v>
      </c>
      <c r="D25" s="184"/>
      <c r="E25" s="219" t="s">
        <v>179</v>
      </c>
      <c r="F25" s="212" t="s">
        <v>184</v>
      </c>
      <c r="G25" s="220">
        <v>20000</v>
      </c>
      <c r="H25" s="221">
        <v>1394.0879999999997</v>
      </c>
      <c r="I25" s="222">
        <f>J25</f>
        <v>1394.088</v>
      </c>
      <c r="J25" s="635">
        <v>1394.088</v>
      </c>
      <c r="K25" s="185"/>
      <c r="L25" s="223"/>
      <c r="M25" s="83"/>
      <c r="N25" s="83"/>
      <c r="O25" s="118" t="s">
        <v>123</v>
      </c>
      <c r="P25" s="133" t="s">
        <v>268</v>
      </c>
      <c r="Q25" s="146"/>
      <c r="S25" s="114"/>
      <c r="U25" s="103"/>
      <c r="V25" s="103"/>
      <c r="W25" s="103"/>
      <c r="X25" s="103"/>
      <c r="Y25" s="103"/>
      <c r="Z25" s="103"/>
      <c r="AA25" s="104">
        <f t="shared" ref="AA25:AA33" si="4">H25-I25</f>
        <v>0</v>
      </c>
      <c r="AB25" s="104" t="e">
        <f>#REF!-J25</f>
        <v>#REF!</v>
      </c>
      <c r="AC25" s="103"/>
    </row>
    <row r="26" spans="1:29" s="79" customFormat="1" ht="30" x14ac:dyDescent="0.2">
      <c r="A26" s="208">
        <v>2</v>
      </c>
      <c r="B26" s="209" t="s">
        <v>178</v>
      </c>
      <c r="C26" s="218" t="s">
        <v>139</v>
      </c>
      <c r="D26" s="184"/>
      <c r="E26" s="219" t="s">
        <v>179</v>
      </c>
      <c r="F26" s="212" t="s">
        <v>194</v>
      </c>
      <c r="G26" s="220">
        <v>1500</v>
      </c>
      <c r="H26" s="224">
        <v>63.966999999999985</v>
      </c>
      <c r="I26" s="222">
        <f t="shared" ref="I26:I33" si="5">J26</f>
        <v>0</v>
      </c>
      <c r="J26" s="225"/>
      <c r="K26" s="185"/>
      <c r="L26" s="223"/>
      <c r="M26" s="83"/>
      <c r="N26" s="83"/>
      <c r="O26" s="118" t="s">
        <v>123</v>
      </c>
      <c r="P26" s="133" t="s">
        <v>268</v>
      </c>
      <c r="Q26" s="146"/>
      <c r="S26" s="114"/>
      <c r="U26" s="103"/>
      <c r="V26" s="103"/>
      <c r="W26" s="103"/>
      <c r="X26" s="103"/>
      <c r="Y26" s="103"/>
      <c r="Z26" s="103"/>
      <c r="AA26" s="104">
        <f t="shared" si="4"/>
        <v>63.966999999999985</v>
      </c>
      <c r="AB26" s="104" t="e">
        <f>#REF!-J26</f>
        <v>#REF!</v>
      </c>
      <c r="AC26" s="103"/>
    </row>
    <row r="27" spans="1:29" s="79" customFormat="1" ht="30" x14ac:dyDescent="0.2">
      <c r="A27" s="208">
        <v>3</v>
      </c>
      <c r="B27" s="226" t="s">
        <v>281</v>
      </c>
      <c r="C27" s="212" t="s">
        <v>143</v>
      </c>
      <c r="D27" s="212" t="s">
        <v>295</v>
      </c>
      <c r="E27" s="219" t="s">
        <v>179</v>
      </c>
      <c r="F27" s="212" t="s">
        <v>306</v>
      </c>
      <c r="G27" s="220">
        <v>6000</v>
      </c>
      <c r="H27" s="224">
        <v>518.29199999999992</v>
      </c>
      <c r="I27" s="222">
        <f t="shared" si="5"/>
        <v>0</v>
      </c>
      <c r="J27" s="225"/>
      <c r="K27" s="185"/>
      <c r="L27" s="223"/>
      <c r="M27" s="83"/>
      <c r="N27" s="83"/>
      <c r="O27" s="118" t="s">
        <v>123</v>
      </c>
      <c r="P27" s="133" t="s">
        <v>268</v>
      </c>
      <c r="Q27" s="153" t="s">
        <v>318</v>
      </c>
      <c r="S27" s="114"/>
      <c r="U27" s="103"/>
      <c r="V27" s="103"/>
      <c r="W27" s="103"/>
      <c r="X27" s="103"/>
      <c r="Y27" s="103"/>
      <c r="Z27" s="103"/>
      <c r="AA27" s="104">
        <f t="shared" si="4"/>
        <v>518.29199999999992</v>
      </c>
      <c r="AB27" s="104" t="e">
        <f>#REF!-J27</f>
        <v>#REF!</v>
      </c>
      <c r="AC27" s="103"/>
    </row>
    <row r="28" spans="1:29" s="79" customFormat="1" ht="30" x14ac:dyDescent="0.2">
      <c r="A28" s="208">
        <v>4</v>
      </c>
      <c r="B28" s="226" t="s">
        <v>282</v>
      </c>
      <c r="C28" s="212" t="s">
        <v>143</v>
      </c>
      <c r="D28" s="227" t="s">
        <v>296</v>
      </c>
      <c r="E28" s="219" t="s">
        <v>179</v>
      </c>
      <c r="F28" s="212" t="s">
        <v>307</v>
      </c>
      <c r="G28" s="220">
        <v>4000</v>
      </c>
      <c r="H28" s="224">
        <v>413.404</v>
      </c>
      <c r="I28" s="222"/>
      <c r="J28" s="225"/>
      <c r="K28" s="185"/>
      <c r="L28" s="223"/>
      <c r="M28" s="83"/>
      <c r="N28" s="83"/>
      <c r="O28" s="118" t="s">
        <v>123</v>
      </c>
      <c r="P28" s="133" t="s">
        <v>268</v>
      </c>
      <c r="Q28" s="153" t="s">
        <v>318</v>
      </c>
      <c r="S28" s="114"/>
      <c r="U28" s="103"/>
      <c r="V28" s="103"/>
      <c r="W28" s="103"/>
      <c r="X28" s="103"/>
      <c r="Y28" s="103"/>
      <c r="Z28" s="103"/>
      <c r="AA28" s="104">
        <f t="shared" si="4"/>
        <v>413.404</v>
      </c>
      <c r="AB28" s="104" t="e">
        <f>#REF!-J28</f>
        <v>#REF!</v>
      </c>
      <c r="AC28" s="103"/>
    </row>
    <row r="29" spans="1:29" s="79" customFormat="1" ht="30" x14ac:dyDescent="0.2">
      <c r="A29" s="208">
        <v>5</v>
      </c>
      <c r="B29" s="228" t="s">
        <v>286</v>
      </c>
      <c r="C29" s="212" t="s">
        <v>147</v>
      </c>
      <c r="D29" s="212" t="s">
        <v>300</v>
      </c>
      <c r="E29" s="219" t="s">
        <v>179</v>
      </c>
      <c r="F29" s="229" t="s">
        <v>311</v>
      </c>
      <c r="G29" s="220">
        <v>3150</v>
      </c>
      <c r="H29" s="224">
        <v>1800</v>
      </c>
      <c r="I29" s="222">
        <f t="shared" si="5"/>
        <v>0</v>
      </c>
      <c r="J29" s="230"/>
      <c r="K29" s="185"/>
      <c r="L29" s="223"/>
      <c r="M29" s="83"/>
      <c r="N29" s="83"/>
      <c r="O29" s="118" t="s">
        <v>123</v>
      </c>
      <c r="P29" s="152" t="s">
        <v>274</v>
      </c>
      <c r="Q29" s="146"/>
      <c r="S29" s="114"/>
      <c r="U29" s="103"/>
      <c r="V29" s="103"/>
      <c r="W29" s="103"/>
      <c r="X29" s="103"/>
      <c r="Y29" s="103"/>
      <c r="Z29" s="103"/>
      <c r="AA29" s="104">
        <f t="shared" si="4"/>
        <v>1800</v>
      </c>
      <c r="AB29" s="104" t="e">
        <f>#REF!-J29</f>
        <v>#REF!</v>
      </c>
      <c r="AC29" s="103"/>
    </row>
    <row r="30" spans="1:29" s="79" customFormat="1" ht="30" x14ac:dyDescent="0.2">
      <c r="A30" s="208">
        <v>6</v>
      </c>
      <c r="B30" s="226" t="s">
        <v>288</v>
      </c>
      <c r="C30" s="212" t="s">
        <v>139</v>
      </c>
      <c r="D30" s="227" t="s">
        <v>302</v>
      </c>
      <c r="E30" s="219" t="s">
        <v>179</v>
      </c>
      <c r="F30" s="212" t="s">
        <v>313</v>
      </c>
      <c r="G30" s="220">
        <v>4000</v>
      </c>
      <c r="H30" s="224">
        <v>5.5109999999999673</v>
      </c>
      <c r="I30" s="222">
        <f t="shared" si="5"/>
        <v>0</v>
      </c>
      <c r="J30" s="230"/>
      <c r="K30" s="185"/>
      <c r="L30" s="223"/>
      <c r="M30" s="83"/>
      <c r="N30" s="83"/>
      <c r="O30" s="118" t="s">
        <v>123</v>
      </c>
      <c r="P30" s="152" t="s">
        <v>278</v>
      </c>
      <c r="Q30" s="146"/>
      <c r="S30" s="114"/>
      <c r="U30" s="103"/>
      <c r="V30" s="103"/>
      <c r="W30" s="103"/>
      <c r="X30" s="103"/>
      <c r="Y30" s="103"/>
      <c r="Z30" s="103"/>
      <c r="AA30" s="104">
        <f t="shared" si="4"/>
        <v>5.5109999999999673</v>
      </c>
      <c r="AB30" s="104" t="e">
        <f>#REF!-J30</f>
        <v>#REF!</v>
      </c>
      <c r="AC30" s="103"/>
    </row>
    <row r="31" spans="1:29" s="79" customFormat="1" ht="30" x14ac:dyDescent="0.2">
      <c r="A31" s="208">
        <v>7</v>
      </c>
      <c r="B31" s="226" t="s">
        <v>289</v>
      </c>
      <c r="C31" s="212" t="s">
        <v>139</v>
      </c>
      <c r="D31" s="227" t="s">
        <v>303</v>
      </c>
      <c r="E31" s="219" t="s">
        <v>179</v>
      </c>
      <c r="F31" s="212" t="s">
        <v>314</v>
      </c>
      <c r="G31" s="220">
        <v>5000</v>
      </c>
      <c r="H31" s="224">
        <v>1550.492</v>
      </c>
      <c r="I31" s="222">
        <f t="shared" si="5"/>
        <v>1290.5440000000001</v>
      </c>
      <c r="J31" s="230">
        <v>1290.5440000000001</v>
      </c>
      <c r="K31" s="185"/>
      <c r="L31" s="223"/>
      <c r="M31" s="83"/>
      <c r="N31" s="83"/>
      <c r="O31" s="118" t="s">
        <v>123</v>
      </c>
      <c r="P31" s="152" t="s">
        <v>278</v>
      </c>
      <c r="Q31" s="146"/>
      <c r="S31" s="114"/>
      <c r="U31" s="103"/>
      <c r="V31" s="103"/>
      <c r="W31" s="103"/>
      <c r="X31" s="103"/>
      <c r="Y31" s="103"/>
      <c r="Z31" s="103"/>
      <c r="AA31" s="104">
        <f t="shared" si="4"/>
        <v>259.94799999999987</v>
      </c>
      <c r="AB31" s="104" t="e">
        <f>#REF!-J31</f>
        <v>#REF!</v>
      </c>
      <c r="AC31" s="103"/>
    </row>
    <row r="32" spans="1:29" s="79" customFormat="1" ht="30" x14ac:dyDescent="0.2">
      <c r="A32" s="208">
        <v>8</v>
      </c>
      <c r="B32" s="226" t="s">
        <v>290</v>
      </c>
      <c r="C32" s="212" t="s">
        <v>143</v>
      </c>
      <c r="D32" s="227" t="s">
        <v>304</v>
      </c>
      <c r="E32" s="219" t="s">
        <v>179</v>
      </c>
      <c r="F32" s="212" t="s">
        <v>315</v>
      </c>
      <c r="G32" s="220">
        <v>4500</v>
      </c>
      <c r="H32" s="224">
        <v>1093.127</v>
      </c>
      <c r="I32" s="222">
        <f t="shared" si="5"/>
        <v>0</v>
      </c>
      <c r="J32" s="230"/>
      <c r="K32" s="185"/>
      <c r="L32" s="223"/>
      <c r="M32" s="83"/>
      <c r="N32" s="83"/>
      <c r="O32" s="118" t="s">
        <v>123</v>
      </c>
      <c r="P32" s="152" t="s">
        <v>273</v>
      </c>
      <c r="Q32" s="146"/>
      <c r="S32" s="114"/>
      <c r="U32" s="103"/>
      <c r="V32" s="103"/>
      <c r="W32" s="103"/>
      <c r="X32" s="103"/>
      <c r="Y32" s="103"/>
      <c r="Z32" s="103"/>
      <c r="AA32" s="104">
        <f t="shared" si="4"/>
        <v>1093.127</v>
      </c>
      <c r="AB32" s="104" t="e">
        <f>#REF!-J32</f>
        <v>#REF!</v>
      </c>
      <c r="AC32" s="103"/>
    </row>
    <row r="33" spans="1:29" s="79" customFormat="1" ht="30" x14ac:dyDescent="0.2">
      <c r="A33" s="208">
        <v>9</v>
      </c>
      <c r="B33" s="226" t="s">
        <v>291</v>
      </c>
      <c r="C33" s="212" t="s">
        <v>143</v>
      </c>
      <c r="D33" s="227" t="s">
        <v>305</v>
      </c>
      <c r="E33" s="219" t="s">
        <v>179</v>
      </c>
      <c r="F33" s="212" t="s">
        <v>316</v>
      </c>
      <c r="G33" s="220">
        <v>2000</v>
      </c>
      <c r="H33" s="224">
        <v>800</v>
      </c>
      <c r="I33" s="222">
        <f t="shared" si="5"/>
        <v>0</v>
      </c>
      <c r="J33" s="230"/>
      <c r="K33" s="185"/>
      <c r="L33" s="223"/>
      <c r="M33" s="83"/>
      <c r="N33" s="83"/>
      <c r="O33" s="118" t="s">
        <v>123</v>
      </c>
      <c r="P33" s="152" t="s">
        <v>273</v>
      </c>
      <c r="Q33" s="146"/>
      <c r="S33" s="114"/>
      <c r="U33" s="103"/>
      <c r="V33" s="103"/>
      <c r="W33" s="103"/>
      <c r="X33" s="103"/>
      <c r="Y33" s="103"/>
      <c r="Z33" s="103"/>
      <c r="AA33" s="104">
        <f t="shared" si="4"/>
        <v>800</v>
      </c>
      <c r="AB33" s="104" t="e">
        <f>#REF!-J33</f>
        <v>#REF!</v>
      </c>
      <c r="AC33" s="103"/>
    </row>
    <row r="34" spans="1:29" s="79" customFormat="1" ht="28.5" x14ac:dyDescent="0.2">
      <c r="A34" s="194" t="s">
        <v>559</v>
      </c>
      <c r="B34" s="195" t="s">
        <v>195</v>
      </c>
      <c r="C34" s="196"/>
      <c r="D34" s="195"/>
      <c r="E34" s="197"/>
      <c r="F34" s="197"/>
      <c r="G34" s="198">
        <f>G35+G37+G45+G48+G61</f>
        <v>32752</v>
      </c>
      <c r="H34" s="198">
        <f t="shared" ref="H34:J34" si="6">H35+H37+H45+H48+H61</f>
        <v>8836.2260000000006</v>
      </c>
      <c r="I34" s="198">
        <f t="shared" si="6"/>
        <v>659.76</v>
      </c>
      <c r="J34" s="198">
        <f t="shared" si="6"/>
        <v>659.76</v>
      </c>
      <c r="K34" s="199">
        <f>I34/H34*100</f>
        <v>7.4665360528352247</v>
      </c>
      <c r="L34" s="200"/>
      <c r="M34" s="149"/>
      <c r="N34" s="149"/>
      <c r="O34" s="118"/>
      <c r="Q34" s="146"/>
      <c r="S34" s="114"/>
      <c r="U34" s="103"/>
      <c r="V34" s="103"/>
      <c r="W34" s="103"/>
      <c r="X34" s="103"/>
      <c r="Y34" s="103"/>
      <c r="Z34" s="103"/>
      <c r="AA34" s="104"/>
      <c r="AB34" s="104"/>
      <c r="AC34" s="103"/>
    </row>
    <row r="35" spans="1:29" s="79" customFormat="1" ht="30" x14ac:dyDescent="0.2">
      <c r="A35" s="231"/>
      <c r="B35" s="232" t="s">
        <v>206</v>
      </c>
      <c r="C35" s="233"/>
      <c r="D35" s="234"/>
      <c r="E35" s="235"/>
      <c r="F35" s="235"/>
      <c r="G35" s="236"/>
      <c r="H35" s="236">
        <f>H36</f>
        <v>1813</v>
      </c>
      <c r="I35" s="236">
        <f t="shared" ref="I35:J35" si="7">I36</f>
        <v>0</v>
      </c>
      <c r="J35" s="236">
        <f t="shared" si="7"/>
        <v>0</v>
      </c>
      <c r="K35" s="237"/>
      <c r="L35" s="238"/>
      <c r="M35" s="83"/>
      <c r="N35" s="83"/>
      <c r="O35" s="118"/>
      <c r="Q35" s="146"/>
      <c r="S35" s="114"/>
      <c r="U35" s="103"/>
      <c r="V35" s="103"/>
      <c r="W35" s="103"/>
      <c r="X35" s="103"/>
      <c r="Y35" s="103"/>
      <c r="Z35" s="103"/>
      <c r="AA35" s="104">
        <f>H35-I35</f>
        <v>1813</v>
      </c>
      <c r="AB35" s="104" t="e">
        <f>#REF!-J35</f>
        <v>#REF!</v>
      </c>
      <c r="AC35" s="103"/>
    </row>
    <row r="36" spans="1:29" s="79" customFormat="1" ht="30" x14ac:dyDescent="0.2">
      <c r="A36" s="183">
        <v>1</v>
      </c>
      <c r="B36" s="239" t="s">
        <v>207</v>
      </c>
      <c r="C36" s="218"/>
      <c r="D36" s="184"/>
      <c r="E36" s="219"/>
      <c r="F36" s="240"/>
      <c r="G36" s="224"/>
      <c r="H36" s="224">
        <v>1813</v>
      </c>
      <c r="I36" s="225">
        <f t="shared" ref="I36" si="8">J36</f>
        <v>0</v>
      </c>
      <c r="J36" s="185"/>
      <c r="K36" s="185"/>
      <c r="L36" s="223"/>
      <c r="M36" s="83"/>
      <c r="N36" s="83"/>
      <c r="O36" s="118" t="s">
        <v>123</v>
      </c>
      <c r="P36" s="152" t="s">
        <v>536</v>
      </c>
      <c r="Q36" s="146" t="e">
        <f>H36+#REF!</f>
        <v>#REF!</v>
      </c>
      <c r="S36" s="114"/>
      <c r="U36" s="103"/>
      <c r="V36" s="103"/>
      <c r="W36" s="103"/>
      <c r="X36" s="103"/>
      <c r="Y36" s="103"/>
      <c r="Z36" s="103"/>
      <c r="AA36" s="104">
        <f>H36-I36</f>
        <v>1813</v>
      </c>
      <c r="AB36" s="104" t="e">
        <f>#REF!-J36</f>
        <v>#REF!</v>
      </c>
      <c r="AC36" s="103"/>
    </row>
    <row r="37" spans="1:29" s="79" customFormat="1" ht="30" x14ac:dyDescent="0.2">
      <c r="A37" s="231"/>
      <c r="B37" s="232" t="s">
        <v>208</v>
      </c>
      <c r="C37" s="233"/>
      <c r="D37" s="234"/>
      <c r="E37" s="235"/>
      <c r="F37" s="235"/>
      <c r="G37" s="241">
        <f>G38</f>
        <v>22300</v>
      </c>
      <c r="H37" s="241">
        <f t="shared" ref="H37:J37" si="9">H38</f>
        <v>4737.4229999999998</v>
      </c>
      <c r="I37" s="241">
        <f t="shared" si="9"/>
        <v>659.76</v>
      </c>
      <c r="J37" s="241">
        <f t="shared" si="9"/>
        <v>659.76</v>
      </c>
      <c r="K37" s="237">
        <f>I37/H37*100</f>
        <v>13.926558806338383</v>
      </c>
      <c r="L37" s="238"/>
      <c r="M37" s="83"/>
      <c r="N37" s="83"/>
      <c r="O37" s="118"/>
      <c r="Q37" s="146"/>
      <c r="S37" s="114"/>
      <c r="AA37" s="77"/>
      <c r="AB37" s="77"/>
    </row>
    <row r="38" spans="1:29" s="79" customFormat="1" ht="15" x14ac:dyDescent="0.2">
      <c r="A38" s="183"/>
      <c r="B38" s="203" t="s">
        <v>558</v>
      </c>
      <c r="C38" s="218"/>
      <c r="D38" s="184"/>
      <c r="E38" s="219"/>
      <c r="F38" s="240"/>
      <c r="G38" s="206">
        <f>SUM(G39:G44)</f>
        <v>22300</v>
      </c>
      <c r="H38" s="206">
        <f>SUM(H39:H44)</f>
        <v>4737.4229999999998</v>
      </c>
      <c r="I38" s="206">
        <f>SUM(I39:I44)</f>
        <v>659.76</v>
      </c>
      <c r="J38" s="206">
        <f>SUM(J39:J44)</f>
        <v>659.76</v>
      </c>
      <c r="K38" s="185"/>
      <c r="L38" s="223"/>
      <c r="M38" s="83"/>
      <c r="N38" s="83"/>
      <c r="O38" s="118"/>
      <c r="Q38" s="146"/>
      <c r="S38" s="114"/>
      <c r="AA38" s="77"/>
      <c r="AB38" s="77"/>
    </row>
    <row r="39" spans="1:29" s="79" customFormat="1" ht="30" x14ac:dyDescent="0.2">
      <c r="A39" s="183">
        <v>1</v>
      </c>
      <c r="B39" s="242" t="s">
        <v>210</v>
      </c>
      <c r="C39" s="218" t="s">
        <v>148</v>
      </c>
      <c r="D39" s="184"/>
      <c r="E39" s="219" t="s">
        <v>179</v>
      </c>
      <c r="F39" s="243" t="s">
        <v>218</v>
      </c>
      <c r="G39" s="224">
        <v>5100</v>
      </c>
      <c r="H39" s="224">
        <v>1034.3679999999999</v>
      </c>
      <c r="I39" s="225">
        <f t="shared" ref="I39:I44" si="10">J39</f>
        <v>0</v>
      </c>
      <c r="J39" s="244"/>
      <c r="K39" s="185"/>
      <c r="L39" s="223"/>
      <c r="M39" s="83"/>
      <c r="N39" s="83"/>
      <c r="O39" s="118" t="s">
        <v>123</v>
      </c>
      <c r="P39" s="133" t="s">
        <v>268</v>
      </c>
      <c r="Q39" s="146"/>
      <c r="S39" s="114"/>
      <c r="U39" s="103"/>
      <c r="V39" s="103"/>
      <c r="W39" s="103"/>
      <c r="X39" s="103"/>
      <c r="Y39" s="103"/>
      <c r="Z39" s="103"/>
      <c r="AA39" s="104">
        <f t="shared" ref="AA39:AA44" si="11">H39-I39</f>
        <v>1034.3679999999999</v>
      </c>
      <c r="AB39" s="104" t="e">
        <f>#REF!-J39</f>
        <v>#REF!</v>
      </c>
      <c r="AC39" s="103"/>
    </row>
    <row r="40" spans="1:29" s="79" customFormat="1" ht="30" x14ac:dyDescent="0.2">
      <c r="A40" s="183">
        <v>2</v>
      </c>
      <c r="B40" s="242" t="s">
        <v>211</v>
      </c>
      <c r="C40" s="218" t="s">
        <v>141</v>
      </c>
      <c r="D40" s="184"/>
      <c r="E40" s="219" t="s">
        <v>179</v>
      </c>
      <c r="F40" s="243" t="s">
        <v>219</v>
      </c>
      <c r="G40" s="224">
        <v>5800</v>
      </c>
      <c r="H40" s="224">
        <v>764.54599999999982</v>
      </c>
      <c r="I40" s="225">
        <f t="shared" si="10"/>
        <v>0</v>
      </c>
      <c r="J40" s="225"/>
      <c r="K40" s="185"/>
      <c r="L40" s="223"/>
      <c r="M40" s="83"/>
      <c r="N40" s="83"/>
      <c r="O40" s="118" t="s">
        <v>123</v>
      </c>
      <c r="P40" s="133" t="s">
        <v>268</v>
      </c>
      <c r="Q40" s="146"/>
      <c r="S40" s="114"/>
      <c r="U40" s="103"/>
      <c r="V40" s="103"/>
      <c r="W40" s="103"/>
      <c r="X40" s="103"/>
      <c r="Y40" s="103"/>
      <c r="Z40" s="103"/>
      <c r="AA40" s="104">
        <f t="shared" si="11"/>
        <v>764.54599999999982</v>
      </c>
      <c r="AB40" s="104" t="e">
        <f>#REF!-J40</f>
        <v>#REF!</v>
      </c>
      <c r="AC40" s="103"/>
    </row>
    <row r="41" spans="1:29" s="79" customFormat="1" ht="30" x14ac:dyDescent="0.2">
      <c r="A41" s="183">
        <v>3</v>
      </c>
      <c r="B41" s="242" t="s">
        <v>320</v>
      </c>
      <c r="C41" s="243" t="s">
        <v>659</v>
      </c>
      <c r="D41" s="245" t="s">
        <v>332</v>
      </c>
      <c r="E41" s="243" t="s">
        <v>341</v>
      </c>
      <c r="F41" s="243" t="s">
        <v>343</v>
      </c>
      <c r="G41" s="246">
        <v>2000</v>
      </c>
      <c r="H41" s="224">
        <v>135.02999999999997</v>
      </c>
      <c r="I41" s="225">
        <f t="shared" si="10"/>
        <v>0</v>
      </c>
      <c r="J41" s="230"/>
      <c r="K41" s="185"/>
      <c r="L41" s="223"/>
      <c r="M41" s="83"/>
      <c r="N41" s="83"/>
      <c r="O41" s="118" t="s">
        <v>123</v>
      </c>
      <c r="P41" s="152" t="s">
        <v>275</v>
      </c>
      <c r="Q41" s="146"/>
      <c r="S41" s="114"/>
      <c r="U41" s="103"/>
      <c r="V41" s="103"/>
      <c r="W41" s="103"/>
      <c r="X41" s="103"/>
      <c r="Y41" s="103"/>
      <c r="Z41" s="103"/>
      <c r="AA41" s="104">
        <f t="shared" si="11"/>
        <v>135.02999999999997</v>
      </c>
      <c r="AB41" s="104" t="e">
        <f>#REF!-J41</f>
        <v>#REF!</v>
      </c>
      <c r="AC41" s="103"/>
    </row>
    <row r="42" spans="1:29" s="79" customFormat="1" ht="30" x14ac:dyDescent="0.2">
      <c r="A42" s="183">
        <v>4</v>
      </c>
      <c r="B42" s="242" t="s">
        <v>322</v>
      </c>
      <c r="C42" s="243" t="s">
        <v>148</v>
      </c>
      <c r="D42" s="245" t="s">
        <v>334</v>
      </c>
      <c r="E42" s="243" t="s">
        <v>317</v>
      </c>
      <c r="F42" s="243" t="s">
        <v>345</v>
      </c>
      <c r="G42" s="246">
        <v>4300</v>
      </c>
      <c r="H42" s="224">
        <v>1800</v>
      </c>
      <c r="I42" s="225">
        <f t="shared" si="10"/>
        <v>0</v>
      </c>
      <c r="J42" s="230"/>
      <c r="K42" s="185"/>
      <c r="L42" s="223"/>
      <c r="M42" s="83"/>
      <c r="N42" s="83"/>
      <c r="O42" s="118" t="s">
        <v>123</v>
      </c>
      <c r="P42" s="152" t="s">
        <v>272</v>
      </c>
      <c r="Q42" s="146"/>
      <c r="S42" s="114"/>
      <c r="U42" s="103"/>
      <c r="V42" s="103"/>
      <c r="W42" s="103"/>
      <c r="X42" s="103"/>
      <c r="Y42" s="103"/>
      <c r="Z42" s="103"/>
      <c r="AA42" s="104">
        <f t="shared" si="11"/>
        <v>1800</v>
      </c>
      <c r="AB42" s="104" t="e">
        <f>#REF!-J42</f>
        <v>#REF!</v>
      </c>
      <c r="AC42" s="103"/>
    </row>
    <row r="43" spans="1:29" s="79" customFormat="1" ht="30" x14ac:dyDescent="0.2">
      <c r="A43" s="183">
        <v>5</v>
      </c>
      <c r="B43" s="242" t="s">
        <v>324</v>
      </c>
      <c r="C43" s="243" t="s">
        <v>166</v>
      </c>
      <c r="D43" s="245" t="s">
        <v>337</v>
      </c>
      <c r="E43" s="243" t="s">
        <v>317</v>
      </c>
      <c r="F43" s="243" t="s">
        <v>348</v>
      </c>
      <c r="G43" s="246">
        <v>3600</v>
      </c>
      <c r="H43" s="224">
        <v>343.71900000000005</v>
      </c>
      <c r="I43" s="225">
        <f t="shared" si="10"/>
        <v>0</v>
      </c>
      <c r="J43" s="230"/>
      <c r="K43" s="185"/>
      <c r="L43" s="223"/>
      <c r="M43" s="83"/>
      <c r="N43" s="83"/>
      <c r="O43" s="118" t="s">
        <v>123</v>
      </c>
      <c r="P43" s="152" t="s">
        <v>352</v>
      </c>
      <c r="Q43" s="146"/>
      <c r="S43" s="114"/>
      <c r="U43" s="103"/>
      <c r="V43" s="103"/>
      <c r="W43" s="103"/>
      <c r="X43" s="103"/>
      <c r="Y43" s="103"/>
      <c r="Z43" s="103"/>
      <c r="AA43" s="104">
        <f t="shared" si="11"/>
        <v>343.71900000000005</v>
      </c>
      <c r="AB43" s="104" t="e">
        <f>#REF!-J43</f>
        <v>#REF!</v>
      </c>
      <c r="AC43" s="103"/>
    </row>
    <row r="44" spans="1:29" s="79" customFormat="1" ht="30" x14ac:dyDescent="0.2">
      <c r="A44" s="183">
        <v>6</v>
      </c>
      <c r="B44" s="242" t="s">
        <v>327</v>
      </c>
      <c r="C44" s="243" t="s">
        <v>330</v>
      </c>
      <c r="D44" s="245" t="s">
        <v>340</v>
      </c>
      <c r="E44" s="243" t="s">
        <v>317</v>
      </c>
      <c r="F44" s="243" t="s">
        <v>351</v>
      </c>
      <c r="G44" s="246">
        <v>1500</v>
      </c>
      <c r="H44" s="224">
        <v>659.76</v>
      </c>
      <c r="I44" s="225">
        <f t="shared" si="10"/>
        <v>659.76</v>
      </c>
      <c r="J44" s="225">
        <v>659.76</v>
      </c>
      <c r="K44" s="185"/>
      <c r="L44" s="223"/>
      <c r="M44" s="83"/>
      <c r="N44" s="83"/>
      <c r="O44" s="118" t="s">
        <v>123</v>
      </c>
      <c r="P44" s="152" t="s">
        <v>353</v>
      </c>
      <c r="Q44" s="146"/>
      <c r="S44" s="114"/>
      <c r="U44" s="103"/>
      <c r="V44" s="103"/>
      <c r="W44" s="103"/>
      <c r="X44" s="103"/>
      <c r="Y44" s="103"/>
      <c r="Z44" s="103"/>
      <c r="AA44" s="104">
        <f t="shared" si="11"/>
        <v>0</v>
      </c>
      <c r="AB44" s="104" t="e">
        <f>#REF!-J44</f>
        <v>#REF!</v>
      </c>
      <c r="AC44" s="103"/>
    </row>
    <row r="45" spans="1:29" s="79" customFormat="1" ht="75" x14ac:dyDescent="0.2">
      <c r="A45" s="231"/>
      <c r="B45" s="232" t="s">
        <v>227</v>
      </c>
      <c r="C45" s="233"/>
      <c r="D45" s="234"/>
      <c r="E45" s="235"/>
      <c r="F45" s="235"/>
      <c r="G45" s="241">
        <f>G46</f>
        <v>3160</v>
      </c>
      <c r="H45" s="241">
        <f t="shared" ref="H45:J45" si="12">H46</f>
        <v>218.4849999999999</v>
      </c>
      <c r="I45" s="241">
        <f t="shared" si="12"/>
        <v>0</v>
      </c>
      <c r="J45" s="241">
        <f t="shared" si="12"/>
        <v>0</v>
      </c>
      <c r="K45" s="247"/>
      <c r="L45" s="238"/>
      <c r="M45" s="83"/>
      <c r="N45" s="83"/>
      <c r="O45" s="118"/>
      <c r="Q45" s="146"/>
      <c r="S45" s="114"/>
      <c r="U45" s="103"/>
      <c r="V45" s="103"/>
      <c r="W45" s="103"/>
      <c r="X45" s="103"/>
      <c r="Y45" s="103"/>
      <c r="Z45" s="103"/>
      <c r="AA45" s="104"/>
      <c r="AB45" s="104"/>
      <c r="AC45" s="103"/>
    </row>
    <row r="46" spans="1:29" s="79" customFormat="1" ht="15" x14ac:dyDescent="0.2">
      <c r="A46" s="183"/>
      <c r="B46" s="203" t="s">
        <v>558</v>
      </c>
      <c r="C46" s="218"/>
      <c r="D46" s="184"/>
      <c r="E46" s="219"/>
      <c r="F46" s="240"/>
      <c r="G46" s="206">
        <f>SUM(G47:G47)</f>
        <v>3160</v>
      </c>
      <c r="H46" s="206">
        <f>SUM(H47:H47)</f>
        <v>218.4849999999999</v>
      </c>
      <c r="I46" s="206">
        <f>SUM(I47:I47)</f>
        <v>0</v>
      </c>
      <c r="J46" s="206">
        <f>SUM(J47:J47)</f>
        <v>0</v>
      </c>
      <c r="K46" s="248"/>
      <c r="L46" s="223"/>
      <c r="M46" s="83"/>
      <c r="N46" s="83"/>
      <c r="O46" s="118"/>
      <c r="Q46" s="146"/>
      <c r="S46" s="114"/>
      <c r="U46" s="103"/>
      <c r="V46" s="103"/>
      <c r="W46" s="103"/>
      <c r="X46" s="103"/>
      <c r="Y46" s="103"/>
      <c r="Z46" s="103"/>
      <c r="AA46" s="104"/>
      <c r="AB46" s="104"/>
      <c r="AC46" s="103"/>
    </row>
    <row r="47" spans="1:29" s="79" customFormat="1" ht="30" x14ac:dyDescent="0.2">
      <c r="A47" s="183">
        <v>1</v>
      </c>
      <c r="B47" s="242" t="s">
        <v>229</v>
      </c>
      <c r="C47" s="218" t="s">
        <v>137</v>
      </c>
      <c r="D47" s="184"/>
      <c r="E47" s="219" t="s">
        <v>179</v>
      </c>
      <c r="F47" s="243" t="s">
        <v>231</v>
      </c>
      <c r="G47" s="224">
        <v>3160</v>
      </c>
      <c r="H47" s="224">
        <v>218.4849999999999</v>
      </c>
      <c r="I47" s="225">
        <f>J47</f>
        <v>0</v>
      </c>
      <c r="J47" s="225"/>
      <c r="K47" s="185"/>
      <c r="L47" s="223"/>
      <c r="M47" s="83"/>
      <c r="N47" s="83"/>
      <c r="O47" s="118" t="s">
        <v>123</v>
      </c>
      <c r="P47" s="133" t="s">
        <v>268</v>
      </c>
      <c r="Q47" s="146"/>
      <c r="S47" s="114"/>
      <c r="U47" s="103"/>
      <c r="V47" s="103"/>
      <c r="W47" s="103"/>
      <c r="X47" s="103"/>
      <c r="Y47" s="103"/>
      <c r="Z47" s="103"/>
      <c r="AA47" s="104">
        <f>H47-I47</f>
        <v>218.4849999999999</v>
      </c>
      <c r="AB47" s="104" t="e">
        <f>#REF!-J47</f>
        <v>#REF!</v>
      </c>
      <c r="AC47" s="103"/>
    </row>
    <row r="48" spans="1:29" s="84" customFormat="1" ht="45" x14ac:dyDescent="0.2">
      <c r="A48" s="249"/>
      <c r="B48" s="250" t="s">
        <v>232</v>
      </c>
      <c r="C48" s="251"/>
      <c r="D48" s="252"/>
      <c r="E48" s="253"/>
      <c r="F48" s="253"/>
      <c r="G48" s="254">
        <f>G49</f>
        <v>3190</v>
      </c>
      <c r="H48" s="254">
        <f t="shared" ref="H48:J48" si="13">H49</f>
        <v>1957.6</v>
      </c>
      <c r="I48" s="254">
        <f t="shared" si="13"/>
        <v>0</v>
      </c>
      <c r="J48" s="254">
        <f t="shared" si="13"/>
        <v>0</v>
      </c>
      <c r="K48" s="255"/>
      <c r="L48" s="256"/>
      <c r="M48" s="129"/>
      <c r="N48" s="129"/>
      <c r="O48" s="119"/>
      <c r="Q48" s="150"/>
      <c r="S48" s="151"/>
      <c r="U48" s="112"/>
      <c r="V48" s="112"/>
      <c r="W48" s="112"/>
      <c r="X48" s="112"/>
      <c r="Y48" s="112"/>
      <c r="Z48" s="112"/>
      <c r="AA48" s="104">
        <f>H48-I48</f>
        <v>1957.6</v>
      </c>
      <c r="AB48" s="104" t="e">
        <f>#REF!-J48</f>
        <v>#REF!</v>
      </c>
      <c r="AC48" s="112"/>
    </row>
    <row r="49" spans="1:29" s="84" customFormat="1" ht="15" x14ac:dyDescent="0.2">
      <c r="A49" s="257"/>
      <c r="B49" s="203" t="s">
        <v>558</v>
      </c>
      <c r="C49" s="258"/>
      <c r="D49" s="259"/>
      <c r="E49" s="260"/>
      <c r="F49" s="261"/>
      <c r="G49" s="206">
        <f>G50</f>
        <v>3190</v>
      </c>
      <c r="H49" s="206">
        <f t="shared" ref="H49:J49" si="14">H50</f>
        <v>1957.6</v>
      </c>
      <c r="I49" s="206">
        <f t="shared" si="14"/>
        <v>0</v>
      </c>
      <c r="J49" s="206">
        <f t="shared" si="14"/>
        <v>0</v>
      </c>
      <c r="K49" s="262"/>
      <c r="L49" s="263"/>
      <c r="M49" s="129"/>
      <c r="N49" s="129"/>
      <c r="O49" s="119"/>
      <c r="Q49" s="150"/>
      <c r="S49" s="151"/>
      <c r="U49" s="112"/>
      <c r="V49" s="112"/>
      <c r="W49" s="112"/>
      <c r="X49" s="112"/>
      <c r="Y49" s="112"/>
      <c r="Z49" s="112"/>
      <c r="AA49" s="104"/>
      <c r="AB49" s="104"/>
      <c r="AC49" s="112"/>
    </row>
    <row r="50" spans="1:29" s="79" customFormat="1" ht="30" x14ac:dyDescent="0.2">
      <c r="A50" s="264" t="s">
        <v>367</v>
      </c>
      <c r="B50" s="228" t="s">
        <v>233</v>
      </c>
      <c r="C50" s="218"/>
      <c r="D50" s="184"/>
      <c r="E50" s="219"/>
      <c r="F50" s="240"/>
      <c r="G50" s="224">
        <f>SUM(G51:G60)</f>
        <v>3190</v>
      </c>
      <c r="H50" s="224">
        <f>SUM(H51:H60)</f>
        <v>1957.6</v>
      </c>
      <c r="I50" s="224">
        <f>SUM(I51:I60)</f>
        <v>0</v>
      </c>
      <c r="J50" s="224">
        <f>SUM(J51:J60)</f>
        <v>0</v>
      </c>
      <c r="K50" s="185"/>
      <c r="L50" s="223"/>
      <c r="M50" s="83"/>
      <c r="N50" s="83"/>
      <c r="O50" s="118"/>
      <c r="Q50" s="146"/>
      <c r="S50" s="114"/>
      <c r="U50" s="103"/>
      <c r="V50" s="103"/>
      <c r="W50" s="103"/>
      <c r="X50" s="103"/>
      <c r="Y50" s="103"/>
      <c r="Z50" s="103"/>
      <c r="AA50" s="104">
        <f t="shared" ref="AA50:AA61" si="15">H50-I50</f>
        <v>1957.6</v>
      </c>
      <c r="AB50" s="104" t="e">
        <f>#REF!-J50</f>
        <v>#REF!</v>
      </c>
      <c r="AC50" s="103"/>
    </row>
    <row r="51" spans="1:29" s="79" customFormat="1" ht="30" x14ac:dyDescent="0.2">
      <c r="A51" s="183">
        <v>1</v>
      </c>
      <c r="B51" s="228" t="s">
        <v>357</v>
      </c>
      <c r="C51" s="265" t="s">
        <v>137</v>
      </c>
      <c r="D51" s="243" t="s">
        <v>372</v>
      </c>
      <c r="E51" s="219" t="s">
        <v>167</v>
      </c>
      <c r="F51" s="266" t="s">
        <v>377</v>
      </c>
      <c r="G51" s="224">
        <v>300</v>
      </c>
      <c r="H51" s="267">
        <v>200</v>
      </c>
      <c r="I51" s="225">
        <f t="shared" ref="I51:I60" si="16">J51</f>
        <v>0</v>
      </c>
      <c r="J51" s="185"/>
      <c r="K51" s="185"/>
      <c r="L51" s="223"/>
      <c r="M51" s="83"/>
      <c r="N51" s="83"/>
      <c r="O51" s="118" t="s">
        <v>123</v>
      </c>
      <c r="P51" s="152" t="s">
        <v>280</v>
      </c>
      <c r="Q51" s="146"/>
      <c r="S51" s="114"/>
      <c r="U51" s="103"/>
      <c r="V51" s="103"/>
      <c r="W51" s="103"/>
      <c r="X51" s="103"/>
      <c r="Y51" s="103"/>
      <c r="Z51" s="103"/>
      <c r="AA51" s="104">
        <f t="shared" si="15"/>
        <v>200</v>
      </c>
      <c r="AB51" s="104" t="e">
        <f>#REF!-J51</f>
        <v>#REF!</v>
      </c>
      <c r="AC51" s="103"/>
    </row>
    <row r="52" spans="1:29" s="79" customFormat="1" ht="30" x14ac:dyDescent="0.2">
      <c r="A52" s="183">
        <v>2</v>
      </c>
      <c r="B52" s="228" t="s">
        <v>358</v>
      </c>
      <c r="C52" s="265" t="s">
        <v>660</v>
      </c>
      <c r="D52" s="243" t="s">
        <v>372</v>
      </c>
      <c r="E52" s="219" t="s">
        <v>167</v>
      </c>
      <c r="F52" s="266" t="s">
        <v>378</v>
      </c>
      <c r="G52" s="224">
        <v>300</v>
      </c>
      <c r="H52" s="267">
        <v>200</v>
      </c>
      <c r="I52" s="225">
        <f t="shared" si="16"/>
        <v>0</v>
      </c>
      <c r="J52" s="185"/>
      <c r="K52" s="185"/>
      <c r="L52" s="223"/>
      <c r="M52" s="83"/>
      <c r="N52" s="83"/>
      <c r="O52" s="118" t="s">
        <v>123</v>
      </c>
      <c r="P52" s="152" t="s">
        <v>280</v>
      </c>
      <c r="Q52" s="146"/>
      <c r="S52" s="114"/>
      <c r="U52" s="103"/>
      <c r="V52" s="103"/>
      <c r="W52" s="103"/>
      <c r="X52" s="103"/>
      <c r="Y52" s="103"/>
      <c r="Z52" s="103"/>
      <c r="AA52" s="104">
        <f t="shared" si="15"/>
        <v>200</v>
      </c>
      <c r="AB52" s="104" t="e">
        <f>#REF!-J52</f>
        <v>#REF!</v>
      </c>
      <c r="AC52" s="103"/>
    </row>
    <row r="53" spans="1:29" s="79" customFormat="1" ht="30" x14ac:dyDescent="0.2">
      <c r="A53" s="183">
        <v>3</v>
      </c>
      <c r="B53" s="228" t="s">
        <v>359</v>
      </c>
      <c r="C53" s="219" t="s">
        <v>141</v>
      </c>
      <c r="D53" s="243" t="s">
        <v>372</v>
      </c>
      <c r="E53" s="219" t="s">
        <v>167</v>
      </c>
      <c r="F53" s="266" t="s">
        <v>379</v>
      </c>
      <c r="G53" s="224">
        <v>330</v>
      </c>
      <c r="H53" s="267">
        <v>250</v>
      </c>
      <c r="I53" s="225">
        <f t="shared" si="16"/>
        <v>0</v>
      </c>
      <c r="J53" s="185"/>
      <c r="K53" s="185"/>
      <c r="L53" s="223"/>
      <c r="M53" s="83"/>
      <c r="N53" s="83"/>
      <c r="O53" s="118" t="s">
        <v>123</v>
      </c>
      <c r="P53" s="152" t="s">
        <v>271</v>
      </c>
      <c r="Q53" s="146"/>
      <c r="S53" s="114"/>
      <c r="U53" s="103"/>
      <c r="V53" s="103"/>
      <c r="W53" s="103"/>
      <c r="X53" s="103"/>
      <c r="Y53" s="103"/>
      <c r="Z53" s="103"/>
      <c r="AA53" s="104">
        <f t="shared" si="15"/>
        <v>250</v>
      </c>
      <c r="AB53" s="104" t="e">
        <f>#REF!-J53</f>
        <v>#REF!</v>
      </c>
      <c r="AC53" s="103"/>
    </row>
    <row r="54" spans="1:29" s="79" customFormat="1" ht="30" x14ac:dyDescent="0.2">
      <c r="A54" s="183">
        <v>4</v>
      </c>
      <c r="B54" s="228" t="s">
        <v>360</v>
      </c>
      <c r="C54" s="219" t="s">
        <v>661</v>
      </c>
      <c r="D54" s="243" t="s">
        <v>372</v>
      </c>
      <c r="E54" s="219" t="s">
        <v>167</v>
      </c>
      <c r="F54" s="266" t="s">
        <v>380</v>
      </c>
      <c r="G54" s="224">
        <v>330</v>
      </c>
      <c r="H54" s="267">
        <v>250</v>
      </c>
      <c r="I54" s="225">
        <f t="shared" si="16"/>
        <v>0</v>
      </c>
      <c r="J54" s="185"/>
      <c r="K54" s="185"/>
      <c r="L54" s="223"/>
      <c r="M54" s="83"/>
      <c r="N54" s="83"/>
      <c r="O54" s="118" t="s">
        <v>123</v>
      </c>
      <c r="P54" s="152" t="s">
        <v>271</v>
      </c>
      <c r="Q54" s="146"/>
      <c r="S54" s="114"/>
      <c r="U54" s="103"/>
      <c r="V54" s="103"/>
      <c r="W54" s="103"/>
      <c r="X54" s="103"/>
      <c r="Y54" s="103"/>
      <c r="Z54" s="103"/>
      <c r="AA54" s="104">
        <f t="shared" si="15"/>
        <v>250</v>
      </c>
      <c r="AB54" s="104" t="e">
        <f>#REF!-J54</f>
        <v>#REF!</v>
      </c>
      <c r="AC54" s="103"/>
    </row>
    <row r="55" spans="1:29" s="79" customFormat="1" ht="30" x14ac:dyDescent="0.2">
      <c r="A55" s="183">
        <v>5</v>
      </c>
      <c r="B55" s="228" t="s">
        <v>361</v>
      </c>
      <c r="C55" s="219" t="s">
        <v>661</v>
      </c>
      <c r="D55" s="243" t="s">
        <v>372</v>
      </c>
      <c r="E55" s="219" t="s">
        <v>167</v>
      </c>
      <c r="F55" s="266" t="s">
        <v>381</v>
      </c>
      <c r="G55" s="224">
        <v>330</v>
      </c>
      <c r="H55" s="267">
        <v>200</v>
      </c>
      <c r="I55" s="225">
        <f t="shared" si="16"/>
        <v>0</v>
      </c>
      <c r="J55" s="185"/>
      <c r="K55" s="185"/>
      <c r="L55" s="223"/>
      <c r="M55" s="83"/>
      <c r="N55" s="83"/>
      <c r="O55" s="118" t="s">
        <v>123</v>
      </c>
      <c r="P55" s="152" t="s">
        <v>271</v>
      </c>
      <c r="Q55" s="146"/>
      <c r="S55" s="114"/>
      <c r="U55" s="103"/>
      <c r="V55" s="103"/>
      <c r="W55" s="103"/>
      <c r="X55" s="103"/>
      <c r="Y55" s="103"/>
      <c r="Z55" s="103"/>
      <c r="AA55" s="104">
        <f t="shared" si="15"/>
        <v>200</v>
      </c>
      <c r="AB55" s="104" t="e">
        <f>#REF!-J55</f>
        <v>#REF!</v>
      </c>
      <c r="AC55" s="103"/>
    </row>
    <row r="56" spans="1:29" s="79" customFormat="1" ht="30" x14ac:dyDescent="0.2">
      <c r="A56" s="183">
        <v>6</v>
      </c>
      <c r="B56" s="228" t="s">
        <v>362</v>
      </c>
      <c r="C56" s="219" t="s">
        <v>658</v>
      </c>
      <c r="D56" s="243" t="s">
        <v>372</v>
      </c>
      <c r="E56" s="219" t="s">
        <v>167</v>
      </c>
      <c r="F56" s="266" t="s">
        <v>382</v>
      </c>
      <c r="G56" s="224">
        <v>300</v>
      </c>
      <c r="H56" s="267">
        <v>250</v>
      </c>
      <c r="I56" s="225">
        <f t="shared" si="16"/>
        <v>0</v>
      </c>
      <c r="J56" s="185"/>
      <c r="K56" s="185"/>
      <c r="L56" s="223"/>
      <c r="M56" s="83"/>
      <c r="N56" s="83"/>
      <c r="O56" s="118" t="s">
        <v>123</v>
      </c>
      <c r="P56" s="152" t="s">
        <v>277</v>
      </c>
      <c r="Q56" s="146"/>
      <c r="S56" s="114"/>
      <c r="U56" s="103"/>
      <c r="V56" s="103"/>
      <c r="W56" s="103"/>
      <c r="X56" s="103"/>
      <c r="Y56" s="103"/>
      <c r="Z56" s="103"/>
      <c r="AA56" s="104">
        <f t="shared" si="15"/>
        <v>250</v>
      </c>
      <c r="AB56" s="104" t="e">
        <f>#REF!-J56</f>
        <v>#REF!</v>
      </c>
      <c r="AC56" s="103"/>
    </row>
    <row r="57" spans="1:29" s="79" customFormat="1" ht="30" x14ac:dyDescent="0.2">
      <c r="A57" s="183">
        <v>7</v>
      </c>
      <c r="B57" s="228" t="s">
        <v>363</v>
      </c>
      <c r="C57" s="219" t="s">
        <v>658</v>
      </c>
      <c r="D57" s="243" t="s">
        <v>372</v>
      </c>
      <c r="E57" s="219" t="s">
        <v>167</v>
      </c>
      <c r="F57" s="266" t="s">
        <v>383</v>
      </c>
      <c r="G57" s="224">
        <v>300</v>
      </c>
      <c r="H57" s="267">
        <v>250</v>
      </c>
      <c r="I57" s="225">
        <f t="shared" si="16"/>
        <v>0</v>
      </c>
      <c r="J57" s="185"/>
      <c r="K57" s="185"/>
      <c r="L57" s="223"/>
      <c r="M57" s="83"/>
      <c r="N57" s="83"/>
      <c r="O57" s="118" t="s">
        <v>123</v>
      </c>
      <c r="P57" s="152" t="s">
        <v>277</v>
      </c>
      <c r="Q57" s="146"/>
      <c r="S57" s="114"/>
      <c r="U57" s="103"/>
      <c r="V57" s="103"/>
      <c r="W57" s="103"/>
      <c r="X57" s="103"/>
      <c r="Y57" s="103"/>
      <c r="Z57" s="103"/>
      <c r="AA57" s="104">
        <f t="shared" si="15"/>
        <v>250</v>
      </c>
      <c r="AB57" s="104" t="e">
        <f>#REF!-J57</f>
        <v>#REF!</v>
      </c>
      <c r="AC57" s="103"/>
    </row>
    <row r="58" spans="1:29" s="79" customFormat="1" ht="30" x14ac:dyDescent="0.2">
      <c r="A58" s="183">
        <v>8</v>
      </c>
      <c r="B58" s="228" t="s">
        <v>364</v>
      </c>
      <c r="C58" s="219" t="s">
        <v>658</v>
      </c>
      <c r="D58" s="243" t="s">
        <v>372</v>
      </c>
      <c r="E58" s="219" t="s">
        <v>167</v>
      </c>
      <c r="F58" s="266" t="s">
        <v>384</v>
      </c>
      <c r="G58" s="224">
        <v>300</v>
      </c>
      <c r="H58" s="267">
        <v>200</v>
      </c>
      <c r="I58" s="225">
        <f t="shared" si="16"/>
        <v>0</v>
      </c>
      <c r="J58" s="185"/>
      <c r="K58" s="185"/>
      <c r="L58" s="223"/>
      <c r="M58" s="83"/>
      <c r="N58" s="83"/>
      <c r="O58" s="118" t="s">
        <v>123</v>
      </c>
      <c r="P58" s="152" t="s">
        <v>277</v>
      </c>
      <c r="Q58" s="146"/>
      <c r="S58" s="114"/>
      <c r="U58" s="103"/>
      <c r="V58" s="103"/>
      <c r="W58" s="103"/>
      <c r="X58" s="103"/>
      <c r="Y58" s="103"/>
      <c r="Z58" s="103"/>
      <c r="AA58" s="104">
        <f t="shared" si="15"/>
        <v>200</v>
      </c>
      <c r="AB58" s="104" t="e">
        <f>#REF!-J58</f>
        <v>#REF!</v>
      </c>
      <c r="AC58" s="103"/>
    </row>
    <row r="59" spans="1:29" s="79" customFormat="1" ht="30" x14ac:dyDescent="0.2">
      <c r="A59" s="183">
        <v>9</v>
      </c>
      <c r="B59" s="228" t="s">
        <v>365</v>
      </c>
      <c r="C59" s="219" t="s">
        <v>148</v>
      </c>
      <c r="D59" s="243" t="s">
        <v>373</v>
      </c>
      <c r="E59" s="219" t="s">
        <v>167</v>
      </c>
      <c r="F59" s="266" t="s">
        <v>385</v>
      </c>
      <c r="G59" s="224">
        <v>400</v>
      </c>
      <c r="H59" s="267">
        <v>157</v>
      </c>
      <c r="I59" s="225">
        <f t="shared" si="16"/>
        <v>0</v>
      </c>
      <c r="J59" s="185"/>
      <c r="K59" s="185"/>
      <c r="L59" s="223"/>
      <c r="M59" s="83"/>
      <c r="N59" s="83"/>
      <c r="O59" s="118" t="s">
        <v>123</v>
      </c>
      <c r="P59" s="152" t="s">
        <v>272</v>
      </c>
      <c r="Q59" s="146"/>
      <c r="S59" s="114"/>
      <c r="U59" s="103"/>
      <c r="V59" s="103"/>
      <c r="W59" s="103"/>
      <c r="X59" s="103"/>
      <c r="Y59" s="103"/>
      <c r="Z59" s="103"/>
      <c r="AA59" s="104">
        <f t="shared" si="15"/>
        <v>157</v>
      </c>
      <c r="AB59" s="104" t="e">
        <f>#REF!-J59</f>
        <v>#REF!</v>
      </c>
      <c r="AC59" s="103"/>
    </row>
    <row r="60" spans="1:29" s="79" customFormat="1" ht="30" x14ac:dyDescent="0.2">
      <c r="A60" s="183">
        <v>10</v>
      </c>
      <c r="B60" s="228" t="s">
        <v>366</v>
      </c>
      <c r="C60" s="219" t="s">
        <v>146</v>
      </c>
      <c r="D60" s="243" t="s">
        <v>372</v>
      </c>
      <c r="E60" s="219" t="s">
        <v>167</v>
      </c>
      <c r="F60" s="266" t="s">
        <v>386</v>
      </c>
      <c r="G60" s="224">
        <v>300</v>
      </c>
      <c r="H60" s="267">
        <v>0.59999999999999432</v>
      </c>
      <c r="I60" s="225">
        <f t="shared" si="16"/>
        <v>0</v>
      </c>
      <c r="J60" s="185"/>
      <c r="K60" s="185"/>
      <c r="L60" s="223"/>
      <c r="M60" s="83"/>
      <c r="N60" s="83"/>
      <c r="O60" s="118" t="s">
        <v>123</v>
      </c>
      <c r="P60" s="152" t="s">
        <v>270</v>
      </c>
      <c r="Q60" s="146"/>
      <c r="S60" s="114"/>
      <c r="U60" s="103"/>
      <c r="V60" s="103"/>
      <c r="W60" s="103"/>
      <c r="X60" s="103"/>
      <c r="Y60" s="103"/>
      <c r="Z60" s="103"/>
      <c r="AA60" s="104">
        <f t="shared" si="15"/>
        <v>0.59999999999999432</v>
      </c>
      <c r="AB60" s="104" t="e">
        <f>#REF!-J60</f>
        <v>#REF!</v>
      </c>
      <c r="AC60" s="103"/>
    </row>
    <row r="61" spans="1:29" s="79" customFormat="1" ht="45" x14ac:dyDescent="0.2">
      <c r="A61" s="268"/>
      <c r="B61" s="250" t="s">
        <v>234</v>
      </c>
      <c r="C61" s="269"/>
      <c r="D61" s="270"/>
      <c r="E61" s="271"/>
      <c r="F61" s="271"/>
      <c r="G61" s="254">
        <f>G62</f>
        <v>4102</v>
      </c>
      <c r="H61" s="254">
        <f t="shared" ref="H61:J61" si="17">H62</f>
        <v>109.71800000000007</v>
      </c>
      <c r="I61" s="254">
        <f t="shared" si="17"/>
        <v>0</v>
      </c>
      <c r="J61" s="254">
        <f t="shared" si="17"/>
        <v>0</v>
      </c>
      <c r="K61" s="272">
        <f>I61/H61*100</f>
        <v>0</v>
      </c>
      <c r="L61" s="273"/>
      <c r="M61" s="83"/>
      <c r="N61" s="83"/>
      <c r="O61" s="118"/>
      <c r="Q61" s="146"/>
      <c r="S61" s="114"/>
      <c r="U61" s="103"/>
      <c r="V61" s="103"/>
      <c r="W61" s="103"/>
      <c r="X61" s="103"/>
      <c r="Y61" s="103"/>
      <c r="Z61" s="103"/>
      <c r="AA61" s="104">
        <f t="shared" si="15"/>
        <v>109.71800000000007</v>
      </c>
      <c r="AB61" s="104" t="e">
        <f>#REF!-J61</f>
        <v>#REF!</v>
      </c>
      <c r="AC61" s="103"/>
    </row>
    <row r="62" spans="1:29" s="79" customFormat="1" ht="15" x14ac:dyDescent="0.2">
      <c r="A62" s="183"/>
      <c r="B62" s="203" t="s">
        <v>558</v>
      </c>
      <c r="C62" s="218"/>
      <c r="D62" s="184"/>
      <c r="E62" s="219"/>
      <c r="F62" s="240"/>
      <c r="G62" s="206">
        <f>SUM(G63:G65)</f>
        <v>4102</v>
      </c>
      <c r="H62" s="206">
        <f>SUM(H63:H65)</f>
        <v>109.71800000000007</v>
      </c>
      <c r="I62" s="206">
        <f>SUM(I63:I65)</f>
        <v>0</v>
      </c>
      <c r="J62" s="206">
        <f>SUM(J63:J65)</f>
        <v>0</v>
      </c>
      <c r="K62" s="185"/>
      <c r="L62" s="223"/>
      <c r="M62" s="83"/>
      <c r="N62" s="83"/>
      <c r="O62" s="118"/>
      <c r="Q62" s="146"/>
      <c r="S62" s="114"/>
      <c r="AA62" s="77"/>
      <c r="AB62" s="77"/>
    </row>
    <row r="63" spans="1:29" s="79" customFormat="1" ht="30" x14ac:dyDescent="0.2">
      <c r="A63" s="183">
        <v>1</v>
      </c>
      <c r="B63" s="184" t="s">
        <v>389</v>
      </c>
      <c r="C63" s="274" t="s">
        <v>226</v>
      </c>
      <c r="D63" s="274" t="s">
        <v>394</v>
      </c>
      <c r="E63" s="219" t="s">
        <v>179</v>
      </c>
      <c r="F63" s="274" t="s">
        <v>399</v>
      </c>
      <c r="G63" s="224">
        <v>702</v>
      </c>
      <c r="H63" s="275">
        <v>0.10500000000001819</v>
      </c>
      <c r="I63" s="276">
        <f t="shared" ref="I63:I65" si="18">J63</f>
        <v>0</v>
      </c>
      <c r="J63" s="186"/>
      <c r="K63" s="185"/>
      <c r="L63" s="223"/>
      <c r="M63" s="83"/>
      <c r="N63" s="83"/>
      <c r="O63" s="118" t="s">
        <v>123</v>
      </c>
      <c r="P63" s="152" t="s">
        <v>279</v>
      </c>
      <c r="Q63" s="146"/>
      <c r="S63" s="114"/>
      <c r="U63" s="103"/>
      <c r="V63" s="103"/>
      <c r="W63" s="103"/>
      <c r="X63" s="103"/>
      <c r="Y63" s="103"/>
      <c r="Z63" s="103"/>
      <c r="AA63" s="104">
        <f>H63-I63</f>
        <v>0.10500000000001819</v>
      </c>
      <c r="AB63" s="104" t="e">
        <f>#REF!-J63</f>
        <v>#REF!</v>
      </c>
      <c r="AC63" s="103"/>
    </row>
    <row r="64" spans="1:29" s="79" customFormat="1" ht="30" x14ac:dyDescent="0.2">
      <c r="A64" s="183">
        <v>2</v>
      </c>
      <c r="B64" s="184" t="s">
        <v>390</v>
      </c>
      <c r="C64" s="274" t="s">
        <v>225</v>
      </c>
      <c r="D64" s="274" t="s">
        <v>395</v>
      </c>
      <c r="E64" s="219" t="s">
        <v>179</v>
      </c>
      <c r="F64" s="274" t="s">
        <v>400</v>
      </c>
      <c r="G64" s="224">
        <v>1120</v>
      </c>
      <c r="H64" s="277">
        <v>75</v>
      </c>
      <c r="I64" s="276"/>
      <c r="J64" s="186"/>
      <c r="K64" s="185"/>
      <c r="L64" s="223"/>
      <c r="M64" s="83"/>
      <c r="N64" s="83"/>
      <c r="O64" s="118" t="s">
        <v>123</v>
      </c>
      <c r="P64" s="152" t="s">
        <v>277</v>
      </c>
      <c r="Q64" s="146"/>
      <c r="S64" s="114"/>
      <c r="U64" s="103"/>
      <c r="V64" s="103"/>
      <c r="W64" s="103"/>
      <c r="X64" s="103"/>
      <c r="Y64" s="103"/>
      <c r="Z64" s="103"/>
      <c r="AA64" s="104">
        <f>H64-I64</f>
        <v>75</v>
      </c>
      <c r="AB64" s="104" t="e">
        <f>#REF!-J64</f>
        <v>#REF!</v>
      </c>
      <c r="AC64" s="103"/>
    </row>
    <row r="65" spans="1:29" s="79" customFormat="1" ht="30.75" thickBot="1" x14ac:dyDescent="0.25">
      <c r="A65" s="278">
        <v>3</v>
      </c>
      <c r="B65" s="279" t="s">
        <v>391</v>
      </c>
      <c r="C65" s="280" t="s">
        <v>146</v>
      </c>
      <c r="D65" s="280" t="s">
        <v>396</v>
      </c>
      <c r="E65" s="281" t="s">
        <v>179</v>
      </c>
      <c r="F65" s="280" t="s">
        <v>401</v>
      </c>
      <c r="G65" s="282">
        <v>2280</v>
      </c>
      <c r="H65" s="283">
        <v>34.613000000000056</v>
      </c>
      <c r="I65" s="284">
        <f t="shared" si="18"/>
        <v>0</v>
      </c>
      <c r="J65" s="285"/>
      <c r="K65" s="286"/>
      <c r="L65" s="287"/>
      <c r="M65" s="83"/>
      <c r="N65" s="83"/>
      <c r="O65" s="118" t="s">
        <v>123</v>
      </c>
      <c r="P65" s="152" t="s">
        <v>270</v>
      </c>
      <c r="Q65" s="146"/>
      <c r="S65" s="114"/>
      <c r="U65" s="103"/>
      <c r="V65" s="103"/>
      <c r="W65" s="103"/>
      <c r="X65" s="103"/>
      <c r="Y65" s="103"/>
      <c r="Z65" s="103"/>
      <c r="AA65" s="104">
        <f>H65-I65</f>
        <v>34.613000000000056</v>
      </c>
      <c r="AB65" s="104" t="e">
        <f>#REF!-J65</f>
        <v>#REF!</v>
      </c>
      <c r="AC65" s="103"/>
    </row>
    <row r="66" spans="1:29" ht="13.5" hidden="1" x14ac:dyDescent="0.2">
      <c r="A66" s="896"/>
      <c r="B66" s="896"/>
      <c r="C66" s="174"/>
      <c r="D66" s="174"/>
      <c r="E66" s="174"/>
      <c r="I66" s="76"/>
      <c r="J66" s="76"/>
      <c r="L66" s="83"/>
      <c r="M66" s="83"/>
      <c r="N66" s="83"/>
    </row>
    <row r="67" spans="1:29" hidden="1" x14ac:dyDescent="0.2">
      <c r="A67" s="94"/>
      <c r="B67" s="97" t="s">
        <v>405</v>
      </c>
      <c r="C67" s="97"/>
      <c r="D67" s="97"/>
      <c r="E67" s="97"/>
      <c r="F67" s="97"/>
      <c r="G67" s="96">
        <f>SUM(G68:G83)</f>
        <v>97847.959000000003</v>
      </c>
      <c r="H67" s="96">
        <f>SUM(H68:H83)</f>
        <v>23046.078000000001</v>
      </c>
      <c r="I67" s="96">
        <f>SUM(I68:J83)</f>
        <v>6688.7839999999997</v>
      </c>
      <c r="J67" s="96">
        <f>SUM(J68:J83)</f>
        <v>3344.3919999999998</v>
      </c>
      <c r="K67" s="98">
        <f t="shared" ref="K67:K83" si="19">I67/H67*100</f>
        <v>29.023524089435082</v>
      </c>
      <c r="L67" s="97"/>
      <c r="M67" s="164"/>
      <c r="N67" s="165"/>
      <c r="O67" s="166"/>
      <c r="P67" s="96">
        <f>SUM(P68:P83)</f>
        <v>40</v>
      </c>
    </row>
    <row r="68" spans="1:29" hidden="1" x14ac:dyDescent="0.2">
      <c r="A68" s="89">
        <v>1</v>
      </c>
      <c r="B68" s="90" t="s">
        <v>268</v>
      </c>
      <c r="C68" s="88"/>
      <c r="D68" s="88"/>
      <c r="E68" s="88"/>
      <c r="F68" s="88"/>
      <c r="G68" s="87">
        <f t="shared" ref="G68:G83" si="20">SUMIF($P$10:$P$65,B68,$G$10:$G$65)</f>
        <v>45560</v>
      </c>
      <c r="H68" s="87">
        <f t="shared" ref="H68:H83" si="21">SUMIF($P$10:$P$65,B68,$H$10:$H$65)</f>
        <v>4407.1499999999987</v>
      </c>
      <c r="I68" s="87">
        <f t="shared" ref="I68:I83" si="22">SUMIF($P$10:$P$65,B68,$I$10:$I$65)</f>
        <v>1394.088</v>
      </c>
      <c r="J68" s="87">
        <f t="shared" ref="J68:J83" si="23">SUMIF($P$10:$P$65,B68,$J$10:$J$65)</f>
        <v>1394.088</v>
      </c>
      <c r="K68" s="95">
        <f t="shared" si="19"/>
        <v>31.632415506619932</v>
      </c>
      <c r="L68" s="88"/>
      <c r="M68" s="167"/>
      <c r="O68" s="168"/>
      <c r="P68" s="169">
        <f t="shared" ref="P68:P83" si="24">COUNTIF($P$9:$P$65,B68)</f>
        <v>7</v>
      </c>
    </row>
    <row r="69" spans="1:29" hidden="1" x14ac:dyDescent="0.2">
      <c r="A69" s="89">
        <v>4</v>
      </c>
      <c r="B69" s="91" t="s">
        <v>353</v>
      </c>
      <c r="C69" s="88"/>
      <c r="D69" s="88"/>
      <c r="E69" s="88"/>
      <c r="F69" s="88"/>
      <c r="G69" s="87">
        <f t="shared" si="20"/>
        <v>1500</v>
      </c>
      <c r="H69" s="87">
        <f t="shared" si="21"/>
        <v>659.76</v>
      </c>
      <c r="I69" s="87">
        <f t="shared" si="22"/>
        <v>659.76</v>
      </c>
      <c r="J69" s="87">
        <f t="shared" si="23"/>
        <v>659.76</v>
      </c>
      <c r="K69" s="95">
        <f t="shared" si="19"/>
        <v>100</v>
      </c>
      <c r="L69" s="88"/>
      <c r="M69" s="167"/>
      <c r="O69" s="168"/>
      <c r="P69" s="169">
        <f t="shared" si="24"/>
        <v>1</v>
      </c>
    </row>
    <row r="70" spans="1:29" hidden="1" x14ac:dyDescent="0.2">
      <c r="A70" s="89">
        <v>5</v>
      </c>
      <c r="B70" s="92" t="s">
        <v>274</v>
      </c>
      <c r="C70" s="88"/>
      <c r="D70" s="88"/>
      <c r="E70" s="88"/>
      <c r="F70" s="88"/>
      <c r="G70" s="87">
        <f t="shared" si="20"/>
        <v>3150</v>
      </c>
      <c r="H70" s="87">
        <f t="shared" si="21"/>
        <v>1800</v>
      </c>
      <c r="I70" s="87">
        <f t="shared" si="22"/>
        <v>0</v>
      </c>
      <c r="J70" s="87">
        <f t="shared" si="23"/>
        <v>0</v>
      </c>
      <c r="K70" s="95">
        <f t="shared" si="19"/>
        <v>0</v>
      </c>
      <c r="L70" s="88"/>
      <c r="M70" s="167"/>
      <c r="O70" s="168"/>
      <c r="P70" s="169">
        <f t="shared" si="24"/>
        <v>1</v>
      </c>
    </row>
    <row r="71" spans="1:29" hidden="1" x14ac:dyDescent="0.2">
      <c r="A71" s="89">
        <v>6</v>
      </c>
      <c r="B71" s="91" t="s">
        <v>279</v>
      </c>
      <c r="C71" s="88"/>
      <c r="D71" s="88"/>
      <c r="E71" s="88"/>
      <c r="F71" s="88"/>
      <c r="G71" s="87">
        <f t="shared" si="20"/>
        <v>2545.8599999999997</v>
      </c>
      <c r="H71" s="87">
        <f t="shared" si="21"/>
        <v>1600.105</v>
      </c>
      <c r="I71" s="87">
        <f t="shared" si="22"/>
        <v>0</v>
      </c>
      <c r="J71" s="87">
        <f t="shared" si="23"/>
        <v>0</v>
      </c>
      <c r="K71" s="95">
        <f t="shared" si="19"/>
        <v>0</v>
      </c>
      <c r="L71" s="88"/>
      <c r="M71" s="167"/>
      <c r="O71" s="168"/>
      <c r="P71" s="169">
        <f t="shared" si="24"/>
        <v>2</v>
      </c>
    </row>
    <row r="72" spans="1:29" hidden="1" x14ac:dyDescent="0.2">
      <c r="A72" s="89">
        <v>7</v>
      </c>
      <c r="B72" s="91" t="s">
        <v>277</v>
      </c>
      <c r="C72" s="88"/>
      <c r="D72" s="88"/>
      <c r="E72" s="88"/>
      <c r="F72" s="88"/>
      <c r="G72" s="87">
        <f t="shared" si="20"/>
        <v>3936.0990000000002</v>
      </c>
      <c r="H72" s="87">
        <f t="shared" si="21"/>
        <v>1765.201</v>
      </c>
      <c r="I72" s="87">
        <f t="shared" si="22"/>
        <v>0</v>
      </c>
      <c r="J72" s="87">
        <f t="shared" si="23"/>
        <v>0</v>
      </c>
      <c r="K72" s="95">
        <f t="shared" si="19"/>
        <v>0</v>
      </c>
      <c r="L72" s="88"/>
      <c r="M72" s="167"/>
      <c r="O72" s="168"/>
      <c r="P72" s="169">
        <f t="shared" si="24"/>
        <v>6</v>
      </c>
      <c r="S72" s="74">
        <v>7</v>
      </c>
      <c r="T72" s="77">
        <f>H72</f>
        <v>1765.201</v>
      </c>
    </row>
    <row r="73" spans="1:29" hidden="1" x14ac:dyDescent="0.2">
      <c r="A73" s="89">
        <v>8</v>
      </c>
      <c r="B73" s="91" t="s">
        <v>270</v>
      </c>
      <c r="C73" s="88"/>
      <c r="D73" s="88"/>
      <c r="E73" s="88"/>
      <c r="F73" s="88"/>
      <c r="G73" s="87">
        <f t="shared" si="20"/>
        <v>2580</v>
      </c>
      <c r="H73" s="87">
        <f t="shared" si="21"/>
        <v>35.213000000000051</v>
      </c>
      <c r="I73" s="87">
        <f t="shared" si="22"/>
        <v>0</v>
      </c>
      <c r="J73" s="87">
        <f t="shared" si="23"/>
        <v>0</v>
      </c>
      <c r="K73" s="95">
        <f t="shared" si="19"/>
        <v>0</v>
      </c>
      <c r="L73" s="88"/>
      <c r="M73" s="167"/>
      <c r="O73" s="168"/>
      <c r="P73" s="169">
        <f t="shared" si="24"/>
        <v>2</v>
      </c>
      <c r="T73" s="77"/>
    </row>
    <row r="74" spans="1:29" hidden="1" x14ac:dyDescent="0.2">
      <c r="A74" s="89">
        <v>9</v>
      </c>
      <c r="B74" s="93" t="s">
        <v>276</v>
      </c>
      <c r="C74" s="88"/>
      <c r="D74" s="88"/>
      <c r="E74" s="88"/>
      <c r="F74" s="88"/>
      <c r="G74" s="87">
        <f t="shared" si="20"/>
        <v>1800</v>
      </c>
      <c r="H74" s="87">
        <f t="shared" si="21"/>
        <v>297.25099999999998</v>
      </c>
      <c r="I74" s="87">
        <f t="shared" si="22"/>
        <v>0</v>
      </c>
      <c r="J74" s="87">
        <f t="shared" si="23"/>
        <v>0</v>
      </c>
      <c r="K74" s="95">
        <f t="shared" si="19"/>
        <v>0</v>
      </c>
      <c r="L74" s="88"/>
      <c r="M74" s="167"/>
      <c r="O74" s="168"/>
      <c r="P74" s="169">
        <f t="shared" si="24"/>
        <v>1</v>
      </c>
    </row>
    <row r="75" spans="1:29" hidden="1" x14ac:dyDescent="0.2">
      <c r="A75" s="89">
        <v>10</v>
      </c>
      <c r="B75" s="91" t="s">
        <v>352</v>
      </c>
      <c r="C75" s="88"/>
      <c r="D75" s="88"/>
      <c r="E75" s="88"/>
      <c r="F75" s="88"/>
      <c r="G75" s="87">
        <f t="shared" si="20"/>
        <v>3600</v>
      </c>
      <c r="H75" s="87">
        <f t="shared" si="21"/>
        <v>343.71900000000005</v>
      </c>
      <c r="I75" s="87">
        <f t="shared" si="22"/>
        <v>0</v>
      </c>
      <c r="J75" s="87">
        <f t="shared" si="23"/>
        <v>0</v>
      </c>
      <c r="K75" s="95">
        <f t="shared" si="19"/>
        <v>0</v>
      </c>
      <c r="L75" s="88"/>
      <c r="M75" s="167"/>
      <c r="O75" s="168"/>
      <c r="P75" s="169">
        <f t="shared" si="24"/>
        <v>1</v>
      </c>
    </row>
    <row r="76" spans="1:29" hidden="1" x14ac:dyDescent="0.2">
      <c r="A76" s="89">
        <v>11</v>
      </c>
      <c r="B76" s="91" t="s">
        <v>280</v>
      </c>
      <c r="C76" s="88"/>
      <c r="D76" s="88"/>
      <c r="E76" s="88"/>
      <c r="F76" s="88"/>
      <c r="G76" s="87">
        <f t="shared" si="20"/>
        <v>2500</v>
      </c>
      <c r="H76" s="87">
        <f t="shared" si="21"/>
        <v>1436.3209999999999</v>
      </c>
      <c r="I76" s="87">
        <f t="shared" si="22"/>
        <v>0</v>
      </c>
      <c r="J76" s="87">
        <f t="shared" si="23"/>
        <v>0</v>
      </c>
      <c r="K76" s="95">
        <f t="shared" si="19"/>
        <v>0</v>
      </c>
      <c r="L76" s="88"/>
      <c r="M76" s="167"/>
      <c r="O76" s="168"/>
      <c r="P76" s="169">
        <f t="shared" si="24"/>
        <v>3</v>
      </c>
    </row>
    <row r="77" spans="1:29" hidden="1" x14ac:dyDescent="0.2">
      <c r="A77" s="89">
        <v>12</v>
      </c>
      <c r="B77" s="91" t="s">
        <v>272</v>
      </c>
      <c r="C77" s="88"/>
      <c r="D77" s="88"/>
      <c r="E77" s="88"/>
      <c r="F77" s="88"/>
      <c r="G77" s="87">
        <f t="shared" si="20"/>
        <v>6486</v>
      </c>
      <c r="H77" s="87">
        <f t="shared" si="21"/>
        <v>3388.4059999999999</v>
      </c>
      <c r="I77" s="87">
        <f t="shared" si="22"/>
        <v>0</v>
      </c>
      <c r="J77" s="87">
        <f t="shared" si="23"/>
        <v>0</v>
      </c>
      <c r="K77" s="95">
        <f t="shared" si="19"/>
        <v>0</v>
      </c>
      <c r="L77" s="88"/>
      <c r="M77" s="167"/>
      <c r="O77" s="168"/>
      <c r="P77" s="169">
        <f t="shared" si="24"/>
        <v>3</v>
      </c>
      <c r="S77" s="74">
        <v>3</v>
      </c>
      <c r="T77" s="77">
        <f>H77</f>
        <v>3388.4059999999999</v>
      </c>
    </row>
    <row r="78" spans="1:29" hidden="1" x14ac:dyDescent="0.2">
      <c r="A78" s="89">
        <v>13</v>
      </c>
      <c r="B78" s="91" t="s">
        <v>278</v>
      </c>
      <c r="C78" s="88"/>
      <c r="D78" s="88"/>
      <c r="E78" s="88"/>
      <c r="F78" s="88"/>
      <c r="G78" s="87">
        <f t="shared" si="20"/>
        <v>10650</v>
      </c>
      <c r="H78" s="87">
        <f t="shared" si="21"/>
        <v>1908.434</v>
      </c>
      <c r="I78" s="87">
        <f t="shared" si="22"/>
        <v>1290.5440000000001</v>
      </c>
      <c r="J78" s="87">
        <f t="shared" si="23"/>
        <v>1290.5440000000001</v>
      </c>
      <c r="K78" s="95">
        <f t="shared" si="19"/>
        <v>67.623192628091942</v>
      </c>
      <c r="L78" s="88"/>
      <c r="M78" s="167"/>
      <c r="O78" s="168"/>
      <c r="P78" s="169">
        <f t="shared" si="24"/>
        <v>3</v>
      </c>
    </row>
    <row r="79" spans="1:29" hidden="1" x14ac:dyDescent="0.2">
      <c r="A79" s="89">
        <v>14</v>
      </c>
      <c r="B79" s="91" t="s">
        <v>271</v>
      </c>
      <c r="C79" s="88"/>
      <c r="D79" s="88"/>
      <c r="E79" s="88"/>
      <c r="F79" s="88"/>
      <c r="G79" s="87">
        <f t="shared" si="20"/>
        <v>2790</v>
      </c>
      <c r="H79" s="87">
        <f t="shared" si="21"/>
        <v>842.03400000000011</v>
      </c>
      <c r="I79" s="87">
        <f t="shared" si="22"/>
        <v>0</v>
      </c>
      <c r="J79" s="87">
        <f t="shared" si="23"/>
        <v>0</v>
      </c>
      <c r="K79" s="95">
        <f t="shared" si="19"/>
        <v>0</v>
      </c>
      <c r="L79" s="88"/>
      <c r="M79" s="167"/>
      <c r="O79" s="168"/>
      <c r="P79" s="169">
        <f t="shared" si="24"/>
        <v>4</v>
      </c>
      <c r="S79" s="74">
        <v>5</v>
      </c>
      <c r="T79" s="77">
        <f>H79</f>
        <v>842.03400000000011</v>
      </c>
    </row>
    <row r="80" spans="1:29" hidden="1" x14ac:dyDescent="0.2">
      <c r="A80" s="89">
        <v>15</v>
      </c>
      <c r="B80" s="91" t="s">
        <v>269</v>
      </c>
      <c r="C80" s="88"/>
      <c r="D80" s="88"/>
      <c r="E80" s="88"/>
      <c r="F80" s="88"/>
      <c r="G80" s="87">
        <f t="shared" si="20"/>
        <v>950</v>
      </c>
      <c r="H80" s="87">
        <f t="shared" si="21"/>
        <v>96.797000000000025</v>
      </c>
      <c r="I80" s="87">
        <f t="shared" si="22"/>
        <v>0</v>
      </c>
      <c r="J80" s="87">
        <f t="shared" si="23"/>
        <v>0</v>
      </c>
      <c r="K80" s="95">
        <f t="shared" si="19"/>
        <v>0</v>
      </c>
      <c r="L80" s="88"/>
      <c r="M80" s="167"/>
      <c r="O80" s="168"/>
      <c r="P80" s="169">
        <f t="shared" si="24"/>
        <v>1</v>
      </c>
      <c r="S80" s="74">
        <v>6</v>
      </c>
      <c r="T80" s="77">
        <f>H80</f>
        <v>96.797000000000025</v>
      </c>
    </row>
    <row r="81" spans="1:20" hidden="1" x14ac:dyDescent="0.2">
      <c r="A81" s="89">
        <v>16</v>
      </c>
      <c r="B81" s="91" t="s">
        <v>275</v>
      </c>
      <c r="C81" s="88"/>
      <c r="D81" s="88"/>
      <c r="E81" s="88"/>
      <c r="F81" s="88"/>
      <c r="G81" s="87">
        <f t="shared" si="20"/>
        <v>3300</v>
      </c>
      <c r="H81" s="87">
        <f t="shared" si="21"/>
        <v>759.56</v>
      </c>
      <c r="I81" s="87">
        <f t="shared" si="22"/>
        <v>0</v>
      </c>
      <c r="J81" s="87">
        <f t="shared" si="23"/>
        <v>0</v>
      </c>
      <c r="K81" s="95">
        <f t="shared" si="19"/>
        <v>0</v>
      </c>
      <c r="L81" s="88"/>
      <c r="M81" s="167"/>
      <c r="O81" s="168"/>
      <c r="P81" s="169">
        <f t="shared" si="24"/>
        <v>2</v>
      </c>
      <c r="S81" s="74">
        <v>3</v>
      </c>
      <c r="T81" s="77">
        <f>H81</f>
        <v>759.56</v>
      </c>
    </row>
    <row r="82" spans="1:20" hidden="1" x14ac:dyDescent="0.2">
      <c r="A82" s="89">
        <v>17</v>
      </c>
      <c r="B82" s="91" t="s">
        <v>273</v>
      </c>
      <c r="C82" s="88"/>
      <c r="D82" s="88"/>
      <c r="E82" s="88"/>
      <c r="F82" s="88"/>
      <c r="G82" s="87">
        <f t="shared" si="20"/>
        <v>6500</v>
      </c>
      <c r="H82" s="87">
        <f t="shared" si="21"/>
        <v>1893.127</v>
      </c>
      <c r="I82" s="87">
        <f t="shared" si="22"/>
        <v>0</v>
      </c>
      <c r="J82" s="87">
        <f t="shared" si="23"/>
        <v>0</v>
      </c>
      <c r="K82" s="95">
        <f t="shared" si="19"/>
        <v>0</v>
      </c>
      <c r="L82" s="88"/>
      <c r="M82" s="167"/>
      <c r="O82" s="168"/>
      <c r="P82" s="169">
        <f t="shared" si="24"/>
        <v>2</v>
      </c>
      <c r="S82" s="74">
        <v>4</v>
      </c>
      <c r="T82" s="77">
        <f>H82</f>
        <v>1893.127</v>
      </c>
    </row>
    <row r="83" spans="1:20" hidden="1" x14ac:dyDescent="0.2">
      <c r="A83" s="86"/>
      <c r="B83" s="116" t="s">
        <v>536</v>
      </c>
      <c r="G83" s="87">
        <f t="shared" si="20"/>
        <v>0</v>
      </c>
      <c r="H83" s="87">
        <f t="shared" si="21"/>
        <v>1813</v>
      </c>
      <c r="I83" s="87">
        <f t="shared" si="22"/>
        <v>0</v>
      </c>
      <c r="J83" s="87">
        <f t="shared" si="23"/>
        <v>0</v>
      </c>
      <c r="K83" s="95">
        <f t="shared" si="19"/>
        <v>0</v>
      </c>
      <c r="P83" s="169">
        <f t="shared" si="24"/>
        <v>1</v>
      </c>
      <c r="S83" s="74">
        <f>SUM(S72:S82)</f>
        <v>28</v>
      </c>
    </row>
    <row r="84" spans="1:20" hidden="1" x14ac:dyDescent="0.2">
      <c r="A84" s="86"/>
    </row>
    <row r="85" spans="1:20" hidden="1" x14ac:dyDescent="0.2"/>
    <row r="86" spans="1:20" hidden="1" x14ac:dyDescent="0.2"/>
    <row r="87" spans="1:20" hidden="1" x14ac:dyDescent="0.2"/>
    <row r="88" spans="1:20" hidden="1" x14ac:dyDescent="0.2"/>
    <row r="89" spans="1:20" hidden="1" x14ac:dyDescent="0.2">
      <c r="G89" s="77"/>
      <c r="H89" s="77"/>
      <c r="I89" s="99"/>
      <c r="J89" s="99"/>
    </row>
    <row r="90" spans="1:20" hidden="1" x14ac:dyDescent="0.2"/>
    <row r="91" spans="1:20" hidden="1" x14ac:dyDescent="0.2"/>
    <row r="92" spans="1:20" hidden="1" x14ac:dyDescent="0.2"/>
    <row r="93" spans="1:20" hidden="1" x14ac:dyDescent="0.2"/>
    <row r="94" spans="1:20" hidden="1" x14ac:dyDescent="0.2"/>
    <row r="95" spans="1:20" hidden="1" x14ac:dyDescent="0.2"/>
    <row r="96" spans="1:20" hidden="1" x14ac:dyDescent="0.2"/>
    <row r="128" spans="8:8" x14ac:dyDescent="0.2">
      <c r="H128" s="77" t="e">
        <f>#REF!</f>
        <v>#REF!</v>
      </c>
    </row>
    <row r="129" spans="8:10" x14ac:dyDescent="0.2">
      <c r="H129" s="77">
        <f>H36</f>
        <v>1813</v>
      </c>
    </row>
    <row r="130" spans="8:10" x14ac:dyDescent="0.2">
      <c r="H130" s="77" t="e">
        <f>H129+H128</f>
        <v>#REF!</v>
      </c>
      <c r="I130" s="81">
        <v>41722</v>
      </c>
      <c r="J130" s="171" t="e">
        <f>I130/#REF!*100</f>
        <v>#REF!</v>
      </c>
    </row>
  </sheetData>
  <mergeCells count="19">
    <mergeCell ref="A1:L1"/>
    <mergeCell ref="A2:L2"/>
    <mergeCell ref="A3:L3"/>
    <mergeCell ref="I4:L4"/>
    <mergeCell ref="A5:A7"/>
    <mergeCell ref="B5:B7"/>
    <mergeCell ref="C5:C7"/>
    <mergeCell ref="D5:D7"/>
    <mergeCell ref="E5:E7"/>
    <mergeCell ref="F5:G5"/>
    <mergeCell ref="L5:L7"/>
    <mergeCell ref="P5:P7"/>
    <mergeCell ref="R5:R7"/>
    <mergeCell ref="F6:F7"/>
    <mergeCell ref="G6:G7"/>
    <mergeCell ref="A66:B66"/>
    <mergeCell ref="H5:H7"/>
    <mergeCell ref="I5:J6"/>
    <mergeCell ref="K5:K7"/>
  </mergeCells>
  <printOptions horizontalCentered="1"/>
  <pageMargins left="0.19685039370078741" right="0.19685039370078741" top="0.59055118110236227" bottom="0.39370078740157483" header="0.31496062992125984" footer="0.31496062992125984"/>
  <pageSetup paperSize="9" scale="85" orientation="landscape" r:id="rId1"/>
  <headerFooter>
    <oddHeader>Page &amp;P</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4:K7"/>
  <sheetViews>
    <sheetView workbookViewId="0">
      <selection activeCell="K13" sqref="K13"/>
    </sheetView>
  </sheetViews>
  <sheetFormatPr defaultRowHeight="12.75" x14ac:dyDescent="0.2"/>
  <cols>
    <col min="9" max="9" width="11.5" bestFit="1" customWidth="1"/>
  </cols>
  <sheetData>
    <row r="4" spans="9:11" x14ac:dyDescent="0.2">
      <c r="I4" s="736">
        <f>SUM(I5:I6)</f>
        <v>357147.50199999998</v>
      </c>
      <c r="J4" s="736">
        <f>SUM(J5:J6)</f>
        <v>85185.006000000008</v>
      </c>
      <c r="K4" s="737">
        <f>J4/I4*100</f>
        <v>23.851491477042451</v>
      </c>
    </row>
    <row r="5" spans="9:11" x14ac:dyDescent="0.2">
      <c r="I5" s="735">
        <v>219508.50200000001</v>
      </c>
      <c r="J5" s="735">
        <v>53879.10100000001</v>
      </c>
    </row>
    <row r="6" spans="9:11" x14ac:dyDescent="0.2">
      <c r="I6" s="735">
        <v>137639</v>
      </c>
      <c r="J6" s="735">
        <v>31305.904999999999</v>
      </c>
    </row>
    <row r="7" spans="9:11" x14ac:dyDescent="0.2">
      <c r="I7" s="735"/>
      <c r="J7" s="735"/>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A145"/>
  <sheetViews>
    <sheetView zoomScale="85" zoomScaleNormal="85" workbookViewId="0">
      <pane ySplit="6" topLeftCell="A31" activePane="bottomLeft" state="frozen"/>
      <selection activeCell="B1" sqref="B1"/>
      <selection pane="bottomLeft" activeCell="G33" sqref="G33"/>
    </sheetView>
  </sheetViews>
  <sheetFormatPr defaultRowHeight="12.75" x14ac:dyDescent="0.2"/>
  <cols>
    <col min="1" max="1" width="4.6640625" style="1107" bestFit="1" customWidth="1"/>
    <col min="2" max="2" width="63.33203125" style="1107" customWidth="1"/>
    <col min="3" max="11" width="10" style="1107" customWidth="1"/>
    <col min="12" max="14" width="9.1640625" style="1107" customWidth="1"/>
    <col min="15" max="17" width="10" style="1107" customWidth="1"/>
    <col min="18" max="18" width="6" style="1107" customWidth="1"/>
    <col min="19" max="19" width="9.5" style="1107" customWidth="1"/>
    <col min="20" max="21" width="6.5" style="1107" customWidth="1"/>
    <col min="22" max="22" width="11.83203125" style="1107" customWidth="1"/>
    <col min="23" max="23" width="13" style="1107" customWidth="1"/>
    <col min="24" max="16384" width="9.33203125" style="1107"/>
  </cols>
  <sheetData>
    <row r="1" spans="1:27" ht="15.75" x14ac:dyDescent="0.2">
      <c r="A1" s="1104"/>
      <c r="B1" s="1105"/>
      <c r="C1" s="1105"/>
      <c r="D1" s="1105"/>
      <c r="E1" s="1105"/>
      <c r="F1" s="1105"/>
      <c r="G1" s="1105"/>
      <c r="H1" s="1105"/>
      <c r="I1" s="1105"/>
      <c r="J1" s="1105"/>
      <c r="K1" s="1105"/>
      <c r="L1" s="1105"/>
      <c r="M1" s="1105"/>
      <c r="N1" s="1105"/>
      <c r="O1" s="1105"/>
      <c r="P1" s="1105"/>
      <c r="Q1" s="1106" t="s">
        <v>878</v>
      </c>
      <c r="R1" s="1106"/>
    </row>
    <row r="2" spans="1:27" ht="15.75" x14ac:dyDescent="0.2">
      <c r="A2" s="1055" t="s">
        <v>877</v>
      </c>
      <c r="B2" s="1055"/>
      <c r="C2" s="1055"/>
      <c r="D2" s="1055"/>
      <c r="E2" s="1055"/>
      <c r="F2" s="1055"/>
      <c r="G2" s="1055"/>
      <c r="H2" s="1055"/>
      <c r="I2" s="1055"/>
      <c r="J2" s="1055"/>
      <c r="K2" s="1055"/>
      <c r="L2" s="1055"/>
      <c r="M2" s="1055"/>
      <c r="N2" s="1055"/>
      <c r="O2" s="1055"/>
      <c r="P2" s="1055"/>
      <c r="Q2" s="1055"/>
      <c r="R2" s="1055"/>
      <c r="V2" s="1108">
        <f>I8+C8</f>
        <v>326549.74599999998</v>
      </c>
      <c r="W2" s="1108">
        <f>L8+O8</f>
        <v>107697.03799999999</v>
      </c>
      <c r="Z2" s="1107">
        <f>O8/F8*100</f>
        <v>39.11933357010048</v>
      </c>
      <c r="AA2" s="1107">
        <f>L8/C8*100</f>
        <v>15.859628817819003</v>
      </c>
    </row>
    <row r="3" spans="1:27" ht="15.75" x14ac:dyDescent="0.2">
      <c r="A3" s="1056" t="s">
        <v>891</v>
      </c>
      <c r="B3" s="1056"/>
      <c r="C3" s="1056"/>
      <c r="D3" s="1056"/>
      <c r="E3" s="1056"/>
      <c r="F3" s="1056"/>
      <c r="G3" s="1056"/>
      <c r="H3" s="1056"/>
      <c r="I3" s="1056"/>
      <c r="J3" s="1056"/>
      <c r="K3" s="1056"/>
      <c r="L3" s="1056"/>
      <c r="M3" s="1056"/>
      <c r="N3" s="1056"/>
      <c r="O3" s="1056"/>
      <c r="P3" s="1056"/>
      <c r="Q3" s="1056"/>
      <c r="R3" s="1056"/>
      <c r="V3" s="1108">
        <f>D8+J8</f>
        <v>167370.66800000001</v>
      </c>
      <c r="W3" s="1108">
        <f>P8+M8</f>
        <v>11110.701000000001</v>
      </c>
      <c r="X3" s="1107">
        <f>W3/V3*100</f>
        <v>6.6383800296477276</v>
      </c>
      <c r="Z3" s="1107">
        <f>Q8/H8*100</f>
        <v>60.009041042146485</v>
      </c>
      <c r="AA3" s="1107">
        <f>N8/E8*100</f>
        <v>60.706611337512619</v>
      </c>
    </row>
    <row r="4" spans="1:27" ht="22.5" customHeight="1" x14ac:dyDescent="0.2">
      <c r="A4" s="1057"/>
      <c r="B4" s="1057"/>
      <c r="C4" s="1057"/>
      <c r="D4" s="1057"/>
      <c r="E4" s="1057"/>
      <c r="F4" s="1057"/>
      <c r="G4" s="1057"/>
      <c r="H4" s="1057"/>
      <c r="I4" s="1057"/>
      <c r="J4" s="1057"/>
      <c r="K4" s="1057"/>
      <c r="L4" s="1057"/>
      <c r="M4" s="1057"/>
      <c r="N4" s="1057"/>
      <c r="O4" s="1057"/>
      <c r="P4" s="1058" t="s">
        <v>104</v>
      </c>
      <c r="Q4" s="1058"/>
      <c r="R4" s="1058"/>
      <c r="V4" s="1108">
        <f>K8+E8</f>
        <v>159179.07800000001</v>
      </c>
      <c r="W4" s="1108">
        <f>Q8+N8</f>
        <v>96586.337</v>
      </c>
      <c r="X4" s="1107">
        <f>W4/V4*100</f>
        <v>60.67778392333696</v>
      </c>
      <c r="Z4" s="1107">
        <f>P8/G8*100</f>
        <v>10.846457087791064</v>
      </c>
      <c r="AA4" s="1107">
        <f>M8/D8*100</f>
        <v>0.12225109383118621</v>
      </c>
    </row>
    <row r="5" spans="1:27" ht="87.75" customHeight="1" x14ac:dyDescent="0.2">
      <c r="A5" s="1082" t="s">
        <v>890</v>
      </c>
      <c r="B5" s="1082" t="s">
        <v>732</v>
      </c>
      <c r="C5" s="1082" t="s">
        <v>868</v>
      </c>
      <c r="D5" s="1082"/>
      <c r="E5" s="1082"/>
      <c r="F5" s="1082" t="s">
        <v>871</v>
      </c>
      <c r="G5" s="1082"/>
      <c r="H5" s="1082"/>
      <c r="I5" s="1082" t="s">
        <v>872</v>
      </c>
      <c r="J5" s="1082"/>
      <c r="K5" s="1082"/>
      <c r="L5" s="1082" t="s">
        <v>873</v>
      </c>
      <c r="M5" s="1082"/>
      <c r="N5" s="1082"/>
      <c r="O5" s="1082" t="s">
        <v>874</v>
      </c>
      <c r="P5" s="1082"/>
      <c r="Q5" s="1082"/>
      <c r="R5" s="1082" t="s">
        <v>88</v>
      </c>
    </row>
    <row r="6" spans="1:27" s="1109" customFormat="1" ht="58.5" customHeight="1" x14ac:dyDescent="0.2">
      <c r="A6" s="1082"/>
      <c r="B6" s="1082"/>
      <c r="C6" s="1083" t="s">
        <v>720</v>
      </c>
      <c r="D6" s="1083" t="s">
        <v>869</v>
      </c>
      <c r="E6" s="1083" t="s">
        <v>870</v>
      </c>
      <c r="F6" s="1083" t="s">
        <v>720</v>
      </c>
      <c r="G6" s="1083" t="s">
        <v>869</v>
      </c>
      <c r="H6" s="1083" t="s">
        <v>870</v>
      </c>
      <c r="I6" s="1083" t="s">
        <v>720</v>
      </c>
      <c r="J6" s="1083" t="s">
        <v>869</v>
      </c>
      <c r="K6" s="1083" t="s">
        <v>870</v>
      </c>
      <c r="L6" s="1083" t="s">
        <v>720</v>
      </c>
      <c r="M6" s="1083" t="s">
        <v>869</v>
      </c>
      <c r="N6" s="1083" t="s">
        <v>870</v>
      </c>
      <c r="O6" s="1083" t="s">
        <v>720</v>
      </c>
      <c r="P6" s="1083" t="s">
        <v>869</v>
      </c>
      <c r="Q6" s="1083" t="s">
        <v>870</v>
      </c>
      <c r="R6" s="1082"/>
    </row>
    <row r="7" spans="1:27" s="1110" customFormat="1" ht="20.100000000000001" customHeight="1" x14ac:dyDescent="0.2">
      <c r="A7" s="1084">
        <v>1</v>
      </c>
      <c r="B7" s="1084">
        <v>2</v>
      </c>
      <c r="C7" s="1084">
        <v>3</v>
      </c>
      <c r="D7" s="1084">
        <f>C7+1</f>
        <v>4</v>
      </c>
      <c r="E7" s="1084">
        <f t="shared" ref="E7:R7" si="0">D7+1</f>
        <v>5</v>
      </c>
      <c r="F7" s="1084">
        <f t="shared" si="0"/>
        <v>6</v>
      </c>
      <c r="G7" s="1084">
        <f t="shared" si="0"/>
        <v>7</v>
      </c>
      <c r="H7" s="1084">
        <f t="shared" si="0"/>
        <v>8</v>
      </c>
      <c r="I7" s="1084">
        <f t="shared" si="0"/>
        <v>9</v>
      </c>
      <c r="J7" s="1084">
        <f t="shared" si="0"/>
        <v>10</v>
      </c>
      <c r="K7" s="1084">
        <f t="shared" si="0"/>
        <v>11</v>
      </c>
      <c r="L7" s="1084">
        <f t="shared" si="0"/>
        <v>12</v>
      </c>
      <c r="M7" s="1084">
        <f t="shared" si="0"/>
        <v>13</v>
      </c>
      <c r="N7" s="1084">
        <f t="shared" si="0"/>
        <v>14</v>
      </c>
      <c r="O7" s="1084">
        <f t="shared" si="0"/>
        <v>15</v>
      </c>
      <c r="P7" s="1084">
        <f t="shared" si="0"/>
        <v>16</v>
      </c>
      <c r="Q7" s="1084">
        <f t="shared" si="0"/>
        <v>17</v>
      </c>
      <c r="R7" s="1084">
        <f t="shared" si="0"/>
        <v>18</v>
      </c>
    </row>
    <row r="8" spans="1:27" ht="20.100000000000001" customHeight="1" x14ac:dyDescent="0.2">
      <c r="A8" s="1085"/>
      <c r="B8" s="1086" t="s">
        <v>733</v>
      </c>
      <c r="C8" s="1087">
        <f t="shared" ref="C8" si="1">C9+C48+C67</f>
        <v>88720.745999999999</v>
      </c>
      <c r="D8" s="1087">
        <f t="shared" ref="D8:E8" si="2">D9+D48+D67</f>
        <v>65674.667999999991</v>
      </c>
      <c r="E8" s="1087">
        <f t="shared" si="2"/>
        <v>23046.078000000001</v>
      </c>
      <c r="F8" s="1087">
        <f t="shared" ref="F8:O8" si="3">F9+F48+F67</f>
        <v>239335</v>
      </c>
      <c r="G8" s="1087">
        <f t="shared" ref="G8" si="4">G9+G48+G67</f>
        <v>101696</v>
      </c>
      <c r="H8" s="1087">
        <v>137639</v>
      </c>
      <c r="I8" s="1087">
        <f t="shared" ref="I8:K8" si="5">I9+I48+I67</f>
        <v>237829</v>
      </c>
      <c r="J8" s="1087">
        <f t="shared" si="5"/>
        <v>101696</v>
      </c>
      <c r="K8" s="1087">
        <f t="shared" si="5"/>
        <v>136133</v>
      </c>
      <c r="L8" s="1087">
        <f t="shared" si="3"/>
        <v>14070.780999999999</v>
      </c>
      <c r="M8" s="1087">
        <f t="shared" ref="M8" si="6">M9+M48+M67</f>
        <v>80.288000000000011</v>
      </c>
      <c r="N8" s="1087">
        <f t="shared" ref="N8" si="7">N9+N48+N67</f>
        <v>13990.493000000002</v>
      </c>
      <c r="O8" s="1087">
        <f t="shared" si="3"/>
        <v>93626.256999999983</v>
      </c>
      <c r="P8" s="1087">
        <f t="shared" ref="P8" si="8">P9+P48+P67</f>
        <v>11030.413</v>
      </c>
      <c r="Q8" s="1087">
        <f t="shared" ref="Q8" si="9">Q9+Q48+Q67</f>
        <v>82595.843999999997</v>
      </c>
      <c r="R8" s="1088"/>
      <c r="T8" s="1059">
        <f>P8/J8*100</f>
        <v>10.846457087791064</v>
      </c>
      <c r="U8" s="1059">
        <f>M8/D8*100</f>
        <v>0.12225109383118621</v>
      </c>
      <c r="V8" s="1107" t="e">
        <f>M8/#REF!%</f>
        <v>#REF!</v>
      </c>
    </row>
    <row r="9" spans="1:27" ht="51" customHeight="1" x14ac:dyDescent="0.2">
      <c r="A9" s="1089" t="s">
        <v>24</v>
      </c>
      <c r="B9" s="1090" t="s">
        <v>734</v>
      </c>
      <c r="C9" s="1091">
        <f t="shared" ref="C9" si="10">C10+C15+C16+C23+C28+C35+C36+C37+C38+C41</f>
        <v>67862.997999999992</v>
      </c>
      <c r="D9" s="1091">
        <f t="shared" ref="D9:E9" si="11">D10+D15+D16+D23+D28+D35+D36+D37+D38+D41</f>
        <v>59026.771999999997</v>
      </c>
      <c r="E9" s="1091">
        <f t="shared" si="11"/>
        <v>8836.2260000000006</v>
      </c>
      <c r="F9" s="1091">
        <f t="shared" ref="F9:O9" si="12">F10+F15+F16+F23+F28+F35+F36+F37+F38+F41</f>
        <v>157912</v>
      </c>
      <c r="G9" s="1091">
        <f t="shared" ref="G9" si="13">G10+G15+G16+G23+G28+G35+G36+G37+G38+G41</f>
        <v>66637</v>
      </c>
      <c r="H9" s="1091">
        <v>91275</v>
      </c>
      <c r="I9" s="1091">
        <f t="shared" ref="I9:K9" si="14">I10+I15+I16+I23+I28+I35+I36+I37+I38+I41</f>
        <v>156406</v>
      </c>
      <c r="J9" s="1091">
        <f t="shared" si="14"/>
        <v>66637</v>
      </c>
      <c r="K9" s="1091">
        <f t="shared" si="14"/>
        <v>89769</v>
      </c>
      <c r="L9" s="1091">
        <f t="shared" si="12"/>
        <v>4558.4110000000001</v>
      </c>
      <c r="M9" s="1091">
        <f t="shared" ref="M9" si="15">M10+M15+M16+M23+M28+M35+M36+M37+M38+M41</f>
        <v>80.288000000000011</v>
      </c>
      <c r="N9" s="1091">
        <f t="shared" ref="N9" si="16">N10+N15+N16+N23+N28+N35+N36+N37+N38+N41</f>
        <v>4478.1230000000005</v>
      </c>
      <c r="O9" s="1091">
        <f t="shared" si="12"/>
        <v>55343.262999999999</v>
      </c>
      <c r="P9" s="1091">
        <f t="shared" ref="P9" si="17">P10+P15+P16+P23+P28+P35+P36+P37+P38+P41</f>
        <v>3852.7579999999998</v>
      </c>
      <c r="Q9" s="1091">
        <f t="shared" ref="Q9" si="18">Q10+Q15+Q16+Q23+Q28+Q35+Q36+Q37+Q38+Q41</f>
        <v>51490.505000000005</v>
      </c>
      <c r="R9" s="1092"/>
      <c r="T9" s="1059">
        <f>P9/J9*100</f>
        <v>5.7817098608880952</v>
      </c>
      <c r="U9" s="1059">
        <f>M9/D9*100</f>
        <v>0.13601963529362576</v>
      </c>
      <c r="V9" s="1107" t="e">
        <f>M9/#REF!%</f>
        <v>#REF!</v>
      </c>
    </row>
    <row r="10" spans="1:27" ht="36" customHeight="1" x14ac:dyDescent="0.2">
      <c r="A10" s="1093" t="s">
        <v>15</v>
      </c>
      <c r="B10" s="1090" t="s">
        <v>735</v>
      </c>
      <c r="C10" s="1091">
        <f t="shared" ref="C10" si="19">C11+C12+C13+C14</f>
        <v>2.7040000000000002</v>
      </c>
      <c r="D10" s="1091">
        <f t="shared" ref="D10:E10" si="20">D11+D12+D13+D14</f>
        <v>2.7040000000000002</v>
      </c>
      <c r="E10" s="1091">
        <f t="shared" si="20"/>
        <v>0</v>
      </c>
      <c r="F10" s="1091">
        <f t="shared" ref="F10" si="21">SUM(F11:F14)</f>
        <v>5412</v>
      </c>
      <c r="G10" s="1091">
        <f t="shared" ref="G10" si="22">SUM(G11:G14)</f>
        <v>392</v>
      </c>
      <c r="H10" s="1091">
        <v>5020</v>
      </c>
      <c r="I10" s="1091">
        <f t="shared" ref="I10:K10" si="23">SUM(I11:I14)</f>
        <v>5412</v>
      </c>
      <c r="J10" s="1091">
        <f t="shared" si="23"/>
        <v>392</v>
      </c>
      <c r="K10" s="1091">
        <f t="shared" si="23"/>
        <v>5020</v>
      </c>
      <c r="L10" s="1091">
        <f t="shared" ref="L10:O10" si="24">L11+L12+L13+L14</f>
        <v>0</v>
      </c>
      <c r="M10" s="1091">
        <f t="shared" ref="M10" si="25">M11+M12+M13+M14</f>
        <v>0</v>
      </c>
      <c r="N10" s="1091">
        <f t="shared" ref="N10" si="26">N11+N12+N13+N14</f>
        <v>0</v>
      </c>
      <c r="O10" s="1091">
        <f t="shared" si="24"/>
        <v>1689.27</v>
      </c>
      <c r="P10" s="1091">
        <f t="shared" ref="P10" si="27">P11+P12+P13+P14</f>
        <v>389.9</v>
      </c>
      <c r="Q10" s="1091">
        <f t="shared" ref="Q10" si="28">Q11+Q12+Q13+Q14</f>
        <v>1299.3699999999999</v>
      </c>
      <c r="R10" s="1092"/>
      <c r="U10" s="1111"/>
    </row>
    <row r="11" spans="1:27" ht="20.100000000000001" customHeight="1" x14ac:dyDescent="0.2">
      <c r="A11" s="1094">
        <v>1</v>
      </c>
      <c r="B11" s="1095" t="s">
        <v>736</v>
      </c>
      <c r="C11" s="1096">
        <f>SUM(D11:E11)</f>
        <v>0</v>
      </c>
      <c r="D11" s="1096"/>
      <c r="E11" s="1096"/>
      <c r="F11" s="1096">
        <f>SUM(G11:H11)</f>
        <v>0</v>
      </c>
      <c r="G11" s="1096"/>
      <c r="H11" s="1096"/>
      <c r="I11" s="1096">
        <f>SUM(J11:K11)</f>
        <v>0</v>
      </c>
      <c r="J11" s="1096"/>
      <c r="K11" s="1096"/>
      <c r="L11" s="1096">
        <f>SUM(M11:N11)</f>
        <v>0</v>
      </c>
      <c r="M11" s="1096"/>
      <c r="N11" s="1096"/>
      <c r="O11" s="1096">
        <f>SUM(P11:Q11)</f>
        <v>0</v>
      </c>
      <c r="P11" s="1096"/>
      <c r="Q11" s="1096"/>
      <c r="R11" s="1097"/>
    </row>
    <row r="12" spans="1:27" ht="20.100000000000001" customHeight="1" x14ac:dyDescent="0.2">
      <c r="A12" s="1094">
        <v>2</v>
      </c>
      <c r="B12" s="1095" t="s">
        <v>737</v>
      </c>
      <c r="C12" s="1096">
        <f>SUM(D12:E12)</f>
        <v>0</v>
      </c>
      <c r="D12" s="1096"/>
      <c r="E12" s="1096"/>
      <c r="F12" s="1096">
        <f t="shared" ref="F12:F14" si="29">SUM(G12:H12)</f>
        <v>0</v>
      </c>
      <c r="G12" s="1096"/>
      <c r="H12" s="1096"/>
      <c r="I12" s="1096">
        <f t="shared" ref="I12:I14" si="30">SUM(J12:K12)</f>
        <v>0</v>
      </c>
      <c r="J12" s="1096"/>
      <c r="K12" s="1096"/>
      <c r="L12" s="1096">
        <f>SUM(M12:N12)</f>
        <v>0</v>
      </c>
      <c r="M12" s="1096"/>
      <c r="N12" s="1096"/>
      <c r="O12" s="1096">
        <f>SUM(P12:Q12)</f>
        <v>0</v>
      </c>
      <c r="P12" s="1096"/>
      <c r="Q12" s="1096"/>
      <c r="R12" s="1097"/>
    </row>
    <row r="13" spans="1:27" ht="20.100000000000001" customHeight="1" x14ac:dyDescent="0.2">
      <c r="A13" s="1094">
        <v>3</v>
      </c>
      <c r="B13" s="1095" t="s">
        <v>738</v>
      </c>
      <c r="C13" s="1096">
        <f>SUM(D13:E13)</f>
        <v>2.7040000000000002</v>
      </c>
      <c r="D13" s="1096">
        <v>2.7040000000000002</v>
      </c>
      <c r="E13" s="1096"/>
      <c r="F13" s="1096">
        <f t="shared" si="29"/>
        <v>242</v>
      </c>
      <c r="G13" s="1096">
        <v>242</v>
      </c>
      <c r="H13" s="1096"/>
      <c r="I13" s="1096">
        <f t="shared" si="30"/>
        <v>242</v>
      </c>
      <c r="J13" s="1096">
        <v>242</v>
      </c>
      <c r="K13" s="1096"/>
      <c r="L13" s="1096">
        <f>SUM(M13:N13)</f>
        <v>0</v>
      </c>
      <c r="M13" s="1096"/>
      <c r="N13" s="1096"/>
      <c r="O13" s="1096">
        <f>SUM(P13:Q13)</f>
        <v>239.9</v>
      </c>
      <c r="P13" s="1096">
        <v>239.9</v>
      </c>
      <c r="Q13" s="1096"/>
      <c r="R13" s="1097"/>
    </row>
    <row r="14" spans="1:27" ht="20.100000000000001" customHeight="1" x14ac:dyDescent="0.2">
      <c r="A14" s="1094">
        <v>4</v>
      </c>
      <c r="B14" s="1095" t="s">
        <v>739</v>
      </c>
      <c r="C14" s="1096">
        <f>SUM(D14:E14)</f>
        <v>0</v>
      </c>
      <c r="D14" s="1096"/>
      <c r="E14" s="1096"/>
      <c r="F14" s="1096">
        <f t="shared" si="29"/>
        <v>5170</v>
      </c>
      <c r="G14" s="1096">
        <v>150</v>
      </c>
      <c r="H14" s="1096">
        <v>5020</v>
      </c>
      <c r="I14" s="1096">
        <f t="shared" si="30"/>
        <v>5170</v>
      </c>
      <c r="J14" s="1096">
        <v>150</v>
      </c>
      <c r="K14" s="1096">
        <v>5020</v>
      </c>
      <c r="L14" s="1096">
        <f>SUM(M14:N14)</f>
        <v>0</v>
      </c>
      <c r="M14" s="1096"/>
      <c r="N14" s="1096"/>
      <c r="O14" s="1096">
        <f>SUM(P14:Q14)</f>
        <v>1449.37</v>
      </c>
      <c r="P14" s="1096">
        <v>150</v>
      </c>
      <c r="Q14" s="1096">
        <f>MTQG!N59</f>
        <v>1299.3699999999999</v>
      </c>
      <c r="R14" s="1097"/>
    </row>
    <row r="15" spans="1:27" ht="36" customHeight="1" x14ac:dyDescent="0.2">
      <c r="A15" s="1098" t="s">
        <v>25</v>
      </c>
      <c r="B15" s="1099" t="s">
        <v>740</v>
      </c>
      <c r="C15" s="1100">
        <f>SUM(D15:E15)</f>
        <v>0</v>
      </c>
      <c r="D15" s="1100"/>
      <c r="E15" s="1100"/>
      <c r="F15" s="1100">
        <f>SUM(G15:H15)</f>
        <v>4688</v>
      </c>
      <c r="G15" s="1100"/>
      <c r="H15" s="1100">
        <v>4688</v>
      </c>
      <c r="I15" s="1100">
        <f>SUM(J15:K15)</f>
        <v>4688</v>
      </c>
      <c r="J15" s="1100"/>
      <c r="K15" s="1100">
        <v>4688</v>
      </c>
      <c r="L15" s="1100">
        <f>SUM(M15:N15)</f>
        <v>0</v>
      </c>
      <c r="M15" s="1100"/>
      <c r="N15" s="1100"/>
      <c r="O15" s="1100">
        <f>SUM(P15:Q15)</f>
        <v>1621.587</v>
      </c>
      <c r="P15" s="1100"/>
      <c r="Q15" s="1100">
        <f>MTQG!N66</f>
        <v>1621.587</v>
      </c>
      <c r="R15" s="1101"/>
    </row>
    <row r="16" spans="1:27" ht="50.1" customHeight="1" x14ac:dyDescent="0.2">
      <c r="A16" s="1098" t="s">
        <v>559</v>
      </c>
      <c r="B16" s="1099" t="s">
        <v>741</v>
      </c>
      <c r="C16" s="1100">
        <f t="shared" ref="C16" si="31">C17+C18+C22</f>
        <v>52251.902000000002</v>
      </c>
      <c r="D16" s="1100">
        <f t="shared" ref="D16:E16" si="32">D17+D18+D22</f>
        <v>50438.902000000002</v>
      </c>
      <c r="E16" s="1100">
        <f t="shared" si="32"/>
        <v>1813</v>
      </c>
      <c r="F16" s="1100">
        <f t="shared" ref="F16:O16" si="33">F17+F18+F22</f>
        <v>22184</v>
      </c>
      <c r="G16" s="1100">
        <f t="shared" ref="G16:I16" si="34">G17+G18+G22</f>
        <v>19755</v>
      </c>
      <c r="H16" s="1100">
        <f t="shared" si="34"/>
        <v>2429</v>
      </c>
      <c r="I16" s="1100">
        <f t="shared" si="34"/>
        <v>22184</v>
      </c>
      <c r="J16" s="1100">
        <f t="shared" ref="J16:K16" si="35">J17+J18+J22</f>
        <v>19755</v>
      </c>
      <c r="K16" s="1100">
        <f t="shared" si="35"/>
        <v>2429</v>
      </c>
      <c r="L16" s="1100">
        <f t="shared" si="33"/>
        <v>0</v>
      </c>
      <c r="M16" s="1100">
        <f t="shared" ref="M16" si="36">M17+M18+M22</f>
        <v>0</v>
      </c>
      <c r="N16" s="1100">
        <f t="shared" ref="N16" si="37">N17+N18+N22</f>
        <v>0</v>
      </c>
      <c r="O16" s="1100">
        <f t="shared" si="33"/>
        <v>1337.4769999999999</v>
      </c>
      <c r="P16" s="1100">
        <f t="shared" ref="P16" si="38">P17+P18+P22</f>
        <v>1337.4769999999999</v>
      </c>
      <c r="Q16" s="1100">
        <f t="shared" ref="Q16" si="39">Q17+Q18+Q22</f>
        <v>0</v>
      </c>
      <c r="R16" s="1101"/>
    </row>
    <row r="17" spans="1:18" ht="36" customHeight="1" x14ac:dyDescent="0.2">
      <c r="A17" s="1094">
        <v>1</v>
      </c>
      <c r="B17" s="1095" t="s">
        <v>742</v>
      </c>
      <c r="C17" s="1096">
        <f>SUM(D17:E17)</f>
        <v>45009.902000000002</v>
      </c>
      <c r="D17" s="1096">
        <v>45009.902000000002</v>
      </c>
      <c r="E17" s="1096"/>
      <c r="F17" s="1096">
        <f t="shared" ref="F17:F21" si="40">SUM(G17:H17)</f>
        <v>4800</v>
      </c>
      <c r="G17" s="1096">
        <v>4800</v>
      </c>
      <c r="H17" s="1096"/>
      <c r="I17" s="1096">
        <f t="shared" ref="I17" si="41">SUM(J17:K17)</f>
        <v>4800</v>
      </c>
      <c r="J17" s="1096">
        <v>4800</v>
      </c>
      <c r="K17" s="1096"/>
      <c r="L17" s="1096">
        <f>SUM(M17:N17)</f>
        <v>0</v>
      </c>
      <c r="M17" s="1096"/>
      <c r="N17" s="1096"/>
      <c r="O17" s="1096">
        <f>SUM(P17:Q17)</f>
        <v>840</v>
      </c>
      <c r="P17" s="1096">
        <v>840</v>
      </c>
      <c r="Q17" s="1096"/>
      <c r="R17" s="1097"/>
    </row>
    <row r="18" spans="1:18" ht="50.1" customHeight="1" x14ac:dyDescent="0.2">
      <c r="A18" s="1094">
        <v>2</v>
      </c>
      <c r="B18" s="1095" t="s">
        <v>743</v>
      </c>
      <c r="C18" s="1096">
        <f t="shared" ref="C18" si="42">SUM(C19:C21)</f>
        <v>7242</v>
      </c>
      <c r="D18" s="1096">
        <f t="shared" ref="D18" si="43">SUM(D19:D21)</f>
        <v>5429</v>
      </c>
      <c r="E18" s="1096">
        <v>1813</v>
      </c>
      <c r="F18" s="1096">
        <f t="shared" ref="F18:O18" si="44">SUM(F19:F21)</f>
        <v>17384</v>
      </c>
      <c r="G18" s="1096">
        <f t="shared" ref="G18" si="45">SUM(G19:G21)</f>
        <v>14955</v>
      </c>
      <c r="H18" s="1096">
        <v>2429</v>
      </c>
      <c r="I18" s="1096">
        <f t="shared" ref="I18:J18" si="46">SUM(I19:I21)</f>
        <v>17384</v>
      </c>
      <c r="J18" s="1096">
        <f t="shared" si="46"/>
        <v>14955</v>
      </c>
      <c r="K18" s="1096">
        <v>2429</v>
      </c>
      <c r="L18" s="1096">
        <f t="shared" si="44"/>
        <v>0</v>
      </c>
      <c r="M18" s="1096">
        <f t="shared" ref="M18" si="47">SUM(M19:M21)</f>
        <v>0</v>
      </c>
      <c r="N18" s="1096">
        <f t="shared" ref="N18" si="48">SUM(N19:N21)</f>
        <v>0</v>
      </c>
      <c r="O18" s="1096">
        <f t="shared" si="44"/>
        <v>497.47699999999998</v>
      </c>
      <c r="P18" s="1096">
        <f t="shared" ref="P18" si="49">SUM(P19:P21)</f>
        <v>497.47699999999998</v>
      </c>
      <c r="Q18" s="1096">
        <f t="shared" ref="Q18" si="50">SUM(Q19:Q21)</f>
        <v>0</v>
      </c>
      <c r="R18" s="1097"/>
    </row>
    <row r="19" spans="1:18" ht="20.100000000000001" customHeight="1" x14ac:dyDescent="0.2">
      <c r="A19" s="1094" t="s">
        <v>744</v>
      </c>
      <c r="B19" s="1095" t="s">
        <v>745</v>
      </c>
      <c r="C19" s="1096">
        <f>SUM(D19:E19)</f>
        <v>1056</v>
      </c>
      <c r="D19" s="1096">
        <v>1056</v>
      </c>
      <c r="E19" s="1096"/>
      <c r="F19" s="1096">
        <f t="shared" si="40"/>
        <v>10900</v>
      </c>
      <c r="G19" s="1096">
        <v>10900</v>
      </c>
      <c r="H19" s="1096"/>
      <c r="I19" s="1096">
        <f t="shared" ref="I19:I21" si="51">SUM(J19:K19)</f>
        <v>10900</v>
      </c>
      <c r="J19" s="1096">
        <v>10900</v>
      </c>
      <c r="K19" s="1096"/>
      <c r="L19" s="1096">
        <f>SUM(M19:N19)</f>
        <v>0</v>
      </c>
      <c r="M19" s="1096"/>
      <c r="N19" s="1096"/>
      <c r="O19" s="1096">
        <f>SUM(P19:Q19)</f>
        <v>497.47699999999998</v>
      </c>
      <c r="P19" s="1096">
        <v>497.47699999999998</v>
      </c>
      <c r="Q19" s="1096"/>
      <c r="R19" s="1097"/>
    </row>
    <row r="20" spans="1:18" ht="20.100000000000001" customHeight="1" x14ac:dyDescent="0.2">
      <c r="A20" s="1094" t="s">
        <v>746</v>
      </c>
      <c r="B20" s="1095" t="s">
        <v>747</v>
      </c>
      <c r="C20" s="1096">
        <f>SUM(D20:E20)</f>
        <v>6186</v>
      </c>
      <c r="D20" s="1096">
        <v>4373</v>
      </c>
      <c r="E20" s="1096">
        <v>1813</v>
      </c>
      <c r="F20" s="1096">
        <f t="shared" si="40"/>
        <v>6484</v>
      </c>
      <c r="G20" s="1096">
        <v>4055</v>
      </c>
      <c r="H20" s="1096">
        <v>2429</v>
      </c>
      <c r="I20" s="1096">
        <f t="shared" si="51"/>
        <v>6484</v>
      </c>
      <c r="J20" s="1096">
        <v>4055</v>
      </c>
      <c r="K20" s="1096">
        <v>2429</v>
      </c>
      <c r="L20" s="1096">
        <f>SUM(M20:N20)</f>
        <v>0</v>
      </c>
      <c r="M20" s="1096"/>
      <c r="N20" s="1096"/>
      <c r="O20" s="1096">
        <f>SUM(P20:Q20)</f>
        <v>0</v>
      </c>
      <c r="P20" s="1096"/>
      <c r="Q20" s="1096"/>
      <c r="R20" s="1097"/>
    </row>
    <row r="21" spans="1:18" ht="36" customHeight="1" x14ac:dyDescent="0.2">
      <c r="A21" s="1094" t="s">
        <v>748</v>
      </c>
      <c r="B21" s="1095" t="s">
        <v>749</v>
      </c>
      <c r="C21" s="1096">
        <f>SUM(D21:E21)</f>
        <v>0</v>
      </c>
      <c r="D21" s="1096"/>
      <c r="E21" s="1096"/>
      <c r="F21" s="1096">
        <f t="shared" si="40"/>
        <v>0</v>
      </c>
      <c r="G21" s="1096"/>
      <c r="H21" s="1096"/>
      <c r="I21" s="1096">
        <f t="shared" si="51"/>
        <v>0</v>
      </c>
      <c r="J21" s="1096"/>
      <c r="K21" s="1096"/>
      <c r="L21" s="1096">
        <f>SUM(M21:N21)</f>
        <v>0</v>
      </c>
      <c r="M21" s="1096"/>
      <c r="N21" s="1096"/>
      <c r="O21" s="1096">
        <f>SUM(P21:Q21)</f>
        <v>0</v>
      </c>
      <c r="P21" s="1096"/>
      <c r="Q21" s="1096"/>
      <c r="R21" s="1097"/>
    </row>
    <row r="22" spans="1:18" ht="36" customHeight="1" x14ac:dyDescent="0.2">
      <c r="A22" s="1094">
        <v>3</v>
      </c>
      <c r="B22" s="1095" t="s">
        <v>750</v>
      </c>
      <c r="C22" s="1096">
        <f>SUM(D22:E22)</f>
        <v>0</v>
      </c>
      <c r="D22" s="1096"/>
      <c r="E22" s="1096"/>
      <c r="F22" s="1096">
        <f>SUM(G22:H22)</f>
        <v>0</v>
      </c>
      <c r="G22" s="1096"/>
      <c r="H22" s="1096"/>
      <c r="I22" s="1096">
        <f>SUM(J22:K22)</f>
        <v>0</v>
      </c>
      <c r="J22" s="1096"/>
      <c r="K22" s="1096"/>
      <c r="L22" s="1096">
        <f>SUM(M22:N22)</f>
        <v>0</v>
      </c>
      <c r="M22" s="1096"/>
      <c r="N22" s="1096"/>
      <c r="O22" s="1096">
        <f>SUM(P22:Q22)</f>
        <v>0</v>
      </c>
      <c r="P22" s="1096"/>
      <c r="Q22" s="1096"/>
      <c r="R22" s="1097"/>
    </row>
    <row r="23" spans="1:18" ht="50.1" customHeight="1" x14ac:dyDescent="0.2">
      <c r="A23" s="1098" t="s">
        <v>751</v>
      </c>
      <c r="B23" s="1099" t="s">
        <v>752</v>
      </c>
      <c r="C23" s="1100">
        <f t="shared" ref="C23" si="52">C24+C27</f>
        <v>4737.4229999999998</v>
      </c>
      <c r="D23" s="1100">
        <f t="shared" ref="D23:E23" si="53">D24+D27</f>
        <v>0</v>
      </c>
      <c r="E23" s="1100">
        <f t="shared" si="53"/>
        <v>4737.4229999999998</v>
      </c>
      <c r="F23" s="1100">
        <f t="shared" ref="F23" si="54">F24+F27</f>
        <v>51208</v>
      </c>
      <c r="G23" s="1100">
        <f t="shared" ref="G23" si="55">G24+G27</f>
        <v>3348</v>
      </c>
      <c r="H23" s="1100">
        <v>47860</v>
      </c>
      <c r="I23" s="1100">
        <f t="shared" ref="I23:K23" si="56">I24+I27</f>
        <v>51208</v>
      </c>
      <c r="J23" s="1100">
        <f t="shared" si="56"/>
        <v>3348</v>
      </c>
      <c r="K23" s="1100">
        <f t="shared" si="56"/>
        <v>47860</v>
      </c>
      <c r="L23" s="1100">
        <f t="shared" ref="L23:O23" si="57">L24+L27</f>
        <v>3568.0249999999996</v>
      </c>
      <c r="M23" s="1100">
        <f t="shared" ref="M23" si="58">M24+M27</f>
        <v>0</v>
      </c>
      <c r="N23" s="1100">
        <f t="shared" ref="N23" si="59">N24+N27</f>
        <v>3568.0249999999996</v>
      </c>
      <c r="O23" s="1100">
        <f t="shared" si="57"/>
        <v>31087.010999999999</v>
      </c>
      <c r="P23" s="1100">
        <f t="shared" ref="P23" si="60">P24+P27</f>
        <v>0</v>
      </c>
      <c r="Q23" s="1100">
        <f t="shared" ref="Q23" si="61">Q24+Q27</f>
        <v>31087.010999999999</v>
      </c>
      <c r="R23" s="1101"/>
    </row>
    <row r="24" spans="1:18" ht="36" customHeight="1" x14ac:dyDescent="0.2">
      <c r="A24" s="1094">
        <v>1</v>
      </c>
      <c r="B24" s="1095" t="s">
        <v>753</v>
      </c>
      <c r="C24" s="1096">
        <f t="shared" ref="C24" si="62">SUM(C25:C26)</f>
        <v>4737.4229999999998</v>
      </c>
      <c r="D24" s="1096">
        <f t="shared" ref="D24:E24" si="63">SUM(D25:D26)</f>
        <v>0</v>
      </c>
      <c r="E24" s="1096">
        <f t="shared" si="63"/>
        <v>4737.4229999999998</v>
      </c>
      <c r="F24" s="1096">
        <f t="shared" ref="F24:O24" si="64">SUM(F25:F26)</f>
        <v>51208</v>
      </c>
      <c r="G24" s="1096">
        <f>G25+G26</f>
        <v>3348</v>
      </c>
      <c r="H24" s="1096">
        <v>47860</v>
      </c>
      <c r="I24" s="1096">
        <f t="shared" ref="I24" si="65">SUM(I25:I26)</f>
        <v>51208</v>
      </c>
      <c r="J24" s="1096">
        <f>J25+J26</f>
        <v>3348</v>
      </c>
      <c r="K24" s="1096">
        <v>47860</v>
      </c>
      <c r="L24" s="1096">
        <f t="shared" si="64"/>
        <v>3568.0249999999996</v>
      </c>
      <c r="M24" s="1096">
        <f t="shared" ref="M24" si="66">SUM(M25:M26)</f>
        <v>0</v>
      </c>
      <c r="N24" s="1096">
        <f t="shared" ref="N24" si="67">SUM(N25:N26)</f>
        <v>3568.0249999999996</v>
      </c>
      <c r="O24" s="1096">
        <f t="shared" si="64"/>
        <v>31087.010999999999</v>
      </c>
      <c r="P24" s="1096">
        <f t="shared" ref="P24" si="68">SUM(P25:P26)</f>
        <v>0</v>
      </c>
      <c r="Q24" s="1096">
        <f t="shared" ref="Q24" si="69">SUM(Q25:Q26)</f>
        <v>31087.010999999999</v>
      </c>
      <c r="R24" s="1097"/>
    </row>
    <row r="25" spans="1:18" ht="50.1" customHeight="1" x14ac:dyDescent="0.2">
      <c r="A25" s="1094" t="s">
        <v>744</v>
      </c>
      <c r="B25" s="1095" t="s">
        <v>754</v>
      </c>
      <c r="C25" s="1096">
        <f>SUM(D25:E25)</f>
        <v>4737.4229999999998</v>
      </c>
      <c r="D25" s="1096"/>
      <c r="E25" s="1096">
        <v>4737.4229999999998</v>
      </c>
      <c r="F25" s="1096">
        <f t="shared" ref="F25:F40" si="70">SUM(G25:H25)</f>
        <v>51208</v>
      </c>
      <c r="G25" s="1096">
        <v>3348</v>
      </c>
      <c r="H25" s="1096">
        <v>47860</v>
      </c>
      <c r="I25" s="1096">
        <f t="shared" ref="I25:I27" si="71">SUM(J25:K25)</f>
        <v>51208</v>
      </c>
      <c r="J25" s="1096">
        <v>3348</v>
      </c>
      <c r="K25" s="1096">
        <v>47860</v>
      </c>
      <c r="L25" s="1096">
        <f>SUM(M25:N25)</f>
        <v>3568.0249999999996</v>
      </c>
      <c r="M25" s="1096"/>
      <c r="N25" s="1096">
        <f>MTQG!Q72</f>
        <v>3568.0249999999996</v>
      </c>
      <c r="O25" s="1096">
        <f>SUM(P25:Q25)</f>
        <v>31087.010999999999</v>
      </c>
      <c r="P25" s="1096"/>
      <c r="Q25" s="1096">
        <f>MTQG!N72</f>
        <v>31087.010999999999</v>
      </c>
      <c r="R25" s="1097"/>
    </row>
    <row r="26" spans="1:18" ht="36" customHeight="1" x14ac:dyDescent="0.2">
      <c r="A26" s="1094" t="s">
        <v>746</v>
      </c>
      <c r="B26" s="1095" t="s">
        <v>755</v>
      </c>
      <c r="C26" s="1096">
        <f>SUM(D26:E26)</f>
        <v>0</v>
      </c>
      <c r="D26" s="1096"/>
      <c r="E26" s="1096"/>
      <c r="F26" s="1096">
        <f t="shared" si="70"/>
        <v>0</v>
      </c>
      <c r="G26" s="1096"/>
      <c r="H26" s="1096"/>
      <c r="I26" s="1096">
        <f t="shared" si="71"/>
        <v>0</v>
      </c>
      <c r="J26" s="1096"/>
      <c r="K26" s="1096"/>
      <c r="L26" s="1096">
        <f>SUM(M26:N26)</f>
        <v>0</v>
      </c>
      <c r="M26" s="1096"/>
      <c r="N26" s="1096"/>
      <c r="O26" s="1096">
        <f>SUM(P26:Q26)</f>
        <v>0</v>
      </c>
      <c r="P26" s="1096"/>
      <c r="Q26" s="1096"/>
      <c r="R26" s="1097"/>
    </row>
    <row r="27" spans="1:18" ht="36" customHeight="1" x14ac:dyDescent="0.2">
      <c r="A27" s="1094">
        <v>2</v>
      </c>
      <c r="B27" s="1095" t="s">
        <v>756</v>
      </c>
      <c r="C27" s="1096">
        <f>SUM(D27:E27)</f>
        <v>0</v>
      </c>
      <c r="D27" s="1096"/>
      <c r="E27" s="1096"/>
      <c r="F27" s="1096">
        <f t="shared" si="70"/>
        <v>0</v>
      </c>
      <c r="G27" s="1096"/>
      <c r="H27" s="1096"/>
      <c r="I27" s="1096">
        <f t="shared" si="71"/>
        <v>0</v>
      </c>
      <c r="J27" s="1096"/>
      <c r="K27" s="1096"/>
      <c r="L27" s="1096">
        <f>SUM(M27:N27)</f>
        <v>0</v>
      </c>
      <c r="M27" s="1096"/>
      <c r="N27" s="1096"/>
      <c r="O27" s="1096">
        <f>SUM(P27:Q27)</f>
        <v>0</v>
      </c>
      <c r="P27" s="1096"/>
      <c r="Q27" s="1096"/>
      <c r="R27" s="1097"/>
    </row>
    <row r="28" spans="1:18" ht="36" customHeight="1" x14ac:dyDescent="0.2">
      <c r="A28" s="1098" t="s">
        <v>757</v>
      </c>
      <c r="B28" s="1099" t="s">
        <v>758</v>
      </c>
      <c r="C28" s="1100">
        <f t="shared" ref="C28" si="72">C29+C30+C33+C34</f>
        <v>725.90100000000007</v>
      </c>
      <c r="D28" s="1100">
        <f t="shared" ref="D28:E28" si="73">D29+D30+D33+D34</f>
        <v>507.41600000000017</v>
      </c>
      <c r="E28" s="1100">
        <f t="shared" si="73"/>
        <v>218.4849999999999</v>
      </c>
      <c r="F28" s="1100">
        <f t="shared" ref="F28:O28" si="74">F29+F30+F33+F34</f>
        <v>13588</v>
      </c>
      <c r="G28" s="1100">
        <f t="shared" ref="G28" si="75">G29+G30+G33+G34</f>
        <v>8706</v>
      </c>
      <c r="H28" s="1100">
        <v>4882</v>
      </c>
      <c r="I28" s="1100">
        <f t="shared" ref="I28:K28" si="76">I29+I30+I33+I34</f>
        <v>13588</v>
      </c>
      <c r="J28" s="1100">
        <f t="shared" si="76"/>
        <v>8706</v>
      </c>
      <c r="K28" s="1100">
        <f t="shared" si="76"/>
        <v>4882</v>
      </c>
      <c r="L28" s="1100">
        <f t="shared" si="74"/>
        <v>218.48500000000001</v>
      </c>
      <c r="M28" s="1100">
        <f t="shared" ref="M28" si="77">M29+M30+M33+M34</f>
        <v>0</v>
      </c>
      <c r="N28" s="1100">
        <f t="shared" ref="N28" si="78">N29+N30+N33+N34</f>
        <v>218.48500000000001</v>
      </c>
      <c r="O28" s="1100">
        <f t="shared" si="74"/>
        <v>4691.3580000000002</v>
      </c>
      <c r="P28" s="1100">
        <f t="shared" ref="P28" si="79">P29+P30+P33+P34</f>
        <v>1061.635</v>
      </c>
      <c r="Q28" s="1100">
        <f t="shared" ref="Q28" si="80">Q29+Q30+Q33+Q34</f>
        <v>3629.723</v>
      </c>
      <c r="R28" s="1101"/>
    </row>
    <row r="29" spans="1:18" ht="65.25" customHeight="1" x14ac:dyDescent="0.2">
      <c r="A29" s="1094">
        <v>1</v>
      </c>
      <c r="B29" s="1095" t="s">
        <v>759</v>
      </c>
      <c r="C29" s="1096">
        <f>SUM(D29:E29)</f>
        <v>341.31999999999994</v>
      </c>
      <c r="D29" s="1096">
        <v>122.83500000000004</v>
      </c>
      <c r="E29" s="1096">
        <v>218.4849999999999</v>
      </c>
      <c r="F29" s="1096">
        <f t="shared" si="70"/>
        <v>6977</v>
      </c>
      <c r="G29" s="1096">
        <v>2095</v>
      </c>
      <c r="H29" s="1096">
        <v>4882</v>
      </c>
      <c r="I29" s="1096">
        <f t="shared" ref="I29" si="81">SUM(J29:K29)</f>
        <v>6977</v>
      </c>
      <c r="J29" s="1096">
        <v>2095</v>
      </c>
      <c r="K29" s="1096">
        <v>4882</v>
      </c>
      <c r="L29" s="1096">
        <f>SUM(M29:N29)</f>
        <v>218.48500000000001</v>
      </c>
      <c r="M29" s="1096"/>
      <c r="N29" s="1096">
        <f>MTQG!Q99</f>
        <v>218.48500000000001</v>
      </c>
      <c r="O29" s="1096">
        <f>SUM(P29:Q29)</f>
        <v>3756.9830000000002</v>
      </c>
      <c r="P29" s="1096">
        <v>127.26</v>
      </c>
      <c r="Q29" s="1096">
        <f>MTQG!N99</f>
        <v>3629.723</v>
      </c>
      <c r="R29" s="1097"/>
    </row>
    <row r="30" spans="1:18" ht="50.1" customHeight="1" x14ac:dyDescent="0.2">
      <c r="A30" s="1094">
        <v>2</v>
      </c>
      <c r="B30" s="1095" t="s">
        <v>760</v>
      </c>
      <c r="C30" s="1096">
        <f t="shared" ref="C30" si="82">SUM(C31:C32)</f>
        <v>327</v>
      </c>
      <c r="D30" s="1096">
        <f t="shared" ref="D30" si="83">SUM(D31:D32)</f>
        <v>327</v>
      </c>
      <c r="E30" s="1096">
        <v>0</v>
      </c>
      <c r="F30" s="1096">
        <f t="shared" ref="F30:O30" si="84">SUM(F31:F32)</f>
        <v>862</v>
      </c>
      <c r="G30" s="1096">
        <f t="shared" ref="G30" si="85">SUM(G31:G32)</f>
        <v>862</v>
      </c>
      <c r="H30" s="1096">
        <v>0</v>
      </c>
      <c r="I30" s="1096">
        <f t="shared" ref="I30:J30" si="86">SUM(I31:I32)</f>
        <v>862</v>
      </c>
      <c r="J30" s="1096">
        <f t="shared" si="86"/>
        <v>862</v>
      </c>
      <c r="K30" s="1096">
        <v>0</v>
      </c>
      <c r="L30" s="1096">
        <f t="shared" si="84"/>
        <v>0</v>
      </c>
      <c r="M30" s="1096">
        <f t="shared" ref="M30" si="87">SUM(M31:M32)</f>
        <v>0</v>
      </c>
      <c r="N30" s="1096">
        <f t="shared" ref="N30" si="88">SUM(N31:N32)</f>
        <v>0</v>
      </c>
      <c r="O30" s="1096">
        <f t="shared" si="84"/>
        <v>0</v>
      </c>
      <c r="P30" s="1096">
        <f t="shared" ref="P30" si="89">SUM(P31:P32)</f>
        <v>0</v>
      </c>
      <c r="Q30" s="1096">
        <f t="shared" ref="Q30" si="90">SUM(Q31:Q32)</f>
        <v>0</v>
      </c>
      <c r="R30" s="1097"/>
    </row>
    <row r="31" spans="1:18" ht="20.100000000000001" customHeight="1" x14ac:dyDescent="0.2">
      <c r="A31" s="1094" t="s">
        <v>744</v>
      </c>
      <c r="B31" s="1095" t="s">
        <v>761</v>
      </c>
      <c r="C31" s="1096">
        <f t="shared" ref="C31:C37" si="91">SUM(D31:E31)</f>
        <v>327</v>
      </c>
      <c r="D31" s="1096">
        <v>327</v>
      </c>
      <c r="E31" s="1096"/>
      <c r="F31" s="1096">
        <f t="shared" si="70"/>
        <v>862</v>
      </c>
      <c r="G31" s="1096">
        <v>862</v>
      </c>
      <c r="H31" s="1096"/>
      <c r="I31" s="1096">
        <f t="shared" ref="I31:I37" si="92">SUM(J31:K31)</f>
        <v>862</v>
      </c>
      <c r="J31" s="1096">
        <v>862</v>
      </c>
      <c r="K31" s="1096"/>
      <c r="L31" s="1096">
        <f t="shared" ref="L31:L37" si="93">SUM(M31:N31)</f>
        <v>0</v>
      </c>
      <c r="M31" s="1096"/>
      <c r="N31" s="1096"/>
      <c r="O31" s="1096">
        <f t="shared" ref="O31:O37" si="94">SUM(P31:Q31)</f>
        <v>0</v>
      </c>
      <c r="P31" s="1096"/>
      <c r="Q31" s="1096"/>
      <c r="R31" s="1097"/>
    </row>
    <row r="32" spans="1:18" ht="20.100000000000001" customHeight="1" x14ac:dyDescent="0.2">
      <c r="A32" s="1094" t="s">
        <v>746</v>
      </c>
      <c r="B32" s="1095" t="s">
        <v>762</v>
      </c>
      <c r="C32" s="1096">
        <f t="shared" si="91"/>
        <v>0</v>
      </c>
      <c r="D32" s="1096"/>
      <c r="E32" s="1096"/>
      <c r="F32" s="1096">
        <f t="shared" si="70"/>
        <v>0</v>
      </c>
      <c r="G32" s="1096"/>
      <c r="H32" s="1096"/>
      <c r="I32" s="1096">
        <f t="shared" si="92"/>
        <v>0</v>
      </c>
      <c r="J32" s="1096"/>
      <c r="K32" s="1096"/>
      <c r="L32" s="1096">
        <f t="shared" si="93"/>
        <v>0</v>
      </c>
      <c r="M32" s="1096"/>
      <c r="N32" s="1096"/>
      <c r="O32" s="1096">
        <f t="shared" si="94"/>
        <v>0</v>
      </c>
      <c r="P32" s="1096"/>
      <c r="Q32" s="1096"/>
      <c r="R32" s="1097"/>
    </row>
    <row r="33" spans="1:21" ht="36" customHeight="1" x14ac:dyDescent="0.2">
      <c r="A33" s="1094">
        <v>3</v>
      </c>
      <c r="B33" s="1095" t="s">
        <v>763</v>
      </c>
      <c r="C33" s="1096">
        <f t="shared" si="91"/>
        <v>57.581000000000131</v>
      </c>
      <c r="D33" s="1096">
        <v>57.581000000000131</v>
      </c>
      <c r="E33" s="1096"/>
      <c r="F33" s="1096">
        <f t="shared" si="70"/>
        <v>5749</v>
      </c>
      <c r="G33" s="1096">
        <v>5749</v>
      </c>
      <c r="H33" s="1096"/>
      <c r="I33" s="1096">
        <f t="shared" si="92"/>
        <v>5749</v>
      </c>
      <c r="J33" s="1096">
        <v>5749</v>
      </c>
      <c r="K33" s="1096"/>
      <c r="L33" s="1096">
        <f t="shared" si="93"/>
        <v>0</v>
      </c>
      <c r="M33" s="1096"/>
      <c r="N33" s="1096"/>
      <c r="O33" s="1096">
        <f t="shared" si="94"/>
        <v>934.375</v>
      </c>
      <c r="P33" s="1096">
        <v>934.375</v>
      </c>
      <c r="Q33" s="1096"/>
      <c r="R33" s="1097"/>
    </row>
    <row r="34" spans="1:21" ht="36" customHeight="1" x14ac:dyDescent="0.2">
      <c r="A34" s="1094">
        <v>4</v>
      </c>
      <c r="B34" s="1095" t="s">
        <v>764</v>
      </c>
      <c r="C34" s="1096">
        <f t="shared" si="91"/>
        <v>0</v>
      </c>
      <c r="D34" s="1096"/>
      <c r="E34" s="1096"/>
      <c r="F34" s="1096">
        <f t="shared" si="70"/>
        <v>0</v>
      </c>
      <c r="G34" s="1096"/>
      <c r="H34" s="1096"/>
      <c r="I34" s="1096">
        <f t="shared" si="92"/>
        <v>0</v>
      </c>
      <c r="J34" s="1096"/>
      <c r="K34" s="1096"/>
      <c r="L34" s="1096">
        <f t="shared" si="93"/>
        <v>0</v>
      </c>
      <c r="M34" s="1096"/>
      <c r="N34" s="1096"/>
      <c r="O34" s="1096">
        <f t="shared" si="94"/>
        <v>0</v>
      </c>
      <c r="P34" s="1096"/>
      <c r="Q34" s="1096"/>
      <c r="R34" s="1097"/>
    </row>
    <row r="35" spans="1:21" ht="36" customHeight="1" x14ac:dyDescent="0.2">
      <c r="A35" s="1098" t="s">
        <v>765</v>
      </c>
      <c r="B35" s="1099" t="s">
        <v>766</v>
      </c>
      <c r="C35" s="1100">
        <f t="shared" si="91"/>
        <v>2252.35</v>
      </c>
      <c r="D35" s="1100">
        <v>294.75</v>
      </c>
      <c r="E35" s="1100">
        <v>1957.6</v>
      </c>
      <c r="F35" s="1100">
        <f t="shared" si="70"/>
        <v>3844</v>
      </c>
      <c r="G35" s="1100"/>
      <c r="H35" s="1100">
        <v>3844</v>
      </c>
      <c r="I35" s="1100">
        <f t="shared" si="92"/>
        <v>2338</v>
      </c>
      <c r="J35" s="1100"/>
      <c r="K35" s="1100">
        <f>3844-1506</f>
        <v>2338</v>
      </c>
      <c r="L35" s="1100">
        <f t="shared" si="93"/>
        <v>693.7</v>
      </c>
      <c r="M35" s="1100">
        <v>36.700000000000003</v>
      </c>
      <c r="N35" s="1100">
        <f>MTQG!Q106</f>
        <v>657</v>
      </c>
      <c r="O35" s="1100">
        <f t="shared" si="94"/>
        <v>641.96299999999997</v>
      </c>
      <c r="P35" s="1100"/>
      <c r="Q35" s="1100">
        <f>MTQG!N106</f>
        <v>641.96299999999997</v>
      </c>
      <c r="R35" s="1101"/>
    </row>
    <row r="36" spans="1:21" ht="50.1" customHeight="1" x14ac:dyDescent="0.2">
      <c r="A36" s="1098" t="s">
        <v>767</v>
      </c>
      <c r="B36" s="1099" t="s">
        <v>768</v>
      </c>
      <c r="C36" s="1096">
        <f t="shared" si="91"/>
        <v>0</v>
      </c>
      <c r="D36" s="1096"/>
      <c r="E36" s="1096"/>
      <c r="F36" s="1096">
        <f t="shared" si="70"/>
        <v>0</v>
      </c>
      <c r="G36" s="1096"/>
      <c r="H36" s="1096"/>
      <c r="I36" s="1096">
        <f t="shared" si="92"/>
        <v>0</v>
      </c>
      <c r="J36" s="1096"/>
      <c r="K36" s="1096"/>
      <c r="L36" s="1096">
        <f t="shared" si="93"/>
        <v>0</v>
      </c>
      <c r="M36" s="1096"/>
      <c r="N36" s="1096"/>
      <c r="O36" s="1096">
        <f t="shared" si="94"/>
        <v>0</v>
      </c>
      <c r="P36" s="1096"/>
      <c r="Q36" s="1096"/>
      <c r="R36" s="1101"/>
    </row>
    <row r="37" spans="1:21" ht="36" customHeight="1" x14ac:dyDescent="0.2">
      <c r="A37" s="1098" t="s">
        <v>769</v>
      </c>
      <c r="B37" s="1099" t="s">
        <v>770</v>
      </c>
      <c r="C37" s="1100">
        <f t="shared" si="91"/>
        <v>987.36</v>
      </c>
      <c r="D37" s="1100">
        <v>987.36</v>
      </c>
      <c r="E37" s="1100"/>
      <c r="F37" s="1100">
        <f t="shared" si="70"/>
        <v>2691</v>
      </c>
      <c r="G37" s="1100">
        <v>2691</v>
      </c>
      <c r="H37" s="1100"/>
      <c r="I37" s="1100">
        <f t="shared" si="92"/>
        <v>2691</v>
      </c>
      <c r="J37" s="1100">
        <v>2691</v>
      </c>
      <c r="K37" s="1100"/>
      <c r="L37" s="1100">
        <f t="shared" si="93"/>
        <v>43.588000000000001</v>
      </c>
      <c r="M37" s="1100">
        <v>43.588000000000001</v>
      </c>
      <c r="N37" s="1100"/>
      <c r="O37" s="1100">
        <f t="shared" si="94"/>
        <v>19.344000000000001</v>
      </c>
      <c r="P37" s="1100">
        <v>19.344000000000001</v>
      </c>
      <c r="Q37" s="1100"/>
      <c r="R37" s="1101"/>
      <c r="T37" s="1108">
        <f>+P37+M37</f>
        <v>62.932000000000002</v>
      </c>
    </row>
    <row r="38" spans="1:21" ht="36" customHeight="1" x14ac:dyDescent="0.2">
      <c r="A38" s="1098" t="s">
        <v>771</v>
      </c>
      <c r="B38" s="1099" t="s">
        <v>772</v>
      </c>
      <c r="C38" s="1100">
        <f t="shared" ref="C38" si="95">C39+C40</f>
        <v>6905.3580000000002</v>
      </c>
      <c r="D38" s="1100">
        <f t="shared" ref="D38:E38" si="96">D39+D40</f>
        <v>6795.64</v>
      </c>
      <c r="E38" s="1100">
        <f t="shared" si="96"/>
        <v>109.71800000000007</v>
      </c>
      <c r="F38" s="1100">
        <f t="shared" ref="F38:O38" si="97">F39+F40</f>
        <v>53486</v>
      </c>
      <c r="G38" s="1100">
        <f t="shared" ref="G38" si="98">G39+G40</f>
        <v>30934</v>
      </c>
      <c r="H38" s="1100">
        <v>22552</v>
      </c>
      <c r="I38" s="1100">
        <f t="shared" ref="I38:K38" si="99">I39+I40</f>
        <v>53486</v>
      </c>
      <c r="J38" s="1100">
        <f t="shared" si="99"/>
        <v>30934</v>
      </c>
      <c r="K38" s="1100">
        <f t="shared" si="99"/>
        <v>22552</v>
      </c>
      <c r="L38" s="1100">
        <f t="shared" si="97"/>
        <v>34.613</v>
      </c>
      <c r="M38" s="1100">
        <f t="shared" ref="M38" si="100">M39+M40</f>
        <v>0</v>
      </c>
      <c r="N38" s="1100">
        <f t="shared" ref="N38" si="101">N39+N40</f>
        <v>34.613</v>
      </c>
      <c r="O38" s="1100">
        <f t="shared" si="97"/>
        <v>13938.535</v>
      </c>
      <c r="P38" s="1100">
        <f t="shared" ref="P38" si="102">P39+P40</f>
        <v>727.68399999999997</v>
      </c>
      <c r="Q38" s="1100">
        <f t="shared" ref="Q38" si="103">Q39+Q40</f>
        <v>13210.851000000001</v>
      </c>
      <c r="R38" s="1101"/>
    </row>
    <row r="39" spans="1:21" ht="36" customHeight="1" x14ac:dyDescent="0.2">
      <c r="A39" s="1094">
        <v>1</v>
      </c>
      <c r="B39" s="1095" t="s">
        <v>773</v>
      </c>
      <c r="C39" s="1096">
        <f>SUM(D39:E39)</f>
        <v>6893.3580000000002</v>
      </c>
      <c r="D39" s="1096">
        <v>6783.64</v>
      </c>
      <c r="E39" s="1096">
        <v>109.71800000000007</v>
      </c>
      <c r="F39" s="1096">
        <f t="shared" si="70"/>
        <v>53093</v>
      </c>
      <c r="G39" s="1096">
        <v>30541</v>
      </c>
      <c r="H39" s="1096">
        <v>22552</v>
      </c>
      <c r="I39" s="1096">
        <f t="shared" ref="I39:I40" si="104">SUM(J39:K39)</f>
        <v>53093</v>
      </c>
      <c r="J39" s="1096">
        <v>30541</v>
      </c>
      <c r="K39" s="1096">
        <v>22552</v>
      </c>
      <c r="L39" s="1096">
        <f>SUM(M39:N39)</f>
        <v>34.613</v>
      </c>
      <c r="M39" s="1096"/>
      <c r="N39" s="1096">
        <f>MTQG!Q130</f>
        <v>34.613</v>
      </c>
      <c r="O39" s="1096">
        <f>SUM(P39:Q39)</f>
        <v>13938.535</v>
      </c>
      <c r="P39" s="1096">
        <v>727.68399999999997</v>
      </c>
      <c r="Q39" s="1096">
        <f>MTQG!N130</f>
        <v>13210.851000000001</v>
      </c>
      <c r="R39" s="1097"/>
    </row>
    <row r="40" spans="1:21" ht="36" customHeight="1" x14ac:dyDescent="0.2">
      <c r="A40" s="1094">
        <v>2</v>
      </c>
      <c r="B40" s="1095" t="s">
        <v>774</v>
      </c>
      <c r="C40" s="1096">
        <f>SUM(D40:E40)</f>
        <v>12</v>
      </c>
      <c r="D40" s="1096">
        <v>12</v>
      </c>
      <c r="E40" s="1096"/>
      <c r="F40" s="1096">
        <f t="shared" si="70"/>
        <v>393</v>
      </c>
      <c r="G40" s="1096">
        <v>393</v>
      </c>
      <c r="H40" s="1096"/>
      <c r="I40" s="1096">
        <f t="shared" si="104"/>
        <v>393</v>
      </c>
      <c r="J40" s="1096">
        <v>393</v>
      </c>
      <c r="K40" s="1096"/>
      <c r="L40" s="1096">
        <f>SUM(M40:N40)</f>
        <v>0</v>
      </c>
      <c r="M40" s="1096"/>
      <c r="N40" s="1096"/>
      <c r="O40" s="1096">
        <f>SUM(P40:Q40)</f>
        <v>0</v>
      </c>
      <c r="P40" s="1096"/>
      <c r="Q40" s="1096"/>
      <c r="R40" s="1097"/>
    </row>
    <row r="41" spans="1:21" ht="50.1" customHeight="1" x14ac:dyDescent="0.2">
      <c r="A41" s="1098" t="s">
        <v>775</v>
      </c>
      <c r="B41" s="1099" t="s">
        <v>776</v>
      </c>
      <c r="C41" s="1100">
        <f t="shared" ref="C41" si="105">C42+C46+C47</f>
        <v>0</v>
      </c>
      <c r="D41" s="1100">
        <f t="shared" ref="D41" si="106">D42+D46+D47</f>
        <v>0</v>
      </c>
      <c r="E41" s="1100">
        <v>0</v>
      </c>
      <c r="F41" s="1100">
        <f t="shared" ref="F41:O41" si="107">F42+F46+F47</f>
        <v>811</v>
      </c>
      <c r="G41" s="1100">
        <f t="shared" ref="G41" si="108">G42+G46+G47</f>
        <v>811</v>
      </c>
      <c r="H41" s="1100">
        <v>0</v>
      </c>
      <c r="I41" s="1100">
        <f t="shared" ref="I41:K41" si="109">I42+I46+I47</f>
        <v>811</v>
      </c>
      <c r="J41" s="1100">
        <f t="shared" si="109"/>
        <v>811</v>
      </c>
      <c r="K41" s="1100">
        <f t="shared" si="109"/>
        <v>0</v>
      </c>
      <c r="L41" s="1100">
        <f t="shared" si="107"/>
        <v>0</v>
      </c>
      <c r="M41" s="1100">
        <f t="shared" ref="M41" si="110">M42+M46+M47</f>
        <v>0</v>
      </c>
      <c r="N41" s="1100">
        <f t="shared" ref="N41" si="111">N42+N46+N47</f>
        <v>0</v>
      </c>
      <c r="O41" s="1100">
        <f t="shared" si="107"/>
        <v>316.71799999999996</v>
      </c>
      <c r="P41" s="1100">
        <f t="shared" ref="P41" si="112">P42+P46+P47</f>
        <v>316.71799999999996</v>
      </c>
      <c r="Q41" s="1100">
        <f t="shared" ref="Q41" si="113">Q42+Q46+Q47</f>
        <v>0</v>
      </c>
      <c r="R41" s="1101"/>
    </row>
    <row r="42" spans="1:21" ht="50.1" customHeight="1" x14ac:dyDescent="0.2">
      <c r="A42" s="1094">
        <v>1</v>
      </c>
      <c r="B42" s="1095" t="s">
        <v>777</v>
      </c>
      <c r="C42" s="1096">
        <f t="shared" ref="C42" si="114">SUM(C43:C45)</f>
        <v>0</v>
      </c>
      <c r="D42" s="1096">
        <f t="shared" ref="D42" si="115">SUM(D43:D45)</f>
        <v>0</v>
      </c>
      <c r="E42" s="1096">
        <v>0</v>
      </c>
      <c r="F42" s="1096">
        <f t="shared" ref="F42:O42" si="116">SUM(F43:F45)</f>
        <v>571</v>
      </c>
      <c r="G42" s="1096">
        <f t="shared" ref="G42" si="117">SUM(G43:G45)</f>
        <v>571</v>
      </c>
      <c r="H42" s="1096">
        <v>0</v>
      </c>
      <c r="I42" s="1096">
        <f t="shared" ref="I42:J42" si="118">SUM(I43:I45)</f>
        <v>571</v>
      </c>
      <c r="J42" s="1096">
        <f t="shared" si="118"/>
        <v>571</v>
      </c>
      <c r="K42" s="1096">
        <v>0</v>
      </c>
      <c r="L42" s="1096">
        <f t="shared" si="116"/>
        <v>0</v>
      </c>
      <c r="M42" s="1096">
        <f t="shared" ref="M42" si="119">SUM(M43:M45)</f>
        <v>0</v>
      </c>
      <c r="N42" s="1096">
        <f t="shared" ref="N42" si="120">SUM(N43:N45)</f>
        <v>0</v>
      </c>
      <c r="O42" s="1096">
        <f t="shared" si="116"/>
        <v>316.71799999999996</v>
      </c>
      <c r="P42" s="1096">
        <f t="shared" ref="P42" si="121">SUM(P43:P45)</f>
        <v>316.71799999999996</v>
      </c>
      <c r="Q42" s="1096">
        <f t="shared" ref="Q42" si="122">SUM(Q43:Q45)</f>
        <v>0</v>
      </c>
      <c r="R42" s="1097"/>
    </row>
    <row r="43" spans="1:21" ht="36" customHeight="1" x14ac:dyDescent="0.2">
      <c r="A43" s="1094" t="s">
        <v>744</v>
      </c>
      <c r="B43" s="1095" t="s">
        <v>778</v>
      </c>
      <c r="C43" s="1096">
        <f>SUM(D43:E43)</f>
        <v>0</v>
      </c>
      <c r="D43" s="1096"/>
      <c r="E43" s="1096"/>
      <c r="F43" s="1096">
        <f t="shared" ref="F43:F47" si="123">SUM(G43:H43)</f>
        <v>274</v>
      </c>
      <c r="G43" s="1096">
        <v>274</v>
      </c>
      <c r="H43" s="1096"/>
      <c r="I43" s="1096">
        <f t="shared" ref="I43:I47" si="124">SUM(J43:K43)</f>
        <v>274</v>
      </c>
      <c r="J43" s="1096">
        <v>274</v>
      </c>
      <c r="K43" s="1096"/>
      <c r="L43" s="1096">
        <f>SUM(M43:N43)</f>
        <v>0</v>
      </c>
      <c r="M43" s="1096"/>
      <c r="N43" s="1096"/>
      <c r="O43" s="1096">
        <f>SUM(P43:Q43)</f>
        <v>142</v>
      </c>
      <c r="P43" s="1096">
        <v>142</v>
      </c>
      <c r="Q43" s="1096"/>
      <c r="R43" s="1097"/>
    </row>
    <row r="44" spans="1:21" ht="36" customHeight="1" x14ac:dyDescent="0.2">
      <c r="A44" s="1094" t="s">
        <v>746</v>
      </c>
      <c r="B44" s="1095" t="s">
        <v>779</v>
      </c>
      <c r="C44" s="1096">
        <f>SUM(D44:E44)</f>
        <v>0</v>
      </c>
      <c r="D44" s="1096"/>
      <c r="E44" s="1096"/>
      <c r="F44" s="1096">
        <f t="shared" si="123"/>
        <v>217</v>
      </c>
      <c r="G44" s="1096">
        <v>217</v>
      </c>
      <c r="H44" s="1096"/>
      <c r="I44" s="1096">
        <f t="shared" si="124"/>
        <v>217</v>
      </c>
      <c r="J44" s="1096">
        <v>217</v>
      </c>
      <c r="K44" s="1096"/>
      <c r="L44" s="1096">
        <f>SUM(M44:N44)</f>
        <v>0</v>
      </c>
      <c r="M44" s="1096"/>
      <c r="N44" s="1096"/>
      <c r="O44" s="1096">
        <f>SUM(P44:Q44)</f>
        <v>174.71799999999999</v>
      </c>
      <c r="P44" s="1096">
        <v>174.71799999999999</v>
      </c>
      <c r="Q44" s="1096"/>
      <c r="R44" s="1097"/>
    </row>
    <row r="45" spans="1:21" ht="50.1" customHeight="1" x14ac:dyDescent="0.2">
      <c r="A45" s="1094" t="s">
        <v>748</v>
      </c>
      <c r="B45" s="1095" t="s">
        <v>780</v>
      </c>
      <c r="C45" s="1096">
        <f>SUM(D45:E45)</f>
        <v>0</v>
      </c>
      <c r="D45" s="1096"/>
      <c r="E45" s="1096"/>
      <c r="F45" s="1096">
        <f t="shared" si="123"/>
        <v>80</v>
      </c>
      <c r="G45" s="1096">
        <v>80</v>
      </c>
      <c r="H45" s="1096"/>
      <c r="I45" s="1096">
        <f t="shared" si="124"/>
        <v>80</v>
      </c>
      <c r="J45" s="1096">
        <v>80</v>
      </c>
      <c r="K45" s="1096"/>
      <c r="L45" s="1096">
        <f>SUM(M45:N45)</f>
        <v>0</v>
      </c>
      <c r="M45" s="1096"/>
      <c r="N45" s="1096"/>
      <c r="O45" s="1096">
        <f>SUM(P45:Q45)</f>
        <v>0</v>
      </c>
      <c r="P45" s="1096"/>
      <c r="Q45" s="1096"/>
      <c r="R45" s="1097"/>
    </row>
    <row r="46" spans="1:21" ht="50.1" customHeight="1" x14ac:dyDescent="0.2">
      <c r="A46" s="1094">
        <v>2</v>
      </c>
      <c r="B46" s="1095" t="s">
        <v>781</v>
      </c>
      <c r="C46" s="1096">
        <f>SUM(D46:E46)</f>
        <v>0</v>
      </c>
      <c r="D46" s="1096"/>
      <c r="E46" s="1096"/>
      <c r="F46" s="1096">
        <f t="shared" si="123"/>
        <v>0</v>
      </c>
      <c r="G46" s="1096"/>
      <c r="H46" s="1096"/>
      <c r="I46" s="1096">
        <f t="shared" si="124"/>
        <v>0</v>
      </c>
      <c r="J46" s="1096"/>
      <c r="K46" s="1096"/>
      <c r="L46" s="1096">
        <f>SUM(M46:N46)</f>
        <v>0</v>
      </c>
      <c r="M46" s="1096"/>
      <c r="N46" s="1096"/>
      <c r="O46" s="1096">
        <f>SUM(P46:Q46)</f>
        <v>0</v>
      </c>
      <c r="P46" s="1096"/>
      <c r="Q46" s="1096"/>
      <c r="R46" s="1097"/>
    </row>
    <row r="47" spans="1:21" ht="36" customHeight="1" x14ac:dyDescent="0.2">
      <c r="A47" s="1094">
        <v>3</v>
      </c>
      <c r="B47" s="1095" t="s">
        <v>782</v>
      </c>
      <c r="C47" s="1096">
        <f>SUM(D47:E47)</f>
        <v>0</v>
      </c>
      <c r="D47" s="1096"/>
      <c r="E47" s="1096"/>
      <c r="F47" s="1096">
        <f t="shared" si="123"/>
        <v>240</v>
      </c>
      <c r="G47" s="1096">
        <v>240</v>
      </c>
      <c r="H47" s="1096"/>
      <c r="I47" s="1096">
        <f t="shared" si="124"/>
        <v>240</v>
      </c>
      <c r="J47" s="1096">
        <v>240</v>
      </c>
      <c r="K47" s="1096"/>
      <c r="L47" s="1096">
        <f>SUM(M47:N47)</f>
        <v>0</v>
      </c>
      <c r="M47" s="1096"/>
      <c r="N47" s="1096"/>
      <c r="O47" s="1096">
        <f>SUM(P47:Q47)</f>
        <v>0</v>
      </c>
      <c r="P47" s="1096"/>
      <c r="Q47" s="1096"/>
      <c r="R47" s="1097"/>
    </row>
    <row r="48" spans="1:21" ht="20.100000000000001" customHeight="1" x14ac:dyDescent="0.2">
      <c r="A48" s="1093" t="s">
        <v>26</v>
      </c>
      <c r="B48" s="1090" t="s">
        <v>783</v>
      </c>
      <c r="C48" s="1091">
        <f t="shared" ref="C48" si="125">C49+C52+C53+C56+C60+C61+C64</f>
        <v>13593.827000000001</v>
      </c>
      <c r="D48" s="1091">
        <f t="shared" ref="D48:E48" si="126">D49+D52+D53+D56+D60+D61+D64</f>
        <v>5954.9459999999999</v>
      </c>
      <c r="E48" s="1091">
        <f t="shared" si="126"/>
        <v>7638.8810000000003</v>
      </c>
      <c r="F48" s="1091">
        <f t="shared" ref="F48:O48" si="127">F49+F52+F53+F56+F60+F61+F64</f>
        <v>77564</v>
      </c>
      <c r="G48" s="1091">
        <f t="shared" ref="G48" si="128">G49+G52+G53+G56+G60+G61+G64</f>
        <v>33633</v>
      </c>
      <c r="H48" s="1091">
        <v>43931</v>
      </c>
      <c r="I48" s="1091">
        <f t="shared" ref="I48:K48" si="129">I49+I52+I53+I56+I60+I61+I64</f>
        <v>77564</v>
      </c>
      <c r="J48" s="1091">
        <f t="shared" si="129"/>
        <v>33633</v>
      </c>
      <c r="K48" s="1091">
        <f t="shared" si="129"/>
        <v>43931</v>
      </c>
      <c r="L48" s="1091">
        <f t="shared" si="127"/>
        <v>6315.9210000000003</v>
      </c>
      <c r="M48" s="1091">
        <f t="shared" ref="M48" si="130">M49+M52+M53+M56+M60+M61+M64</f>
        <v>0</v>
      </c>
      <c r="N48" s="1091">
        <f t="shared" ref="N48" si="131">N49+N52+N53+N56+N60+N61+N64</f>
        <v>6315.9210000000003</v>
      </c>
      <c r="O48" s="1091">
        <f t="shared" si="127"/>
        <v>37154.180999999997</v>
      </c>
      <c r="P48" s="1091">
        <f t="shared" ref="P48" si="132">P49+P52+P53+P56+P60+P61+P64</f>
        <v>7127.5150000000003</v>
      </c>
      <c r="Q48" s="1091">
        <f t="shared" ref="Q48" si="133">Q49+Q52+Q53+Q56+Q60+Q61+Q64</f>
        <v>30026.666000000001</v>
      </c>
      <c r="R48" s="1092"/>
      <c r="T48" s="1060">
        <f>P48/J48*100</f>
        <v>21.192028662325693</v>
      </c>
      <c r="U48" s="1061">
        <f>M48/D48*100</f>
        <v>0</v>
      </c>
    </row>
    <row r="49" spans="1:18" ht="50.1" customHeight="1" x14ac:dyDescent="0.2">
      <c r="A49" s="1093" t="s">
        <v>15</v>
      </c>
      <c r="B49" s="1090" t="s">
        <v>784</v>
      </c>
      <c r="C49" s="1091">
        <f t="shared" ref="C49" si="134">C50+C51</f>
        <v>8118.4750000000004</v>
      </c>
      <c r="D49" s="1091">
        <f t="shared" ref="D49:E49" si="135">D50+D51</f>
        <v>479.59399999999999</v>
      </c>
      <c r="E49" s="1091">
        <f t="shared" si="135"/>
        <v>7638.8810000000003</v>
      </c>
      <c r="F49" s="1091">
        <f t="shared" ref="F49:O49" si="136">F50+F51</f>
        <v>48324</v>
      </c>
      <c r="G49" s="1091">
        <f t="shared" ref="G49" si="137">G50+G51</f>
        <v>4393</v>
      </c>
      <c r="H49" s="1091">
        <v>43931</v>
      </c>
      <c r="I49" s="1091">
        <f t="shared" ref="I49:J49" si="138">I50+I51</f>
        <v>48324</v>
      </c>
      <c r="J49" s="1091">
        <f t="shared" si="138"/>
        <v>4393</v>
      </c>
      <c r="K49" s="1091">
        <v>43931</v>
      </c>
      <c r="L49" s="1091">
        <f t="shared" si="136"/>
        <v>6315.9210000000003</v>
      </c>
      <c r="M49" s="1091">
        <f t="shared" ref="M49" si="139">M50+M51</f>
        <v>0</v>
      </c>
      <c r="N49" s="1091">
        <f t="shared" ref="N49" si="140">N50+N51</f>
        <v>6315.9210000000003</v>
      </c>
      <c r="O49" s="1091">
        <f t="shared" si="136"/>
        <v>30026.666000000001</v>
      </c>
      <c r="P49" s="1091">
        <f t="shared" ref="P49" si="141">P50+P51</f>
        <v>0</v>
      </c>
      <c r="Q49" s="1091">
        <f t="shared" ref="Q49" si="142">Q50+Q51</f>
        <v>30026.666000000001</v>
      </c>
      <c r="R49" s="1092"/>
    </row>
    <row r="50" spans="1:18" ht="50.1" customHeight="1" x14ac:dyDescent="0.2">
      <c r="A50" s="1094">
        <v>1</v>
      </c>
      <c r="B50" s="1095" t="s">
        <v>785</v>
      </c>
      <c r="C50" s="1096">
        <f>SUM(D50:E50)</f>
        <v>8118.4750000000004</v>
      </c>
      <c r="D50" s="1096">
        <v>479.59399999999999</v>
      </c>
      <c r="E50" s="1096">
        <v>7638.8810000000003</v>
      </c>
      <c r="F50" s="1096">
        <f t="shared" ref="F50:F66" si="143">SUM(G50:H50)</f>
        <v>48324</v>
      </c>
      <c r="G50" s="1096">
        <v>4393</v>
      </c>
      <c r="H50" s="1096">
        <v>43931</v>
      </c>
      <c r="I50" s="1096">
        <f t="shared" ref="I50:I52" si="144">SUM(J50:K50)</f>
        <v>48324</v>
      </c>
      <c r="J50" s="1096">
        <v>4393</v>
      </c>
      <c r="K50" s="1096">
        <v>43931</v>
      </c>
      <c r="L50" s="1096">
        <f>SUM(M50:N50)</f>
        <v>6315.9210000000003</v>
      </c>
      <c r="M50" s="1096"/>
      <c r="N50" s="1096">
        <f>MTQG!Q32</f>
        <v>6315.9210000000003</v>
      </c>
      <c r="O50" s="1096">
        <f>SUM(P50:Q50)</f>
        <v>30026.666000000001</v>
      </c>
      <c r="P50" s="1096"/>
      <c r="Q50" s="1096">
        <f>MTQG!N32</f>
        <v>30026.666000000001</v>
      </c>
      <c r="R50" s="1097"/>
    </row>
    <row r="51" spans="1:18" ht="36" customHeight="1" x14ac:dyDescent="0.2">
      <c r="A51" s="1094">
        <v>2</v>
      </c>
      <c r="B51" s="1095" t="s">
        <v>786</v>
      </c>
      <c r="C51" s="1096">
        <f>SUM(D51:E51)</f>
        <v>0</v>
      </c>
      <c r="D51" s="1096"/>
      <c r="E51" s="1096"/>
      <c r="F51" s="1096">
        <f t="shared" si="143"/>
        <v>0</v>
      </c>
      <c r="G51" s="1096"/>
      <c r="H51" s="1096"/>
      <c r="I51" s="1096">
        <f t="shared" si="144"/>
        <v>0</v>
      </c>
      <c r="J51" s="1096"/>
      <c r="K51" s="1096"/>
      <c r="L51" s="1096">
        <f>SUM(M51:N51)</f>
        <v>0</v>
      </c>
      <c r="M51" s="1096"/>
      <c r="N51" s="1096"/>
      <c r="O51" s="1096">
        <f>SUM(P51:Q51)</f>
        <v>0</v>
      </c>
      <c r="P51" s="1096"/>
      <c r="Q51" s="1096"/>
      <c r="R51" s="1097"/>
    </row>
    <row r="52" spans="1:18" ht="36" customHeight="1" x14ac:dyDescent="0.2">
      <c r="A52" s="1098" t="s">
        <v>25</v>
      </c>
      <c r="B52" s="1099" t="s">
        <v>787</v>
      </c>
      <c r="C52" s="1100">
        <f>SUM(D52:E52)</f>
        <v>3425</v>
      </c>
      <c r="D52" s="1100">
        <v>3425</v>
      </c>
      <c r="E52" s="1100"/>
      <c r="F52" s="1100">
        <f t="shared" si="143"/>
        <v>8628</v>
      </c>
      <c r="G52" s="1100">
        <v>8628</v>
      </c>
      <c r="H52" s="1100"/>
      <c r="I52" s="1100">
        <f t="shared" si="144"/>
        <v>8628</v>
      </c>
      <c r="J52" s="1100">
        <v>8628</v>
      </c>
      <c r="K52" s="1100"/>
      <c r="L52" s="1100">
        <f>SUM(M52:N52)</f>
        <v>0</v>
      </c>
      <c r="M52" s="1100"/>
      <c r="N52" s="1100"/>
      <c r="O52" s="1100">
        <f>SUM(P52:Q52)</f>
        <v>0</v>
      </c>
      <c r="P52" s="1100"/>
      <c r="Q52" s="1100"/>
      <c r="R52" s="1101"/>
    </row>
    <row r="53" spans="1:18" ht="28.5" x14ac:dyDescent="0.2">
      <c r="A53" s="1098" t="s">
        <v>559</v>
      </c>
      <c r="B53" s="1099" t="s">
        <v>788</v>
      </c>
      <c r="C53" s="1100">
        <f t="shared" ref="C53" si="145">C54+C55</f>
        <v>1495</v>
      </c>
      <c r="D53" s="1100">
        <f t="shared" ref="D53:E53" si="146">D54+D55</f>
        <v>1495</v>
      </c>
      <c r="E53" s="1100">
        <f t="shared" si="146"/>
        <v>0</v>
      </c>
      <c r="F53" s="1100">
        <f t="shared" ref="F53:O53" si="147">F54+F55</f>
        <v>5014</v>
      </c>
      <c r="G53" s="1100">
        <f t="shared" ref="G53" si="148">G54+G55</f>
        <v>5014</v>
      </c>
      <c r="H53" s="1100">
        <v>0</v>
      </c>
      <c r="I53" s="1100">
        <f t="shared" ref="I53:J53" si="149">I54+I55</f>
        <v>5014</v>
      </c>
      <c r="J53" s="1100">
        <f t="shared" si="149"/>
        <v>5014</v>
      </c>
      <c r="K53" s="1100">
        <v>0</v>
      </c>
      <c r="L53" s="1100">
        <f t="shared" si="147"/>
        <v>0</v>
      </c>
      <c r="M53" s="1100">
        <f t="shared" ref="M53" si="150">M54+M55</f>
        <v>0</v>
      </c>
      <c r="N53" s="1100">
        <f t="shared" ref="N53" si="151">N54+N55</f>
        <v>0</v>
      </c>
      <c r="O53" s="1100">
        <f t="shared" si="147"/>
        <v>0</v>
      </c>
      <c r="P53" s="1100">
        <f t="shared" ref="P53" si="152">P54+P55</f>
        <v>0</v>
      </c>
      <c r="Q53" s="1100">
        <f t="shared" ref="Q53" si="153">Q54+Q55</f>
        <v>0</v>
      </c>
      <c r="R53" s="1101"/>
    </row>
    <row r="54" spans="1:18" ht="36" customHeight="1" x14ac:dyDescent="0.2">
      <c r="A54" s="1094">
        <v>1</v>
      </c>
      <c r="B54" s="1095" t="s">
        <v>789</v>
      </c>
      <c r="C54" s="1096">
        <f>SUM(D54:E54)</f>
        <v>1495</v>
      </c>
      <c r="D54" s="1096">
        <v>1495</v>
      </c>
      <c r="E54" s="1096"/>
      <c r="F54" s="1096">
        <f t="shared" si="143"/>
        <v>3839</v>
      </c>
      <c r="G54" s="1096">
        <v>3839</v>
      </c>
      <c r="H54" s="1096"/>
      <c r="I54" s="1096">
        <f t="shared" ref="I54:I55" si="154">SUM(J54:K54)</f>
        <v>3839</v>
      </c>
      <c r="J54" s="1096">
        <v>3839</v>
      </c>
      <c r="K54" s="1096"/>
      <c r="L54" s="1096">
        <f>SUM(M54:N54)</f>
        <v>0</v>
      </c>
      <c r="M54" s="1096"/>
      <c r="N54" s="1096"/>
      <c r="O54" s="1096">
        <f>SUM(P54:Q54)</f>
        <v>0</v>
      </c>
      <c r="P54" s="1096">
        <v>0</v>
      </c>
      <c r="Q54" s="1096"/>
      <c r="R54" s="1097"/>
    </row>
    <row r="55" spans="1:18" ht="20.100000000000001" customHeight="1" x14ac:dyDescent="0.2">
      <c r="A55" s="1094">
        <v>2</v>
      </c>
      <c r="B55" s="1095" t="s">
        <v>790</v>
      </c>
      <c r="C55" s="1096">
        <f>SUM(D55:E55)</f>
        <v>0</v>
      </c>
      <c r="D55" s="1096"/>
      <c r="E55" s="1096"/>
      <c r="F55" s="1096">
        <f t="shared" si="143"/>
        <v>1175</v>
      </c>
      <c r="G55" s="1096">
        <v>1175</v>
      </c>
      <c r="H55" s="1096"/>
      <c r="I55" s="1096">
        <f t="shared" si="154"/>
        <v>1175</v>
      </c>
      <c r="J55" s="1096">
        <v>1175</v>
      </c>
      <c r="K55" s="1096"/>
      <c r="L55" s="1096">
        <f>SUM(M55:N55)</f>
        <v>0</v>
      </c>
      <c r="M55" s="1096"/>
      <c r="N55" s="1096"/>
      <c r="O55" s="1096">
        <f>SUM(P55:Q55)</f>
        <v>0</v>
      </c>
      <c r="P55" s="1096"/>
      <c r="Q55" s="1096"/>
      <c r="R55" s="1097"/>
    </row>
    <row r="56" spans="1:18" ht="28.5" x14ac:dyDescent="0.2">
      <c r="A56" s="1098" t="s">
        <v>751</v>
      </c>
      <c r="B56" s="1099" t="s">
        <v>791</v>
      </c>
      <c r="C56" s="1100">
        <f t="shared" ref="C56" si="155">C57+C58+C59</f>
        <v>416</v>
      </c>
      <c r="D56" s="1100">
        <f t="shared" ref="D56:E56" si="156">D57+D58+D59</f>
        <v>416</v>
      </c>
      <c r="E56" s="1100">
        <f t="shared" si="156"/>
        <v>0</v>
      </c>
      <c r="F56" s="1100">
        <f t="shared" ref="F56:O56" si="157">F57+F58+F59</f>
        <v>2942</v>
      </c>
      <c r="G56" s="1100">
        <f t="shared" ref="G56" si="158">G57+G58+G59</f>
        <v>2942</v>
      </c>
      <c r="H56" s="1100">
        <v>0</v>
      </c>
      <c r="I56" s="1100">
        <f t="shared" ref="I56:J56" si="159">I57+I58+I59</f>
        <v>2942</v>
      </c>
      <c r="J56" s="1100">
        <f t="shared" si="159"/>
        <v>2942</v>
      </c>
      <c r="K56" s="1100">
        <v>0</v>
      </c>
      <c r="L56" s="1100">
        <f t="shared" si="157"/>
        <v>0</v>
      </c>
      <c r="M56" s="1100">
        <f t="shared" ref="M56" si="160">M57+M58+M59</f>
        <v>0</v>
      </c>
      <c r="N56" s="1100">
        <f t="shared" ref="N56" si="161">N57+N58+N59</f>
        <v>0</v>
      </c>
      <c r="O56" s="1100">
        <f t="shared" si="157"/>
        <v>1267.5150000000001</v>
      </c>
      <c r="P56" s="1100">
        <f t="shared" ref="P56" si="162">P57+P58+P59</f>
        <v>1267.5150000000001</v>
      </c>
      <c r="Q56" s="1100">
        <f t="shared" ref="Q56" si="163">Q57+Q58+Q59</f>
        <v>0</v>
      </c>
      <c r="R56" s="1101"/>
    </row>
    <row r="57" spans="1:18" ht="36" customHeight="1" x14ac:dyDescent="0.2">
      <c r="A57" s="1094">
        <v>1</v>
      </c>
      <c r="B57" s="1095" t="s">
        <v>792</v>
      </c>
      <c r="C57" s="1096">
        <f>SUM(D57:E57)</f>
        <v>0</v>
      </c>
      <c r="D57" s="1096"/>
      <c r="E57" s="1096">
        <v>0</v>
      </c>
      <c r="F57" s="1096">
        <f t="shared" si="143"/>
        <v>1680</v>
      </c>
      <c r="G57" s="1096">
        <v>1680</v>
      </c>
      <c r="H57" s="1096"/>
      <c r="I57" s="1096">
        <f t="shared" ref="I57:I60" si="164">SUM(J57:K57)</f>
        <v>1680</v>
      </c>
      <c r="J57" s="1096">
        <v>1680</v>
      </c>
      <c r="K57" s="1096"/>
      <c r="L57" s="1096">
        <f>SUM(L58:L60)</f>
        <v>0</v>
      </c>
      <c r="M57" s="1096"/>
      <c r="N57" s="1096"/>
      <c r="O57" s="1096">
        <f>SUM(P57:Q57)</f>
        <v>1267.5150000000001</v>
      </c>
      <c r="P57" s="1096">
        <v>1267.5150000000001</v>
      </c>
      <c r="Q57" s="1096"/>
      <c r="R57" s="1097"/>
    </row>
    <row r="58" spans="1:18" ht="36" customHeight="1" x14ac:dyDescent="0.2">
      <c r="A58" s="1094">
        <v>2</v>
      </c>
      <c r="B58" s="1095" t="s">
        <v>793</v>
      </c>
      <c r="C58" s="1096">
        <f>SUM(D58:E58)</f>
        <v>264</v>
      </c>
      <c r="D58" s="1096">
        <v>264</v>
      </c>
      <c r="E58" s="1096"/>
      <c r="F58" s="1096">
        <f t="shared" si="143"/>
        <v>862</v>
      </c>
      <c r="G58" s="1096">
        <v>862</v>
      </c>
      <c r="H58" s="1096"/>
      <c r="I58" s="1096">
        <f t="shared" si="164"/>
        <v>862</v>
      </c>
      <c r="J58" s="1096">
        <v>862</v>
      </c>
      <c r="K58" s="1096"/>
      <c r="L58" s="1096">
        <f>SUM(M58:N58)</f>
        <v>0</v>
      </c>
      <c r="M58" s="1096"/>
      <c r="N58" s="1096"/>
      <c r="O58" s="1096">
        <f>SUM(P58:Q58)</f>
        <v>0</v>
      </c>
      <c r="P58" s="1096"/>
      <c r="Q58" s="1096"/>
      <c r="R58" s="1097"/>
    </row>
    <row r="59" spans="1:18" ht="20.100000000000001" customHeight="1" x14ac:dyDescent="0.2">
      <c r="A59" s="1094">
        <v>3</v>
      </c>
      <c r="B59" s="1095" t="s">
        <v>794</v>
      </c>
      <c r="C59" s="1096">
        <f>SUM(D59:E59)</f>
        <v>152</v>
      </c>
      <c r="D59" s="1096">
        <v>152</v>
      </c>
      <c r="E59" s="1096"/>
      <c r="F59" s="1096">
        <f t="shared" si="143"/>
        <v>400</v>
      </c>
      <c r="G59" s="1096">
        <v>400</v>
      </c>
      <c r="H59" s="1096"/>
      <c r="I59" s="1096">
        <f t="shared" si="164"/>
        <v>400</v>
      </c>
      <c r="J59" s="1096">
        <v>400</v>
      </c>
      <c r="K59" s="1096"/>
      <c r="L59" s="1096">
        <f>SUM(M59:N59)</f>
        <v>0</v>
      </c>
      <c r="M59" s="1096"/>
      <c r="N59" s="1096"/>
      <c r="O59" s="1096">
        <f>SUM(P59:Q59)</f>
        <v>0</v>
      </c>
      <c r="P59" s="1096"/>
      <c r="Q59" s="1096"/>
      <c r="R59" s="1097"/>
    </row>
    <row r="60" spans="1:18" ht="36" customHeight="1" x14ac:dyDescent="0.2">
      <c r="A60" s="1098" t="s">
        <v>757</v>
      </c>
      <c r="B60" s="1099" t="s">
        <v>795</v>
      </c>
      <c r="C60" s="1100">
        <f>SUM(D60:E60)</f>
        <v>0</v>
      </c>
      <c r="D60" s="1100"/>
      <c r="E60" s="1100"/>
      <c r="F60" s="1100">
        <f t="shared" si="143"/>
        <v>11440</v>
      </c>
      <c r="G60" s="1100">
        <v>11440</v>
      </c>
      <c r="H60" s="1100"/>
      <c r="I60" s="1100">
        <f t="shared" si="164"/>
        <v>11440</v>
      </c>
      <c r="J60" s="1100">
        <v>11440</v>
      </c>
      <c r="K60" s="1100"/>
      <c r="L60" s="1100">
        <f>SUM(M60:N60)</f>
        <v>0</v>
      </c>
      <c r="M60" s="1100"/>
      <c r="N60" s="1100"/>
      <c r="O60" s="1096">
        <f>SUM(P60:Q60)</f>
        <v>5860</v>
      </c>
      <c r="P60" s="1100">
        <v>5860</v>
      </c>
      <c r="Q60" s="1100"/>
      <c r="R60" s="1101"/>
    </row>
    <row r="61" spans="1:18" ht="20.100000000000001" customHeight="1" x14ac:dyDescent="0.2">
      <c r="A61" s="1098" t="s">
        <v>765</v>
      </c>
      <c r="B61" s="1099" t="s">
        <v>796</v>
      </c>
      <c r="C61" s="1100">
        <f t="shared" ref="C61" si="165">C62+C63</f>
        <v>0</v>
      </c>
      <c r="D61" s="1100">
        <f t="shared" ref="D61" si="166">D62+D63</f>
        <v>0</v>
      </c>
      <c r="E61" s="1100">
        <v>0</v>
      </c>
      <c r="F61" s="1100">
        <f t="shared" ref="F61:O61" si="167">F62+F63</f>
        <v>263</v>
      </c>
      <c r="G61" s="1100">
        <f t="shared" ref="G61" si="168">G62+G63</f>
        <v>263</v>
      </c>
      <c r="H61" s="1100">
        <v>0</v>
      </c>
      <c r="I61" s="1100">
        <f t="shared" ref="I61:J61" si="169">I62+I63</f>
        <v>263</v>
      </c>
      <c r="J61" s="1100">
        <f t="shared" si="169"/>
        <v>263</v>
      </c>
      <c r="K61" s="1100">
        <v>0</v>
      </c>
      <c r="L61" s="1100">
        <f t="shared" si="167"/>
        <v>0</v>
      </c>
      <c r="M61" s="1100">
        <f t="shared" ref="M61" si="170">M62+M63</f>
        <v>0</v>
      </c>
      <c r="N61" s="1100">
        <f t="shared" ref="N61" si="171">N62+N63</f>
        <v>0</v>
      </c>
      <c r="O61" s="1100">
        <f t="shared" si="167"/>
        <v>0</v>
      </c>
      <c r="P61" s="1100">
        <f t="shared" ref="P61" si="172">P62+P63</f>
        <v>0</v>
      </c>
      <c r="Q61" s="1100">
        <f t="shared" ref="Q61" si="173">Q62+Q63</f>
        <v>0</v>
      </c>
      <c r="R61" s="1101"/>
    </row>
    <row r="62" spans="1:18" ht="20.100000000000001" customHeight="1" x14ac:dyDescent="0.2">
      <c r="A62" s="1094">
        <v>1</v>
      </c>
      <c r="B62" s="1095" t="s">
        <v>797</v>
      </c>
      <c r="C62" s="1096">
        <f>SUM(D62:E62)</f>
        <v>0</v>
      </c>
      <c r="D62" s="1096"/>
      <c r="E62" s="1096"/>
      <c r="F62" s="1096">
        <f t="shared" si="143"/>
        <v>0</v>
      </c>
      <c r="G62" s="1096"/>
      <c r="H62" s="1096"/>
      <c r="I62" s="1096">
        <f t="shared" ref="I62:I63" si="174">SUM(J62:K62)</f>
        <v>0</v>
      </c>
      <c r="J62" s="1096"/>
      <c r="K62" s="1096"/>
      <c r="L62" s="1096">
        <f>SUM(M62:N62)</f>
        <v>0</v>
      </c>
      <c r="M62" s="1096"/>
      <c r="N62" s="1096"/>
      <c r="O62" s="1096">
        <f>SUM(P62:Q62)</f>
        <v>0</v>
      </c>
      <c r="P62" s="1096"/>
      <c r="Q62" s="1096"/>
      <c r="R62" s="1097"/>
    </row>
    <row r="63" spans="1:18" ht="20.100000000000001" customHeight="1" x14ac:dyDescent="0.2">
      <c r="A63" s="1094">
        <v>2</v>
      </c>
      <c r="B63" s="1095" t="s">
        <v>798</v>
      </c>
      <c r="C63" s="1096">
        <f>SUM(D63:E63)</f>
        <v>0</v>
      </c>
      <c r="D63" s="1096"/>
      <c r="E63" s="1096"/>
      <c r="F63" s="1096">
        <f t="shared" si="143"/>
        <v>263</v>
      </c>
      <c r="G63" s="1096">
        <v>263</v>
      </c>
      <c r="H63" s="1096"/>
      <c r="I63" s="1096">
        <f t="shared" si="174"/>
        <v>263</v>
      </c>
      <c r="J63" s="1096">
        <v>263</v>
      </c>
      <c r="K63" s="1096"/>
      <c r="L63" s="1096">
        <f>SUM(M63:N63)</f>
        <v>0</v>
      </c>
      <c r="M63" s="1096"/>
      <c r="N63" s="1096"/>
      <c r="O63" s="1096">
        <f>SUM(P63:Q63)</f>
        <v>0</v>
      </c>
      <c r="P63" s="1096"/>
      <c r="Q63" s="1096"/>
      <c r="R63" s="1097"/>
    </row>
    <row r="64" spans="1:18" ht="28.5" x14ac:dyDescent="0.2">
      <c r="A64" s="1098" t="s">
        <v>767</v>
      </c>
      <c r="B64" s="1099" t="s">
        <v>799</v>
      </c>
      <c r="C64" s="1100">
        <f t="shared" ref="C64" si="175">C65+C66</f>
        <v>139.352</v>
      </c>
      <c r="D64" s="1100">
        <f t="shared" ref="D64:E64" si="176">D65+D66</f>
        <v>139.352</v>
      </c>
      <c r="E64" s="1100">
        <f t="shared" si="176"/>
        <v>0</v>
      </c>
      <c r="F64" s="1100">
        <f t="shared" ref="F64:O64" si="177">F65+F66</f>
        <v>953</v>
      </c>
      <c r="G64" s="1100">
        <f t="shared" ref="G64" si="178">G65+G66</f>
        <v>953</v>
      </c>
      <c r="H64" s="1100">
        <v>0</v>
      </c>
      <c r="I64" s="1100">
        <f t="shared" ref="I64:J64" si="179">I65+I66</f>
        <v>953</v>
      </c>
      <c r="J64" s="1100">
        <f t="shared" si="179"/>
        <v>953</v>
      </c>
      <c r="K64" s="1100">
        <v>0</v>
      </c>
      <c r="L64" s="1100">
        <f t="shared" si="177"/>
        <v>0</v>
      </c>
      <c r="M64" s="1100">
        <f t="shared" ref="M64" si="180">M65+M66</f>
        <v>0</v>
      </c>
      <c r="N64" s="1100">
        <f t="shared" ref="N64" si="181">N65+N66</f>
        <v>0</v>
      </c>
      <c r="O64" s="1100">
        <f t="shared" si="177"/>
        <v>0</v>
      </c>
      <c r="P64" s="1100">
        <f t="shared" ref="P64" si="182">P65+P66</f>
        <v>0</v>
      </c>
      <c r="Q64" s="1100">
        <f t="shared" ref="Q64" si="183">Q65+Q66</f>
        <v>0</v>
      </c>
      <c r="R64" s="1097"/>
    </row>
    <row r="65" spans="1:21" ht="20.100000000000001" customHeight="1" x14ac:dyDescent="0.2">
      <c r="A65" s="1094">
        <v>1</v>
      </c>
      <c r="B65" s="1095" t="s">
        <v>800</v>
      </c>
      <c r="C65" s="1096">
        <f>SUM(D65:E65)</f>
        <v>0</v>
      </c>
      <c r="D65" s="1096"/>
      <c r="E65" s="1096"/>
      <c r="F65" s="1096">
        <f t="shared" si="143"/>
        <v>690</v>
      </c>
      <c r="G65" s="1096">
        <v>690</v>
      </c>
      <c r="H65" s="1096"/>
      <c r="I65" s="1096">
        <f t="shared" ref="I65:I66" si="184">SUM(J65:K65)</f>
        <v>690</v>
      </c>
      <c r="J65" s="1096">
        <v>690</v>
      </c>
      <c r="K65" s="1096"/>
      <c r="L65" s="1096">
        <f>SUM(M65:N65)</f>
        <v>0</v>
      </c>
      <c r="M65" s="1096"/>
      <c r="N65" s="1096"/>
      <c r="O65" s="1096">
        <f>SUM(P65:Q65)</f>
        <v>0</v>
      </c>
      <c r="P65" s="1096"/>
      <c r="Q65" s="1096"/>
      <c r="R65" s="1097"/>
    </row>
    <row r="66" spans="1:21" ht="20.100000000000001" customHeight="1" x14ac:dyDescent="0.2">
      <c r="A66" s="1094">
        <v>2</v>
      </c>
      <c r="B66" s="1095" t="s">
        <v>801</v>
      </c>
      <c r="C66" s="1096">
        <f>SUM(D66:E66)</f>
        <v>139.352</v>
      </c>
      <c r="D66" s="1096">
        <v>139.352</v>
      </c>
      <c r="E66" s="1096"/>
      <c r="F66" s="1096">
        <f t="shared" si="143"/>
        <v>263</v>
      </c>
      <c r="G66" s="1096">
        <v>263</v>
      </c>
      <c r="H66" s="1096"/>
      <c r="I66" s="1096">
        <f t="shared" si="184"/>
        <v>263</v>
      </c>
      <c r="J66" s="1096">
        <v>263</v>
      </c>
      <c r="K66" s="1096"/>
      <c r="L66" s="1096">
        <f>SUM(M66:N66)</f>
        <v>0</v>
      </c>
      <c r="M66" s="1096"/>
      <c r="N66" s="1096"/>
      <c r="O66" s="1096">
        <f>SUM(P66:Q66)</f>
        <v>0</v>
      </c>
      <c r="P66" s="1096"/>
      <c r="Q66" s="1096"/>
      <c r="R66" s="1097"/>
    </row>
    <row r="67" spans="1:21" ht="20.100000000000001" customHeight="1" x14ac:dyDescent="0.2">
      <c r="A67" s="1093" t="s">
        <v>682</v>
      </c>
      <c r="B67" s="1090" t="s">
        <v>802</v>
      </c>
      <c r="C67" s="1091">
        <f t="shared" ref="C67" si="185">C68+C72+C84+C94+C96+C99+C102+C110+C117+C123+C126</f>
        <v>7263.9210000000003</v>
      </c>
      <c r="D67" s="1091">
        <f t="shared" ref="D67:E67" si="186">D68+D72+D84+D94+D96+D99+D102+D110+D117+D123+D126</f>
        <v>692.95</v>
      </c>
      <c r="E67" s="1091">
        <f t="shared" si="186"/>
        <v>6570.9710000000005</v>
      </c>
      <c r="F67" s="1091">
        <f t="shared" ref="F67:O67" si="187">F68+F72+F84+F94+F96+F99+F102+F110+F117+F123+F126</f>
        <v>3859</v>
      </c>
      <c r="G67" s="1091">
        <f t="shared" ref="G67" si="188">G68+G72+G84+G94+G96+G99+G102+G110+G117+G123+G126</f>
        <v>1426</v>
      </c>
      <c r="H67" s="1091">
        <v>2433</v>
      </c>
      <c r="I67" s="1091">
        <f t="shared" ref="I67:K67" si="189">I68+I72+I84+I94+I96+I99+I102+I110+I117+I123+I126</f>
        <v>3859</v>
      </c>
      <c r="J67" s="1091">
        <f t="shared" si="189"/>
        <v>1426</v>
      </c>
      <c r="K67" s="1091">
        <f t="shared" si="189"/>
        <v>2433</v>
      </c>
      <c r="L67" s="1091">
        <f t="shared" si="187"/>
        <v>3196.4489999999996</v>
      </c>
      <c r="M67" s="1091">
        <f t="shared" ref="M67" si="190">M68+M72+M84+M94+M96+M99+M102+M110+M117+M123+M126</f>
        <v>0</v>
      </c>
      <c r="N67" s="1091">
        <f t="shared" ref="N67" si="191">N68+N72+N84+N94+N96+N99+N102+N110+N117+N123+N126</f>
        <v>3196.4489999999996</v>
      </c>
      <c r="O67" s="1091">
        <f t="shared" si="187"/>
        <v>1128.8130000000001</v>
      </c>
      <c r="P67" s="1091">
        <f t="shared" ref="P67" si="192">P68+P72+P84+P94+P96+P99+P102+P110+P117+P123+P126</f>
        <v>50.14</v>
      </c>
      <c r="Q67" s="1091">
        <f t="shared" ref="Q67" si="193">Q68+Q72+Q84+Q94+Q96+Q99+Q102+Q110+Q117+Q123+Q126</f>
        <v>1078.673</v>
      </c>
      <c r="R67" s="1092"/>
      <c r="T67" s="1060">
        <f>P67/J67*100</f>
        <v>3.5161290322580649</v>
      </c>
      <c r="U67" s="1061">
        <f>M67/D67*100</f>
        <v>0</v>
      </c>
    </row>
    <row r="68" spans="1:21" ht="65.099999999999994" customHeight="1" x14ac:dyDescent="0.2">
      <c r="A68" s="1093" t="s">
        <v>15</v>
      </c>
      <c r="B68" s="1090" t="s">
        <v>803</v>
      </c>
      <c r="C68" s="1091">
        <f t="shared" ref="C68" si="194">SUM(C69:C71)</f>
        <v>669</v>
      </c>
      <c r="D68" s="1091">
        <f t="shared" ref="D68" si="195">SUM(D69:D71)</f>
        <v>669</v>
      </c>
      <c r="E68" s="1091">
        <v>0</v>
      </c>
      <c r="F68" s="1091">
        <f t="shared" ref="F68:O68" si="196">SUM(F69:F71)</f>
        <v>0</v>
      </c>
      <c r="G68" s="1091">
        <f t="shared" ref="G68" si="197">SUM(G69:G71)</f>
        <v>0</v>
      </c>
      <c r="H68" s="1091">
        <v>0</v>
      </c>
      <c r="I68" s="1091">
        <f t="shared" ref="I68:J68" si="198">SUM(I69:I71)</f>
        <v>0</v>
      </c>
      <c r="J68" s="1091">
        <f t="shared" si="198"/>
        <v>0</v>
      </c>
      <c r="K68" s="1091">
        <v>0</v>
      </c>
      <c r="L68" s="1091">
        <f t="shared" si="196"/>
        <v>0</v>
      </c>
      <c r="M68" s="1091">
        <f t="shared" ref="M68" si="199">SUM(M69:M71)</f>
        <v>0</v>
      </c>
      <c r="N68" s="1091">
        <f t="shared" ref="N68" si="200">SUM(N69:N71)</f>
        <v>0</v>
      </c>
      <c r="O68" s="1091">
        <f t="shared" si="196"/>
        <v>0</v>
      </c>
      <c r="P68" s="1091">
        <f t="shared" ref="P68" si="201">SUM(P69:P71)</f>
        <v>0</v>
      </c>
      <c r="Q68" s="1091">
        <f t="shared" ref="Q68" si="202">SUM(Q69:Q71)</f>
        <v>0</v>
      </c>
      <c r="R68" s="1092"/>
    </row>
    <row r="69" spans="1:21" ht="50.1" customHeight="1" x14ac:dyDescent="0.2">
      <c r="A69" s="1094">
        <v>1</v>
      </c>
      <c r="B69" s="1095" t="s">
        <v>804</v>
      </c>
      <c r="C69" s="1096">
        <f t="shared" ref="C69:C83" si="203">SUM(D69:E69)</f>
        <v>669</v>
      </c>
      <c r="D69" s="1096">
        <v>669</v>
      </c>
      <c r="E69" s="1096"/>
      <c r="F69" s="1096">
        <f t="shared" ref="F69:F131" si="204">SUM(G69:H69)</f>
        <v>0</v>
      </c>
      <c r="G69" s="1096"/>
      <c r="H69" s="1096"/>
      <c r="I69" s="1096">
        <f t="shared" ref="I69:I93" si="205">SUM(J69:K69)</f>
        <v>0</v>
      </c>
      <c r="J69" s="1096"/>
      <c r="K69" s="1096"/>
      <c r="L69" s="1096">
        <f t="shared" ref="L69:L83" si="206">SUM(M69:N69)</f>
        <v>0</v>
      </c>
      <c r="M69" s="1096"/>
      <c r="N69" s="1096"/>
      <c r="O69" s="1096">
        <f t="shared" ref="O69:O83" si="207">SUM(P69:Q69)</f>
        <v>0</v>
      </c>
      <c r="P69" s="1096"/>
      <c r="Q69" s="1096"/>
      <c r="R69" s="1097"/>
    </row>
    <row r="70" spans="1:21" ht="65.099999999999994" customHeight="1" x14ac:dyDescent="0.2">
      <c r="A70" s="1094">
        <v>2</v>
      </c>
      <c r="B70" s="1095" t="s">
        <v>805</v>
      </c>
      <c r="C70" s="1096">
        <f t="shared" si="203"/>
        <v>0</v>
      </c>
      <c r="D70" s="1096"/>
      <c r="E70" s="1096"/>
      <c r="F70" s="1096">
        <f t="shared" si="204"/>
        <v>0</v>
      </c>
      <c r="G70" s="1096"/>
      <c r="H70" s="1096"/>
      <c r="I70" s="1096">
        <f t="shared" si="205"/>
        <v>0</v>
      </c>
      <c r="J70" s="1096"/>
      <c r="K70" s="1096"/>
      <c r="L70" s="1096">
        <f t="shared" si="206"/>
        <v>0</v>
      </c>
      <c r="M70" s="1096"/>
      <c r="N70" s="1096"/>
      <c r="O70" s="1096">
        <f t="shared" si="207"/>
        <v>0</v>
      </c>
      <c r="P70" s="1096"/>
      <c r="Q70" s="1096"/>
      <c r="R70" s="1097"/>
    </row>
    <row r="71" spans="1:21" ht="50.1" customHeight="1" x14ac:dyDescent="0.2">
      <c r="A71" s="1094">
        <v>3</v>
      </c>
      <c r="B71" s="1095" t="s">
        <v>806</v>
      </c>
      <c r="C71" s="1096">
        <f t="shared" si="203"/>
        <v>0</v>
      </c>
      <c r="D71" s="1096"/>
      <c r="E71" s="1096"/>
      <c r="F71" s="1096">
        <f t="shared" si="204"/>
        <v>0</v>
      </c>
      <c r="G71" s="1096"/>
      <c r="H71" s="1096"/>
      <c r="I71" s="1096">
        <f t="shared" si="205"/>
        <v>0</v>
      </c>
      <c r="J71" s="1096"/>
      <c r="K71" s="1096"/>
      <c r="L71" s="1096">
        <f t="shared" si="206"/>
        <v>0</v>
      </c>
      <c r="M71" s="1096"/>
      <c r="N71" s="1096"/>
      <c r="O71" s="1096">
        <f t="shared" si="207"/>
        <v>0</v>
      </c>
      <c r="P71" s="1096"/>
      <c r="Q71" s="1096"/>
      <c r="R71" s="1097"/>
    </row>
    <row r="72" spans="1:21" ht="50.1" customHeight="1" x14ac:dyDescent="0.2">
      <c r="A72" s="1098" t="s">
        <v>25</v>
      </c>
      <c r="B72" s="1099" t="s">
        <v>807</v>
      </c>
      <c r="C72" s="1100">
        <f t="shared" si="203"/>
        <v>6570.9710000000005</v>
      </c>
      <c r="D72" s="1100">
        <f>SUM(D73:D83)</f>
        <v>0</v>
      </c>
      <c r="E72" s="1100">
        <v>6570.9710000000005</v>
      </c>
      <c r="F72" s="1100">
        <f t="shared" si="204"/>
        <v>2433</v>
      </c>
      <c r="G72" s="1100">
        <f>SUM(G73:G83)</f>
        <v>0</v>
      </c>
      <c r="H72" s="1100">
        <v>2433</v>
      </c>
      <c r="I72" s="1100">
        <f t="shared" si="205"/>
        <v>2433</v>
      </c>
      <c r="J72" s="1100">
        <f>SUM(J73:J83)</f>
        <v>0</v>
      </c>
      <c r="K72" s="1100">
        <v>2433</v>
      </c>
      <c r="L72" s="1100">
        <f t="shared" si="206"/>
        <v>3196.4489999999996</v>
      </c>
      <c r="M72" s="1100">
        <f>SUM(M73:M83)</f>
        <v>0</v>
      </c>
      <c r="N72" s="1100">
        <f>MTQG!Q9</f>
        <v>3196.4489999999996</v>
      </c>
      <c r="O72" s="1100">
        <f t="shared" si="207"/>
        <v>1078.673</v>
      </c>
      <c r="P72" s="1100">
        <f>SUM(P73:P83)</f>
        <v>0</v>
      </c>
      <c r="Q72" s="1100">
        <f>MTQG!N9</f>
        <v>1078.673</v>
      </c>
      <c r="R72" s="1101"/>
    </row>
    <row r="73" spans="1:21" ht="50.1" customHeight="1" x14ac:dyDescent="0.2">
      <c r="A73" s="1094">
        <v>1</v>
      </c>
      <c r="B73" s="1095" t="s">
        <v>808</v>
      </c>
      <c r="C73" s="1096">
        <f t="shared" si="203"/>
        <v>0</v>
      </c>
      <c r="D73" s="1096"/>
      <c r="E73" s="1096"/>
      <c r="F73" s="1096">
        <f t="shared" si="204"/>
        <v>0</v>
      </c>
      <c r="G73" s="1096"/>
      <c r="H73" s="1096"/>
      <c r="I73" s="1096">
        <f t="shared" si="205"/>
        <v>0</v>
      </c>
      <c r="J73" s="1096"/>
      <c r="K73" s="1096"/>
      <c r="L73" s="1096">
        <f t="shared" si="206"/>
        <v>0</v>
      </c>
      <c r="M73" s="1096"/>
      <c r="N73" s="1096"/>
      <c r="O73" s="1096">
        <f t="shared" si="207"/>
        <v>0</v>
      </c>
      <c r="P73" s="1096"/>
      <c r="Q73" s="1096"/>
      <c r="R73" s="1097"/>
    </row>
    <row r="74" spans="1:21" ht="50.1" customHeight="1" x14ac:dyDescent="0.2">
      <c r="A74" s="1094">
        <v>2</v>
      </c>
      <c r="B74" s="1095" t="s">
        <v>809</v>
      </c>
      <c r="C74" s="1096">
        <f t="shared" si="203"/>
        <v>0</v>
      </c>
      <c r="D74" s="1096"/>
      <c r="E74" s="1096"/>
      <c r="F74" s="1096">
        <f t="shared" si="204"/>
        <v>0</v>
      </c>
      <c r="G74" s="1096"/>
      <c r="H74" s="1096"/>
      <c r="I74" s="1096">
        <f t="shared" si="205"/>
        <v>0</v>
      </c>
      <c r="J74" s="1096"/>
      <c r="K74" s="1096"/>
      <c r="L74" s="1096">
        <f t="shared" si="206"/>
        <v>0</v>
      </c>
      <c r="M74" s="1096"/>
      <c r="N74" s="1096"/>
      <c r="O74" s="1096">
        <f t="shared" si="207"/>
        <v>0</v>
      </c>
      <c r="P74" s="1096"/>
      <c r="Q74" s="1096"/>
      <c r="R74" s="1097"/>
    </row>
    <row r="75" spans="1:21" ht="36" customHeight="1" x14ac:dyDescent="0.2">
      <c r="A75" s="1094">
        <v>3</v>
      </c>
      <c r="B75" s="1095" t="s">
        <v>810</v>
      </c>
      <c r="C75" s="1096">
        <f t="shared" si="203"/>
        <v>0</v>
      </c>
      <c r="D75" s="1096"/>
      <c r="E75" s="1096"/>
      <c r="F75" s="1096">
        <f t="shared" si="204"/>
        <v>0</v>
      </c>
      <c r="G75" s="1096"/>
      <c r="H75" s="1096"/>
      <c r="I75" s="1096">
        <f t="shared" si="205"/>
        <v>0</v>
      </c>
      <c r="J75" s="1096"/>
      <c r="K75" s="1096"/>
      <c r="L75" s="1096">
        <f t="shared" si="206"/>
        <v>0</v>
      </c>
      <c r="M75" s="1096"/>
      <c r="N75" s="1096"/>
      <c r="O75" s="1096">
        <f t="shared" si="207"/>
        <v>0</v>
      </c>
      <c r="P75" s="1096"/>
      <c r="Q75" s="1096"/>
      <c r="R75" s="1097"/>
    </row>
    <row r="76" spans="1:21" ht="65.099999999999994" customHeight="1" x14ac:dyDescent="0.2">
      <c r="A76" s="1094">
        <v>4</v>
      </c>
      <c r="B76" s="1095" t="s">
        <v>811</v>
      </c>
      <c r="C76" s="1096">
        <f t="shared" si="203"/>
        <v>0</v>
      </c>
      <c r="D76" s="1096"/>
      <c r="E76" s="1096"/>
      <c r="F76" s="1096">
        <f t="shared" si="204"/>
        <v>0</v>
      </c>
      <c r="G76" s="1096"/>
      <c r="H76" s="1096"/>
      <c r="I76" s="1096">
        <f t="shared" si="205"/>
        <v>0</v>
      </c>
      <c r="J76" s="1096"/>
      <c r="K76" s="1096"/>
      <c r="L76" s="1096">
        <f t="shared" si="206"/>
        <v>0</v>
      </c>
      <c r="M76" s="1096"/>
      <c r="N76" s="1096"/>
      <c r="O76" s="1096">
        <f t="shared" si="207"/>
        <v>0</v>
      </c>
      <c r="P76" s="1096"/>
      <c r="Q76" s="1096"/>
      <c r="R76" s="1097"/>
    </row>
    <row r="77" spans="1:21" ht="65.099999999999994" customHeight="1" x14ac:dyDescent="0.2">
      <c r="A77" s="1094">
        <v>5</v>
      </c>
      <c r="B77" s="1095" t="s">
        <v>812</v>
      </c>
      <c r="C77" s="1096">
        <f t="shared" si="203"/>
        <v>0</v>
      </c>
      <c r="D77" s="1096"/>
      <c r="E77" s="1096"/>
      <c r="F77" s="1096">
        <f t="shared" si="204"/>
        <v>0</v>
      </c>
      <c r="G77" s="1096"/>
      <c r="H77" s="1096"/>
      <c r="I77" s="1096">
        <f t="shared" si="205"/>
        <v>0</v>
      </c>
      <c r="J77" s="1096"/>
      <c r="K77" s="1096"/>
      <c r="L77" s="1096">
        <f t="shared" si="206"/>
        <v>0</v>
      </c>
      <c r="M77" s="1096"/>
      <c r="N77" s="1096"/>
      <c r="O77" s="1096">
        <f t="shared" si="207"/>
        <v>0</v>
      </c>
      <c r="P77" s="1096"/>
      <c r="Q77" s="1096"/>
      <c r="R77" s="1097"/>
    </row>
    <row r="78" spans="1:21" ht="65.099999999999994" customHeight="1" x14ac:dyDescent="0.2">
      <c r="A78" s="1094">
        <v>6</v>
      </c>
      <c r="B78" s="1095" t="s">
        <v>813</v>
      </c>
      <c r="C78" s="1096">
        <f t="shared" si="203"/>
        <v>0</v>
      </c>
      <c r="D78" s="1096"/>
      <c r="E78" s="1096"/>
      <c r="F78" s="1096">
        <f t="shared" si="204"/>
        <v>0</v>
      </c>
      <c r="G78" s="1096"/>
      <c r="H78" s="1096"/>
      <c r="I78" s="1096">
        <f t="shared" si="205"/>
        <v>0</v>
      </c>
      <c r="J78" s="1096"/>
      <c r="K78" s="1096"/>
      <c r="L78" s="1096">
        <f t="shared" si="206"/>
        <v>0</v>
      </c>
      <c r="M78" s="1096"/>
      <c r="N78" s="1096"/>
      <c r="O78" s="1096">
        <f t="shared" si="207"/>
        <v>0</v>
      </c>
      <c r="P78" s="1096"/>
      <c r="Q78" s="1096"/>
      <c r="R78" s="1097"/>
    </row>
    <row r="79" spans="1:21" ht="50.1" customHeight="1" x14ac:dyDescent="0.2">
      <c r="A79" s="1094">
        <v>7</v>
      </c>
      <c r="B79" s="1095" t="s">
        <v>814</v>
      </c>
      <c r="C79" s="1096">
        <f t="shared" si="203"/>
        <v>0</v>
      </c>
      <c r="D79" s="1096"/>
      <c r="E79" s="1096"/>
      <c r="F79" s="1096">
        <f t="shared" si="204"/>
        <v>0</v>
      </c>
      <c r="G79" s="1096"/>
      <c r="H79" s="1096"/>
      <c r="I79" s="1096">
        <f t="shared" si="205"/>
        <v>0</v>
      </c>
      <c r="J79" s="1096"/>
      <c r="K79" s="1096"/>
      <c r="L79" s="1096">
        <f t="shared" si="206"/>
        <v>0</v>
      </c>
      <c r="M79" s="1096"/>
      <c r="N79" s="1096"/>
      <c r="O79" s="1096">
        <f t="shared" si="207"/>
        <v>0</v>
      </c>
      <c r="P79" s="1096"/>
      <c r="Q79" s="1096"/>
      <c r="R79" s="1097"/>
    </row>
    <row r="80" spans="1:21" ht="36" customHeight="1" x14ac:dyDescent="0.2">
      <c r="A80" s="1094">
        <v>8</v>
      </c>
      <c r="B80" s="1095" t="s">
        <v>815</v>
      </c>
      <c r="C80" s="1096">
        <f t="shared" si="203"/>
        <v>0</v>
      </c>
      <c r="D80" s="1096"/>
      <c r="E80" s="1096"/>
      <c r="F80" s="1096">
        <f t="shared" si="204"/>
        <v>0</v>
      </c>
      <c r="G80" s="1096"/>
      <c r="H80" s="1096"/>
      <c r="I80" s="1096">
        <f t="shared" si="205"/>
        <v>0</v>
      </c>
      <c r="J80" s="1096"/>
      <c r="K80" s="1096"/>
      <c r="L80" s="1096">
        <f t="shared" si="206"/>
        <v>0</v>
      </c>
      <c r="M80" s="1096"/>
      <c r="N80" s="1096"/>
      <c r="O80" s="1096">
        <f t="shared" si="207"/>
        <v>0</v>
      </c>
      <c r="P80" s="1096"/>
      <c r="Q80" s="1096"/>
      <c r="R80" s="1097"/>
    </row>
    <row r="81" spans="1:18" ht="36" customHeight="1" x14ac:dyDescent="0.2">
      <c r="A81" s="1094">
        <v>9</v>
      </c>
      <c r="B81" s="1095" t="s">
        <v>816</v>
      </c>
      <c r="C81" s="1096">
        <f t="shared" si="203"/>
        <v>0</v>
      </c>
      <c r="D81" s="1096"/>
      <c r="E81" s="1096"/>
      <c r="F81" s="1096">
        <f t="shared" si="204"/>
        <v>0</v>
      </c>
      <c r="G81" s="1096"/>
      <c r="H81" s="1096"/>
      <c r="I81" s="1096">
        <f t="shared" si="205"/>
        <v>0</v>
      </c>
      <c r="J81" s="1096"/>
      <c r="K81" s="1096"/>
      <c r="L81" s="1096">
        <f t="shared" si="206"/>
        <v>0</v>
      </c>
      <c r="M81" s="1096"/>
      <c r="N81" s="1096"/>
      <c r="O81" s="1096">
        <f t="shared" si="207"/>
        <v>0</v>
      </c>
      <c r="P81" s="1096"/>
      <c r="Q81" s="1096"/>
      <c r="R81" s="1097"/>
    </row>
    <row r="82" spans="1:18" ht="36" customHeight="1" x14ac:dyDescent="0.2">
      <c r="A82" s="1094">
        <v>10</v>
      </c>
      <c r="B82" s="1095" t="s">
        <v>817</v>
      </c>
      <c r="C82" s="1096">
        <f t="shared" si="203"/>
        <v>0</v>
      </c>
      <c r="D82" s="1096"/>
      <c r="E82" s="1096"/>
      <c r="F82" s="1096">
        <f t="shared" si="204"/>
        <v>0</v>
      </c>
      <c r="G82" s="1096"/>
      <c r="H82" s="1096"/>
      <c r="I82" s="1096">
        <f t="shared" si="205"/>
        <v>0</v>
      </c>
      <c r="J82" s="1096"/>
      <c r="K82" s="1096"/>
      <c r="L82" s="1096">
        <f t="shared" si="206"/>
        <v>0</v>
      </c>
      <c r="M82" s="1096"/>
      <c r="N82" s="1096"/>
      <c r="O82" s="1096">
        <f t="shared" si="207"/>
        <v>0</v>
      </c>
      <c r="P82" s="1096"/>
      <c r="Q82" s="1096"/>
      <c r="R82" s="1097"/>
    </row>
    <row r="83" spans="1:18" ht="50.1" customHeight="1" x14ac:dyDescent="0.2">
      <c r="A83" s="1094">
        <v>11</v>
      </c>
      <c r="B83" s="1095" t="s">
        <v>818</v>
      </c>
      <c r="C83" s="1096">
        <f t="shared" si="203"/>
        <v>0</v>
      </c>
      <c r="D83" s="1096"/>
      <c r="E83" s="1096"/>
      <c r="F83" s="1096">
        <f t="shared" si="204"/>
        <v>0</v>
      </c>
      <c r="G83" s="1096"/>
      <c r="H83" s="1096"/>
      <c r="I83" s="1096">
        <f t="shared" si="205"/>
        <v>0</v>
      </c>
      <c r="J83" s="1096"/>
      <c r="K83" s="1096"/>
      <c r="L83" s="1096">
        <f t="shared" si="206"/>
        <v>0</v>
      </c>
      <c r="M83" s="1096"/>
      <c r="N83" s="1096"/>
      <c r="O83" s="1096">
        <f t="shared" si="207"/>
        <v>0</v>
      </c>
      <c r="P83" s="1096"/>
      <c r="Q83" s="1096"/>
      <c r="R83" s="1097"/>
    </row>
    <row r="84" spans="1:18" ht="50.1" customHeight="1" x14ac:dyDescent="0.2">
      <c r="A84" s="1098" t="s">
        <v>559</v>
      </c>
      <c r="B84" s="1099" t="s">
        <v>819</v>
      </c>
      <c r="C84" s="1100">
        <f t="shared" ref="C84" si="208">SUM(C85:C93)</f>
        <v>0</v>
      </c>
      <c r="D84" s="1100">
        <f t="shared" ref="D84" si="209">SUM(D85:D93)</f>
        <v>0</v>
      </c>
      <c r="E84" s="1100">
        <v>0</v>
      </c>
      <c r="F84" s="1100">
        <f t="shared" si="204"/>
        <v>1326</v>
      </c>
      <c r="G84" s="1100">
        <f t="shared" ref="G84" si="210">SUM(G85:G93)</f>
        <v>1326</v>
      </c>
      <c r="H84" s="1100">
        <v>0</v>
      </c>
      <c r="I84" s="1100">
        <f t="shared" si="205"/>
        <v>1326</v>
      </c>
      <c r="J84" s="1100">
        <f t="shared" ref="J84" si="211">SUM(J85:J93)</f>
        <v>1326</v>
      </c>
      <c r="K84" s="1100">
        <v>0</v>
      </c>
      <c r="L84" s="1100">
        <f t="shared" ref="L84:O84" si="212">SUM(L85:L93)</f>
        <v>0</v>
      </c>
      <c r="M84" s="1100">
        <f t="shared" ref="M84" si="213">SUM(M85:M93)</f>
        <v>0</v>
      </c>
      <c r="N84" s="1100">
        <f t="shared" ref="N84" si="214">SUM(N85:N93)</f>
        <v>0</v>
      </c>
      <c r="O84" s="1100">
        <f t="shared" si="212"/>
        <v>0</v>
      </c>
      <c r="P84" s="1100">
        <f t="shared" ref="P84" si="215">SUM(P85:P93)</f>
        <v>0</v>
      </c>
      <c r="Q84" s="1100">
        <f t="shared" ref="Q84" si="216">SUM(Q85:Q93)</f>
        <v>0</v>
      </c>
      <c r="R84" s="1097"/>
    </row>
    <row r="85" spans="1:18" ht="36" customHeight="1" x14ac:dyDescent="0.2">
      <c r="A85" s="1094">
        <v>1</v>
      </c>
      <c r="B85" s="1095" t="s">
        <v>820</v>
      </c>
      <c r="C85" s="1096">
        <f t="shared" ref="C85:C93" si="217">SUM(D85:E85)</f>
        <v>0</v>
      </c>
      <c r="D85" s="1096"/>
      <c r="E85" s="1096"/>
      <c r="F85" s="1096">
        <f t="shared" si="204"/>
        <v>0</v>
      </c>
      <c r="G85" s="1096"/>
      <c r="H85" s="1096"/>
      <c r="I85" s="1096">
        <f t="shared" si="205"/>
        <v>0</v>
      </c>
      <c r="J85" s="1096"/>
      <c r="K85" s="1096"/>
      <c r="L85" s="1096">
        <f t="shared" ref="L85:L93" si="218">SUM(M85:N85)</f>
        <v>0</v>
      </c>
      <c r="M85" s="1096"/>
      <c r="N85" s="1096"/>
      <c r="O85" s="1096">
        <f t="shared" ref="O85:O93" si="219">SUM(P85:Q85)</f>
        <v>0</v>
      </c>
      <c r="P85" s="1096"/>
      <c r="Q85" s="1096"/>
      <c r="R85" s="1097"/>
    </row>
    <row r="86" spans="1:18" ht="50.1" customHeight="1" x14ac:dyDescent="0.2">
      <c r="A86" s="1094">
        <v>2</v>
      </c>
      <c r="B86" s="1095" t="s">
        <v>821</v>
      </c>
      <c r="C86" s="1096">
        <f t="shared" si="217"/>
        <v>0</v>
      </c>
      <c r="D86" s="1096"/>
      <c r="E86" s="1096"/>
      <c r="F86" s="1096">
        <f t="shared" si="204"/>
        <v>1326</v>
      </c>
      <c r="G86" s="1096">
        <v>1326</v>
      </c>
      <c r="H86" s="1096"/>
      <c r="I86" s="1096">
        <f t="shared" si="205"/>
        <v>1326</v>
      </c>
      <c r="J86" s="1096">
        <v>1326</v>
      </c>
      <c r="K86" s="1096"/>
      <c r="L86" s="1096">
        <f t="shared" si="218"/>
        <v>0</v>
      </c>
      <c r="M86" s="1096"/>
      <c r="N86" s="1096"/>
      <c r="O86" s="1096">
        <f t="shared" si="219"/>
        <v>0</v>
      </c>
      <c r="P86" s="1096"/>
      <c r="Q86" s="1096"/>
      <c r="R86" s="1097"/>
    </row>
    <row r="87" spans="1:18" ht="50.1" customHeight="1" x14ac:dyDescent="0.2">
      <c r="A87" s="1094">
        <v>3</v>
      </c>
      <c r="B87" s="1095" t="s">
        <v>822</v>
      </c>
      <c r="C87" s="1096">
        <f t="shared" si="217"/>
        <v>0</v>
      </c>
      <c r="D87" s="1096"/>
      <c r="E87" s="1096"/>
      <c r="F87" s="1096">
        <f t="shared" si="204"/>
        <v>0</v>
      </c>
      <c r="G87" s="1096"/>
      <c r="H87" s="1096"/>
      <c r="I87" s="1096">
        <f t="shared" si="205"/>
        <v>0</v>
      </c>
      <c r="J87" s="1096"/>
      <c r="K87" s="1096"/>
      <c r="L87" s="1096">
        <f t="shared" si="218"/>
        <v>0</v>
      </c>
      <c r="M87" s="1096"/>
      <c r="N87" s="1096"/>
      <c r="O87" s="1096">
        <f t="shared" si="219"/>
        <v>0</v>
      </c>
      <c r="P87" s="1096"/>
      <c r="Q87" s="1096"/>
      <c r="R87" s="1097"/>
    </row>
    <row r="88" spans="1:18" ht="50.1" customHeight="1" x14ac:dyDescent="0.2">
      <c r="A88" s="1094">
        <v>4</v>
      </c>
      <c r="B88" s="1095" t="s">
        <v>823</v>
      </c>
      <c r="C88" s="1096">
        <f t="shared" si="217"/>
        <v>0</v>
      </c>
      <c r="D88" s="1096"/>
      <c r="E88" s="1096"/>
      <c r="F88" s="1096">
        <f t="shared" si="204"/>
        <v>0</v>
      </c>
      <c r="G88" s="1096"/>
      <c r="H88" s="1096"/>
      <c r="I88" s="1096">
        <f t="shared" si="205"/>
        <v>0</v>
      </c>
      <c r="J88" s="1096"/>
      <c r="K88" s="1096"/>
      <c r="L88" s="1096">
        <f t="shared" si="218"/>
        <v>0</v>
      </c>
      <c r="M88" s="1096"/>
      <c r="N88" s="1096"/>
      <c r="O88" s="1096">
        <f t="shared" si="219"/>
        <v>0</v>
      </c>
      <c r="P88" s="1096"/>
      <c r="Q88" s="1096"/>
      <c r="R88" s="1097"/>
    </row>
    <row r="89" spans="1:18" ht="50.1" customHeight="1" x14ac:dyDescent="0.2">
      <c r="A89" s="1094">
        <v>5</v>
      </c>
      <c r="B89" s="1095" t="s">
        <v>824</v>
      </c>
      <c r="C89" s="1096">
        <f t="shared" si="217"/>
        <v>0</v>
      </c>
      <c r="D89" s="1096"/>
      <c r="E89" s="1096"/>
      <c r="F89" s="1096">
        <f t="shared" si="204"/>
        <v>0</v>
      </c>
      <c r="G89" s="1096"/>
      <c r="H89" s="1096"/>
      <c r="I89" s="1096">
        <f t="shared" si="205"/>
        <v>0</v>
      </c>
      <c r="J89" s="1096"/>
      <c r="K89" s="1096"/>
      <c r="L89" s="1096">
        <f t="shared" si="218"/>
        <v>0</v>
      </c>
      <c r="M89" s="1096"/>
      <c r="N89" s="1096"/>
      <c r="O89" s="1096">
        <f t="shared" si="219"/>
        <v>0</v>
      </c>
      <c r="P89" s="1096"/>
      <c r="Q89" s="1096"/>
      <c r="R89" s="1097"/>
    </row>
    <row r="90" spans="1:18" ht="36" customHeight="1" x14ac:dyDescent="0.2">
      <c r="A90" s="1094">
        <v>6</v>
      </c>
      <c r="B90" s="1095" t="s">
        <v>825</v>
      </c>
      <c r="C90" s="1096">
        <f t="shared" si="217"/>
        <v>0</v>
      </c>
      <c r="D90" s="1096"/>
      <c r="E90" s="1096"/>
      <c r="F90" s="1096">
        <f t="shared" si="204"/>
        <v>0</v>
      </c>
      <c r="G90" s="1096"/>
      <c r="H90" s="1096"/>
      <c r="I90" s="1096">
        <f t="shared" si="205"/>
        <v>0</v>
      </c>
      <c r="J90" s="1096"/>
      <c r="K90" s="1096"/>
      <c r="L90" s="1096">
        <f t="shared" si="218"/>
        <v>0</v>
      </c>
      <c r="M90" s="1096"/>
      <c r="N90" s="1096"/>
      <c r="O90" s="1096">
        <f t="shared" si="219"/>
        <v>0</v>
      </c>
      <c r="P90" s="1096"/>
      <c r="Q90" s="1096"/>
      <c r="R90" s="1097"/>
    </row>
    <row r="91" spans="1:18" ht="36" customHeight="1" x14ac:dyDescent="0.2">
      <c r="A91" s="1094">
        <v>7</v>
      </c>
      <c r="B91" s="1095" t="s">
        <v>826</v>
      </c>
      <c r="C91" s="1096">
        <f t="shared" si="217"/>
        <v>0</v>
      </c>
      <c r="D91" s="1096"/>
      <c r="E91" s="1096"/>
      <c r="F91" s="1096">
        <f t="shared" si="204"/>
        <v>0</v>
      </c>
      <c r="G91" s="1096"/>
      <c r="H91" s="1096"/>
      <c r="I91" s="1096">
        <f t="shared" si="205"/>
        <v>0</v>
      </c>
      <c r="J91" s="1096"/>
      <c r="K91" s="1096"/>
      <c r="L91" s="1096">
        <f t="shared" si="218"/>
        <v>0</v>
      </c>
      <c r="M91" s="1096"/>
      <c r="N91" s="1096"/>
      <c r="O91" s="1096">
        <f t="shared" si="219"/>
        <v>0</v>
      </c>
      <c r="P91" s="1096"/>
      <c r="Q91" s="1096"/>
      <c r="R91" s="1097"/>
    </row>
    <row r="92" spans="1:18" ht="36" customHeight="1" x14ac:dyDescent="0.2">
      <c r="A92" s="1094">
        <v>8</v>
      </c>
      <c r="B92" s="1095" t="s">
        <v>827</v>
      </c>
      <c r="C92" s="1096">
        <f t="shared" si="217"/>
        <v>0</v>
      </c>
      <c r="D92" s="1096"/>
      <c r="E92" s="1096"/>
      <c r="F92" s="1096">
        <f t="shared" si="204"/>
        <v>0</v>
      </c>
      <c r="G92" s="1096"/>
      <c r="H92" s="1096"/>
      <c r="I92" s="1096">
        <f t="shared" si="205"/>
        <v>0</v>
      </c>
      <c r="J92" s="1096"/>
      <c r="K92" s="1096"/>
      <c r="L92" s="1096">
        <f t="shared" si="218"/>
        <v>0</v>
      </c>
      <c r="M92" s="1096"/>
      <c r="N92" s="1096"/>
      <c r="O92" s="1096">
        <f t="shared" si="219"/>
        <v>0</v>
      </c>
      <c r="P92" s="1096"/>
      <c r="Q92" s="1096"/>
      <c r="R92" s="1097"/>
    </row>
    <row r="93" spans="1:18" ht="50.1" customHeight="1" x14ac:dyDescent="0.2">
      <c r="A93" s="1094">
        <v>9</v>
      </c>
      <c r="B93" s="1095" t="s">
        <v>828</v>
      </c>
      <c r="C93" s="1096">
        <f t="shared" si="217"/>
        <v>0</v>
      </c>
      <c r="D93" s="1096"/>
      <c r="E93" s="1096"/>
      <c r="F93" s="1096">
        <f t="shared" si="204"/>
        <v>0</v>
      </c>
      <c r="G93" s="1096"/>
      <c r="H93" s="1096"/>
      <c r="I93" s="1096">
        <f t="shared" si="205"/>
        <v>0</v>
      </c>
      <c r="J93" s="1096"/>
      <c r="K93" s="1096"/>
      <c r="L93" s="1096">
        <f t="shared" si="218"/>
        <v>0</v>
      </c>
      <c r="M93" s="1096"/>
      <c r="N93" s="1096"/>
      <c r="O93" s="1096">
        <f t="shared" si="219"/>
        <v>0</v>
      </c>
      <c r="P93" s="1096"/>
      <c r="Q93" s="1096"/>
      <c r="R93" s="1097"/>
    </row>
    <row r="94" spans="1:18" ht="50.1" customHeight="1" x14ac:dyDescent="0.2">
      <c r="A94" s="1098" t="s">
        <v>751</v>
      </c>
      <c r="B94" s="1099" t="s">
        <v>829</v>
      </c>
      <c r="C94" s="1100">
        <f t="shared" ref="C94:Q94" si="220">C95</f>
        <v>0</v>
      </c>
      <c r="D94" s="1100">
        <f t="shared" si="220"/>
        <v>0</v>
      </c>
      <c r="E94" s="1100">
        <v>0</v>
      </c>
      <c r="F94" s="1100">
        <f t="shared" si="220"/>
        <v>0</v>
      </c>
      <c r="G94" s="1100">
        <f t="shared" si="220"/>
        <v>0</v>
      </c>
      <c r="H94" s="1100">
        <v>0</v>
      </c>
      <c r="I94" s="1100">
        <f t="shared" si="220"/>
        <v>0</v>
      </c>
      <c r="J94" s="1100">
        <f t="shared" si="220"/>
        <v>0</v>
      </c>
      <c r="K94" s="1100">
        <v>0</v>
      </c>
      <c r="L94" s="1100">
        <f t="shared" si="220"/>
        <v>0</v>
      </c>
      <c r="M94" s="1100">
        <f t="shared" si="220"/>
        <v>0</v>
      </c>
      <c r="N94" s="1100">
        <f t="shared" si="220"/>
        <v>0</v>
      </c>
      <c r="O94" s="1100">
        <f t="shared" si="220"/>
        <v>0</v>
      </c>
      <c r="P94" s="1100">
        <f t="shared" si="220"/>
        <v>0</v>
      </c>
      <c r="Q94" s="1100">
        <f t="shared" si="220"/>
        <v>0</v>
      </c>
      <c r="R94" s="1097"/>
    </row>
    <row r="95" spans="1:18" ht="36" customHeight="1" x14ac:dyDescent="0.2">
      <c r="A95" s="1094">
        <v>1</v>
      </c>
      <c r="B95" s="1095" t="s">
        <v>830</v>
      </c>
      <c r="C95" s="1096">
        <f>SUM(D95:E95)</f>
        <v>0</v>
      </c>
      <c r="D95" s="1096"/>
      <c r="E95" s="1096"/>
      <c r="F95" s="1096">
        <f t="shared" si="204"/>
        <v>0</v>
      </c>
      <c r="G95" s="1096"/>
      <c r="H95" s="1096"/>
      <c r="I95" s="1096">
        <f t="shared" ref="I95" si="221">SUM(J95:K95)</f>
        <v>0</v>
      </c>
      <c r="J95" s="1096"/>
      <c r="K95" s="1096"/>
      <c r="L95" s="1096">
        <f>SUM(M95:N95)</f>
        <v>0</v>
      </c>
      <c r="M95" s="1096"/>
      <c r="N95" s="1096"/>
      <c r="O95" s="1096">
        <f>SUM(P95:Q95)</f>
        <v>0</v>
      </c>
      <c r="P95" s="1096"/>
      <c r="Q95" s="1096"/>
      <c r="R95" s="1097"/>
    </row>
    <row r="96" spans="1:18" ht="36" customHeight="1" x14ac:dyDescent="0.2">
      <c r="A96" s="1098" t="s">
        <v>757</v>
      </c>
      <c r="B96" s="1099" t="s">
        <v>831</v>
      </c>
      <c r="C96" s="1100">
        <f t="shared" ref="C96" si="222">SUM(C97:C98)</f>
        <v>0</v>
      </c>
      <c r="D96" s="1100">
        <f t="shared" ref="D96" si="223">SUM(D97:D98)</f>
        <v>0</v>
      </c>
      <c r="E96" s="1100">
        <v>0</v>
      </c>
      <c r="F96" s="1100">
        <f t="shared" ref="F96:O96" si="224">SUM(F97:F98)</f>
        <v>0</v>
      </c>
      <c r="G96" s="1100">
        <f t="shared" ref="G96" si="225">SUM(G97:G98)</f>
        <v>0</v>
      </c>
      <c r="H96" s="1100">
        <v>0</v>
      </c>
      <c r="I96" s="1100">
        <f t="shared" ref="I96:J96" si="226">SUM(I97:I98)</f>
        <v>0</v>
      </c>
      <c r="J96" s="1100">
        <f t="shared" si="226"/>
        <v>0</v>
      </c>
      <c r="K96" s="1100">
        <v>0</v>
      </c>
      <c r="L96" s="1100">
        <f t="shared" si="224"/>
        <v>0</v>
      </c>
      <c r="M96" s="1100">
        <f t="shared" ref="M96" si="227">SUM(M97:M98)</f>
        <v>0</v>
      </c>
      <c r="N96" s="1100">
        <f t="shared" ref="N96" si="228">SUM(N97:N98)</f>
        <v>0</v>
      </c>
      <c r="O96" s="1100">
        <f t="shared" si="224"/>
        <v>0</v>
      </c>
      <c r="P96" s="1100">
        <f t="shared" ref="P96" si="229">SUM(P97:P98)</f>
        <v>0</v>
      </c>
      <c r="Q96" s="1100">
        <f t="shared" ref="Q96" si="230">SUM(Q97:Q98)</f>
        <v>0</v>
      </c>
      <c r="R96" s="1097"/>
    </row>
    <row r="97" spans="1:18" ht="36" customHeight="1" x14ac:dyDescent="0.2">
      <c r="A97" s="1094">
        <v>1</v>
      </c>
      <c r="B97" s="1095" t="s">
        <v>832</v>
      </c>
      <c r="C97" s="1096">
        <f>SUM(D97:E97)</f>
        <v>0</v>
      </c>
      <c r="D97" s="1096"/>
      <c r="E97" s="1096"/>
      <c r="F97" s="1096">
        <f t="shared" si="204"/>
        <v>0</v>
      </c>
      <c r="G97" s="1096"/>
      <c r="H97" s="1096"/>
      <c r="I97" s="1096">
        <f t="shared" ref="I97:I98" si="231">SUM(J97:K97)</f>
        <v>0</v>
      </c>
      <c r="J97" s="1096"/>
      <c r="K97" s="1096"/>
      <c r="L97" s="1096">
        <f>SUM(M97:N97)</f>
        <v>0</v>
      </c>
      <c r="M97" s="1096"/>
      <c r="N97" s="1096"/>
      <c r="O97" s="1096">
        <f>SUM(P97:Q97)</f>
        <v>0</v>
      </c>
      <c r="P97" s="1096"/>
      <c r="Q97" s="1096"/>
      <c r="R97" s="1097"/>
    </row>
    <row r="98" spans="1:18" ht="36" customHeight="1" x14ac:dyDescent="0.2">
      <c r="A98" s="1094">
        <v>2</v>
      </c>
      <c r="B98" s="1095" t="s">
        <v>833</v>
      </c>
      <c r="C98" s="1096">
        <f>SUM(D98:E98)</f>
        <v>0</v>
      </c>
      <c r="D98" s="1096"/>
      <c r="E98" s="1096"/>
      <c r="F98" s="1096">
        <f t="shared" si="204"/>
        <v>0</v>
      </c>
      <c r="G98" s="1096"/>
      <c r="H98" s="1096"/>
      <c r="I98" s="1096">
        <f t="shared" si="231"/>
        <v>0</v>
      </c>
      <c r="J98" s="1096"/>
      <c r="K98" s="1096"/>
      <c r="L98" s="1096">
        <f>SUM(M98:N98)</f>
        <v>0</v>
      </c>
      <c r="M98" s="1096"/>
      <c r="N98" s="1096"/>
      <c r="O98" s="1096">
        <f>SUM(P98:Q98)</f>
        <v>0</v>
      </c>
      <c r="P98" s="1096"/>
      <c r="Q98" s="1096"/>
      <c r="R98" s="1097"/>
    </row>
    <row r="99" spans="1:18" ht="65.099999999999994" customHeight="1" x14ac:dyDescent="0.2">
      <c r="A99" s="1098" t="s">
        <v>765</v>
      </c>
      <c r="B99" s="1099" t="s">
        <v>834</v>
      </c>
      <c r="C99" s="1100">
        <f t="shared" ref="C99" si="232">SUM(C100:C101)</f>
        <v>0</v>
      </c>
      <c r="D99" s="1100">
        <f t="shared" ref="D99" si="233">SUM(D100:D101)</f>
        <v>0</v>
      </c>
      <c r="E99" s="1100">
        <v>0</v>
      </c>
      <c r="F99" s="1100">
        <f t="shared" ref="F99:O99" si="234">SUM(F100:F101)</f>
        <v>0</v>
      </c>
      <c r="G99" s="1100">
        <f t="shared" ref="G99" si="235">SUM(G100:G101)</f>
        <v>0</v>
      </c>
      <c r="H99" s="1100">
        <v>0</v>
      </c>
      <c r="I99" s="1100">
        <f t="shared" ref="I99:J99" si="236">SUM(I100:I101)</f>
        <v>0</v>
      </c>
      <c r="J99" s="1100">
        <f t="shared" si="236"/>
        <v>0</v>
      </c>
      <c r="K99" s="1100">
        <v>0</v>
      </c>
      <c r="L99" s="1100">
        <f t="shared" si="234"/>
        <v>0</v>
      </c>
      <c r="M99" s="1100">
        <f t="shared" ref="M99" si="237">SUM(M100:M101)</f>
        <v>0</v>
      </c>
      <c r="N99" s="1100">
        <f t="shared" ref="N99" si="238">SUM(N100:N101)</f>
        <v>0</v>
      </c>
      <c r="O99" s="1100">
        <f t="shared" si="234"/>
        <v>0</v>
      </c>
      <c r="P99" s="1100">
        <f t="shared" ref="P99" si="239">SUM(P100:P101)</f>
        <v>0</v>
      </c>
      <c r="Q99" s="1100">
        <f t="shared" ref="Q99" si="240">SUM(Q100:Q101)</f>
        <v>0</v>
      </c>
      <c r="R99" s="1097"/>
    </row>
    <row r="100" spans="1:18" ht="36" customHeight="1" x14ac:dyDescent="0.2">
      <c r="A100" s="1094">
        <v>1</v>
      </c>
      <c r="B100" s="1095" t="s">
        <v>835</v>
      </c>
      <c r="C100" s="1096">
        <f>SUM(D100:E100)</f>
        <v>0</v>
      </c>
      <c r="D100" s="1096"/>
      <c r="E100" s="1096"/>
      <c r="F100" s="1096">
        <f t="shared" si="204"/>
        <v>0</v>
      </c>
      <c r="G100" s="1096"/>
      <c r="H100" s="1096"/>
      <c r="I100" s="1096">
        <f t="shared" ref="I100:I101" si="241">SUM(J100:K100)</f>
        <v>0</v>
      </c>
      <c r="J100" s="1096"/>
      <c r="K100" s="1096"/>
      <c r="L100" s="1096">
        <f>SUM(M100:N100)</f>
        <v>0</v>
      </c>
      <c r="M100" s="1096"/>
      <c r="N100" s="1096"/>
      <c r="O100" s="1096">
        <f>SUM(P100:Q100)</f>
        <v>0</v>
      </c>
      <c r="P100" s="1096"/>
      <c r="Q100" s="1096"/>
      <c r="R100" s="1097"/>
    </row>
    <row r="101" spans="1:18" ht="36" customHeight="1" x14ac:dyDescent="0.2">
      <c r="A101" s="1094">
        <v>2</v>
      </c>
      <c r="B101" s="1095" t="s">
        <v>836</v>
      </c>
      <c r="C101" s="1096">
        <f>SUM(D101:E101)</f>
        <v>0</v>
      </c>
      <c r="D101" s="1096"/>
      <c r="E101" s="1096"/>
      <c r="F101" s="1096">
        <f t="shared" si="204"/>
        <v>0</v>
      </c>
      <c r="G101" s="1096"/>
      <c r="H101" s="1096"/>
      <c r="I101" s="1096">
        <f t="shared" si="241"/>
        <v>0</v>
      </c>
      <c r="J101" s="1096"/>
      <c r="K101" s="1096"/>
      <c r="L101" s="1096">
        <f>SUM(M101:N101)</f>
        <v>0</v>
      </c>
      <c r="M101" s="1096"/>
      <c r="N101" s="1096"/>
      <c r="O101" s="1096">
        <f>SUM(P101:Q101)</f>
        <v>0</v>
      </c>
      <c r="P101" s="1096"/>
      <c r="Q101" s="1096"/>
      <c r="R101" s="1097"/>
    </row>
    <row r="102" spans="1:18" ht="65.099999999999994" customHeight="1" x14ac:dyDescent="0.2">
      <c r="A102" s="1098" t="s">
        <v>767</v>
      </c>
      <c r="B102" s="1099" t="s">
        <v>837</v>
      </c>
      <c r="C102" s="1100">
        <f t="shared" ref="C102" si="242">SUM(C103:C109)</f>
        <v>0</v>
      </c>
      <c r="D102" s="1100">
        <f t="shared" ref="D102" si="243">SUM(D103:D109)</f>
        <v>0</v>
      </c>
      <c r="E102" s="1100">
        <v>0</v>
      </c>
      <c r="F102" s="1100">
        <f t="shared" ref="F102:O102" si="244">SUM(F103:F109)</f>
        <v>0</v>
      </c>
      <c r="G102" s="1100">
        <f t="shared" ref="G102" si="245">SUM(G103:G109)</f>
        <v>0</v>
      </c>
      <c r="H102" s="1100">
        <v>0</v>
      </c>
      <c r="I102" s="1100">
        <f t="shared" ref="I102:J102" si="246">SUM(I103:I109)</f>
        <v>0</v>
      </c>
      <c r="J102" s="1100">
        <f t="shared" si="246"/>
        <v>0</v>
      </c>
      <c r="K102" s="1100">
        <v>0</v>
      </c>
      <c r="L102" s="1100">
        <f t="shared" si="244"/>
        <v>0</v>
      </c>
      <c r="M102" s="1100">
        <f t="shared" ref="M102" si="247">SUM(M103:M109)</f>
        <v>0</v>
      </c>
      <c r="N102" s="1100">
        <f t="shared" ref="N102" si="248">SUM(N103:N109)</f>
        <v>0</v>
      </c>
      <c r="O102" s="1100">
        <f t="shared" si="244"/>
        <v>0</v>
      </c>
      <c r="P102" s="1100">
        <f t="shared" ref="P102" si="249">SUM(P103:P109)</f>
        <v>0</v>
      </c>
      <c r="Q102" s="1100">
        <f t="shared" ref="Q102" si="250">SUM(Q103:Q109)</f>
        <v>0</v>
      </c>
      <c r="R102" s="1097"/>
    </row>
    <row r="103" spans="1:18" ht="65.099999999999994" customHeight="1" x14ac:dyDescent="0.2">
      <c r="A103" s="1094">
        <v>1</v>
      </c>
      <c r="B103" s="1095" t="s">
        <v>838</v>
      </c>
      <c r="C103" s="1096">
        <f t="shared" ref="C103:C109" si="251">SUM(D103:E103)</f>
        <v>0</v>
      </c>
      <c r="D103" s="1096"/>
      <c r="E103" s="1096"/>
      <c r="F103" s="1096">
        <f t="shared" si="204"/>
        <v>0</v>
      </c>
      <c r="G103" s="1096"/>
      <c r="H103" s="1096"/>
      <c r="I103" s="1096">
        <f t="shared" ref="I103:I109" si="252">SUM(J103:K103)</f>
        <v>0</v>
      </c>
      <c r="J103" s="1096"/>
      <c r="K103" s="1096"/>
      <c r="L103" s="1096">
        <f t="shared" ref="L103:L109" si="253">SUM(M103:N103)</f>
        <v>0</v>
      </c>
      <c r="M103" s="1096"/>
      <c r="N103" s="1096"/>
      <c r="O103" s="1096">
        <f t="shared" ref="O103:O109" si="254">SUM(P103:Q103)</f>
        <v>0</v>
      </c>
      <c r="P103" s="1096"/>
      <c r="Q103" s="1096"/>
      <c r="R103" s="1097"/>
    </row>
    <row r="104" spans="1:18" ht="65.099999999999994" customHeight="1" x14ac:dyDescent="0.2">
      <c r="A104" s="1094">
        <v>2</v>
      </c>
      <c r="B104" s="1095" t="s">
        <v>839</v>
      </c>
      <c r="C104" s="1096">
        <f t="shared" si="251"/>
        <v>0</v>
      </c>
      <c r="D104" s="1096"/>
      <c r="E104" s="1096"/>
      <c r="F104" s="1096">
        <f t="shared" si="204"/>
        <v>0</v>
      </c>
      <c r="G104" s="1096"/>
      <c r="H104" s="1096"/>
      <c r="I104" s="1096">
        <f t="shared" si="252"/>
        <v>0</v>
      </c>
      <c r="J104" s="1096"/>
      <c r="K104" s="1096"/>
      <c r="L104" s="1096">
        <f t="shared" si="253"/>
        <v>0</v>
      </c>
      <c r="M104" s="1096"/>
      <c r="N104" s="1096"/>
      <c r="O104" s="1096">
        <f t="shared" si="254"/>
        <v>0</v>
      </c>
      <c r="P104" s="1096"/>
      <c r="Q104" s="1096"/>
      <c r="R104" s="1097"/>
    </row>
    <row r="105" spans="1:18" ht="65.099999999999994" customHeight="1" x14ac:dyDescent="0.2">
      <c r="A105" s="1094">
        <v>3</v>
      </c>
      <c r="B105" s="1095" t="s">
        <v>840</v>
      </c>
      <c r="C105" s="1096">
        <f t="shared" si="251"/>
        <v>0</v>
      </c>
      <c r="D105" s="1096"/>
      <c r="E105" s="1096"/>
      <c r="F105" s="1096">
        <f t="shared" si="204"/>
        <v>0</v>
      </c>
      <c r="G105" s="1096"/>
      <c r="H105" s="1096"/>
      <c r="I105" s="1096">
        <f t="shared" si="252"/>
        <v>0</v>
      </c>
      <c r="J105" s="1096"/>
      <c r="K105" s="1096"/>
      <c r="L105" s="1096">
        <f t="shared" si="253"/>
        <v>0</v>
      </c>
      <c r="M105" s="1096"/>
      <c r="N105" s="1096"/>
      <c r="O105" s="1096">
        <f t="shared" si="254"/>
        <v>0</v>
      </c>
      <c r="P105" s="1096"/>
      <c r="Q105" s="1096"/>
      <c r="R105" s="1097"/>
    </row>
    <row r="106" spans="1:18" ht="50.1" customHeight="1" x14ac:dyDescent="0.2">
      <c r="A106" s="1094">
        <v>4</v>
      </c>
      <c r="B106" s="1095" t="s">
        <v>841</v>
      </c>
      <c r="C106" s="1096">
        <f t="shared" si="251"/>
        <v>0</v>
      </c>
      <c r="D106" s="1096"/>
      <c r="E106" s="1096"/>
      <c r="F106" s="1096">
        <f t="shared" si="204"/>
        <v>0</v>
      </c>
      <c r="G106" s="1096"/>
      <c r="H106" s="1096"/>
      <c r="I106" s="1096">
        <f t="shared" si="252"/>
        <v>0</v>
      </c>
      <c r="J106" s="1096"/>
      <c r="K106" s="1096"/>
      <c r="L106" s="1096">
        <f t="shared" si="253"/>
        <v>0</v>
      </c>
      <c r="M106" s="1096"/>
      <c r="N106" s="1096"/>
      <c r="O106" s="1096">
        <f t="shared" si="254"/>
        <v>0</v>
      </c>
      <c r="P106" s="1096"/>
      <c r="Q106" s="1096"/>
      <c r="R106" s="1097"/>
    </row>
    <row r="107" spans="1:18" ht="65.099999999999994" customHeight="1" x14ac:dyDescent="0.2">
      <c r="A107" s="1094">
        <v>5</v>
      </c>
      <c r="B107" s="1095" t="s">
        <v>842</v>
      </c>
      <c r="C107" s="1096">
        <f t="shared" si="251"/>
        <v>0</v>
      </c>
      <c r="D107" s="1096"/>
      <c r="E107" s="1096"/>
      <c r="F107" s="1096">
        <f t="shared" si="204"/>
        <v>0</v>
      </c>
      <c r="G107" s="1096"/>
      <c r="H107" s="1096"/>
      <c r="I107" s="1096">
        <f t="shared" si="252"/>
        <v>0</v>
      </c>
      <c r="J107" s="1096"/>
      <c r="K107" s="1096"/>
      <c r="L107" s="1096">
        <f t="shared" si="253"/>
        <v>0</v>
      </c>
      <c r="M107" s="1096"/>
      <c r="N107" s="1096"/>
      <c r="O107" s="1096">
        <f t="shared" si="254"/>
        <v>0</v>
      </c>
      <c r="P107" s="1096"/>
      <c r="Q107" s="1096"/>
      <c r="R107" s="1097"/>
    </row>
    <row r="108" spans="1:18" ht="65.099999999999994" customHeight="1" x14ac:dyDescent="0.2">
      <c r="A108" s="1094">
        <v>6</v>
      </c>
      <c r="B108" s="1095" t="s">
        <v>843</v>
      </c>
      <c r="C108" s="1096">
        <f t="shared" si="251"/>
        <v>0</v>
      </c>
      <c r="D108" s="1096"/>
      <c r="E108" s="1096"/>
      <c r="F108" s="1096">
        <f t="shared" si="204"/>
        <v>0</v>
      </c>
      <c r="G108" s="1096"/>
      <c r="H108" s="1096"/>
      <c r="I108" s="1096">
        <f t="shared" si="252"/>
        <v>0</v>
      </c>
      <c r="J108" s="1096"/>
      <c r="K108" s="1096"/>
      <c r="L108" s="1096">
        <f t="shared" si="253"/>
        <v>0</v>
      </c>
      <c r="M108" s="1096"/>
      <c r="N108" s="1096"/>
      <c r="O108" s="1096">
        <f t="shared" si="254"/>
        <v>0</v>
      </c>
      <c r="P108" s="1096"/>
      <c r="Q108" s="1096"/>
      <c r="R108" s="1097"/>
    </row>
    <row r="109" spans="1:18" ht="50.1" customHeight="1" x14ac:dyDescent="0.2">
      <c r="A109" s="1094">
        <v>7</v>
      </c>
      <c r="B109" s="1095" t="s">
        <v>844</v>
      </c>
      <c r="C109" s="1096">
        <f t="shared" si="251"/>
        <v>0</v>
      </c>
      <c r="D109" s="1096"/>
      <c r="E109" s="1096"/>
      <c r="F109" s="1096">
        <f t="shared" si="204"/>
        <v>0</v>
      </c>
      <c r="G109" s="1096"/>
      <c r="H109" s="1096"/>
      <c r="I109" s="1096">
        <f t="shared" si="252"/>
        <v>0</v>
      </c>
      <c r="J109" s="1096"/>
      <c r="K109" s="1096"/>
      <c r="L109" s="1096">
        <f t="shared" si="253"/>
        <v>0</v>
      </c>
      <c r="M109" s="1096"/>
      <c r="N109" s="1096"/>
      <c r="O109" s="1096">
        <f t="shared" si="254"/>
        <v>0</v>
      </c>
      <c r="P109" s="1096"/>
      <c r="Q109" s="1096"/>
      <c r="R109" s="1097"/>
    </row>
    <row r="110" spans="1:18" ht="77.25" customHeight="1" x14ac:dyDescent="0.2">
      <c r="A110" s="1098" t="s">
        <v>769</v>
      </c>
      <c r="B110" s="1099" t="s">
        <v>845</v>
      </c>
      <c r="C110" s="1100">
        <f t="shared" ref="C110" si="255">SUM(C111:C116)</f>
        <v>0</v>
      </c>
      <c r="D110" s="1100">
        <f t="shared" ref="D110" si="256">SUM(D111:D116)</f>
        <v>0</v>
      </c>
      <c r="E110" s="1100">
        <v>0</v>
      </c>
      <c r="F110" s="1100">
        <f t="shared" ref="F110:O110" si="257">SUM(F111:F116)</f>
        <v>0</v>
      </c>
      <c r="G110" s="1100">
        <f t="shared" ref="G110" si="258">SUM(G111:G116)</f>
        <v>0</v>
      </c>
      <c r="H110" s="1100">
        <v>0</v>
      </c>
      <c r="I110" s="1100">
        <f t="shared" ref="I110:J110" si="259">SUM(I111:I116)</f>
        <v>0</v>
      </c>
      <c r="J110" s="1100">
        <f t="shared" si="259"/>
        <v>0</v>
      </c>
      <c r="K110" s="1100">
        <v>0</v>
      </c>
      <c r="L110" s="1100">
        <f t="shared" si="257"/>
        <v>0</v>
      </c>
      <c r="M110" s="1100">
        <f t="shared" ref="M110" si="260">SUM(M111:M116)</f>
        <v>0</v>
      </c>
      <c r="N110" s="1100">
        <f t="shared" ref="N110" si="261">SUM(N111:N116)</f>
        <v>0</v>
      </c>
      <c r="O110" s="1100">
        <f t="shared" si="257"/>
        <v>0</v>
      </c>
      <c r="P110" s="1100">
        <f t="shared" ref="P110" si="262">SUM(P111:P116)</f>
        <v>0</v>
      </c>
      <c r="Q110" s="1100">
        <f t="shared" ref="Q110" si="263">SUM(Q111:Q116)</f>
        <v>0</v>
      </c>
      <c r="R110" s="1097"/>
    </row>
    <row r="111" spans="1:18" ht="50.1" customHeight="1" x14ac:dyDescent="0.2">
      <c r="A111" s="1094">
        <v>1</v>
      </c>
      <c r="B111" s="1095" t="s">
        <v>846</v>
      </c>
      <c r="C111" s="1096">
        <f t="shared" ref="C111:C116" si="264">SUM(D111:E111)</f>
        <v>0</v>
      </c>
      <c r="D111" s="1096"/>
      <c r="E111" s="1096"/>
      <c r="F111" s="1096">
        <f t="shared" si="204"/>
        <v>0</v>
      </c>
      <c r="G111" s="1096"/>
      <c r="H111" s="1096"/>
      <c r="I111" s="1096">
        <f t="shared" ref="I111:I116" si="265">SUM(J111:K111)</f>
        <v>0</v>
      </c>
      <c r="J111" s="1096"/>
      <c r="K111" s="1096"/>
      <c r="L111" s="1096">
        <f t="shared" ref="L111:L116" si="266">SUM(M111:N111)</f>
        <v>0</v>
      </c>
      <c r="M111" s="1096"/>
      <c r="N111" s="1096"/>
      <c r="O111" s="1096">
        <f t="shared" ref="O111:O116" si="267">SUM(P111:Q111)</f>
        <v>0</v>
      </c>
      <c r="P111" s="1096"/>
      <c r="Q111" s="1096"/>
      <c r="R111" s="1097"/>
    </row>
    <row r="112" spans="1:18" ht="65.099999999999994" customHeight="1" x14ac:dyDescent="0.2">
      <c r="A112" s="1094">
        <v>2</v>
      </c>
      <c r="B112" s="1095" t="s">
        <v>847</v>
      </c>
      <c r="C112" s="1096">
        <f t="shared" si="264"/>
        <v>0</v>
      </c>
      <c r="D112" s="1096"/>
      <c r="E112" s="1096"/>
      <c r="F112" s="1096">
        <f t="shared" si="204"/>
        <v>0</v>
      </c>
      <c r="G112" s="1096"/>
      <c r="H112" s="1096"/>
      <c r="I112" s="1096">
        <f t="shared" si="265"/>
        <v>0</v>
      </c>
      <c r="J112" s="1096"/>
      <c r="K112" s="1096"/>
      <c r="L112" s="1096">
        <f t="shared" si="266"/>
        <v>0</v>
      </c>
      <c r="M112" s="1096"/>
      <c r="N112" s="1096"/>
      <c r="O112" s="1096">
        <f t="shared" si="267"/>
        <v>0</v>
      </c>
      <c r="P112" s="1096"/>
      <c r="Q112" s="1096"/>
      <c r="R112" s="1097"/>
    </row>
    <row r="113" spans="1:18" ht="50.1" customHeight="1" x14ac:dyDescent="0.2">
      <c r="A113" s="1094">
        <v>3</v>
      </c>
      <c r="B113" s="1095" t="s">
        <v>848</v>
      </c>
      <c r="C113" s="1096">
        <f t="shared" si="264"/>
        <v>0</v>
      </c>
      <c r="D113" s="1096"/>
      <c r="E113" s="1096"/>
      <c r="F113" s="1096">
        <f t="shared" si="204"/>
        <v>0</v>
      </c>
      <c r="G113" s="1096"/>
      <c r="H113" s="1096"/>
      <c r="I113" s="1096">
        <f t="shared" si="265"/>
        <v>0</v>
      </c>
      <c r="J113" s="1096"/>
      <c r="K113" s="1096"/>
      <c r="L113" s="1096">
        <f t="shared" si="266"/>
        <v>0</v>
      </c>
      <c r="M113" s="1096"/>
      <c r="N113" s="1096"/>
      <c r="O113" s="1096">
        <f t="shared" si="267"/>
        <v>0</v>
      </c>
      <c r="P113" s="1096"/>
      <c r="Q113" s="1096"/>
      <c r="R113" s="1097"/>
    </row>
    <row r="114" spans="1:18" ht="50.1" customHeight="1" x14ac:dyDescent="0.2">
      <c r="A114" s="1094">
        <v>4</v>
      </c>
      <c r="B114" s="1095" t="s">
        <v>849</v>
      </c>
      <c r="C114" s="1096">
        <f t="shared" si="264"/>
        <v>0</v>
      </c>
      <c r="D114" s="1096"/>
      <c r="E114" s="1096"/>
      <c r="F114" s="1096">
        <f t="shared" si="204"/>
        <v>0</v>
      </c>
      <c r="G114" s="1096"/>
      <c r="H114" s="1096"/>
      <c r="I114" s="1096">
        <f t="shared" si="265"/>
        <v>0</v>
      </c>
      <c r="J114" s="1096"/>
      <c r="K114" s="1096"/>
      <c r="L114" s="1096">
        <f t="shared" si="266"/>
        <v>0</v>
      </c>
      <c r="M114" s="1096"/>
      <c r="N114" s="1096"/>
      <c r="O114" s="1096">
        <f t="shared" si="267"/>
        <v>0</v>
      </c>
      <c r="P114" s="1096"/>
      <c r="Q114" s="1096"/>
      <c r="R114" s="1097"/>
    </row>
    <row r="115" spans="1:18" ht="36" customHeight="1" x14ac:dyDescent="0.2">
      <c r="A115" s="1094">
        <v>5</v>
      </c>
      <c r="B115" s="1095" t="s">
        <v>850</v>
      </c>
      <c r="C115" s="1096">
        <f t="shared" si="264"/>
        <v>0</v>
      </c>
      <c r="D115" s="1096"/>
      <c r="E115" s="1096"/>
      <c r="F115" s="1096">
        <f t="shared" si="204"/>
        <v>0</v>
      </c>
      <c r="G115" s="1096"/>
      <c r="H115" s="1096"/>
      <c r="I115" s="1096">
        <f t="shared" si="265"/>
        <v>0</v>
      </c>
      <c r="J115" s="1096"/>
      <c r="K115" s="1096"/>
      <c r="L115" s="1096">
        <f t="shared" si="266"/>
        <v>0</v>
      </c>
      <c r="M115" s="1096"/>
      <c r="N115" s="1096"/>
      <c r="O115" s="1096">
        <f t="shared" si="267"/>
        <v>0</v>
      </c>
      <c r="P115" s="1096"/>
      <c r="Q115" s="1096"/>
      <c r="R115" s="1097"/>
    </row>
    <row r="116" spans="1:18" ht="65.099999999999994" customHeight="1" x14ac:dyDescent="0.2">
      <c r="A116" s="1094">
        <v>6</v>
      </c>
      <c r="B116" s="1095" t="s">
        <v>851</v>
      </c>
      <c r="C116" s="1096">
        <f t="shared" si="264"/>
        <v>0</v>
      </c>
      <c r="D116" s="1096"/>
      <c r="E116" s="1096"/>
      <c r="F116" s="1096">
        <f t="shared" si="204"/>
        <v>0</v>
      </c>
      <c r="G116" s="1096"/>
      <c r="H116" s="1096"/>
      <c r="I116" s="1096">
        <f t="shared" si="265"/>
        <v>0</v>
      </c>
      <c r="J116" s="1096"/>
      <c r="K116" s="1096"/>
      <c r="L116" s="1096">
        <f t="shared" si="266"/>
        <v>0</v>
      </c>
      <c r="M116" s="1096"/>
      <c r="N116" s="1096"/>
      <c r="O116" s="1096">
        <f t="shared" si="267"/>
        <v>0</v>
      </c>
      <c r="P116" s="1096"/>
      <c r="Q116" s="1096"/>
      <c r="R116" s="1097"/>
    </row>
    <row r="117" spans="1:18" ht="50.1" customHeight="1" x14ac:dyDescent="0.2">
      <c r="A117" s="1098" t="s">
        <v>771</v>
      </c>
      <c r="B117" s="1099" t="s">
        <v>852</v>
      </c>
      <c r="C117" s="1100">
        <f t="shared" ref="C117" si="268">SUM(C118:C122)</f>
        <v>0</v>
      </c>
      <c r="D117" s="1100">
        <f t="shared" ref="D117" si="269">SUM(D118:D122)</f>
        <v>0</v>
      </c>
      <c r="E117" s="1100">
        <v>0</v>
      </c>
      <c r="F117" s="1100">
        <f t="shared" ref="F117:O117" si="270">SUM(F118:F122)</f>
        <v>0</v>
      </c>
      <c r="G117" s="1100">
        <f t="shared" ref="G117" si="271">SUM(G118:G122)</f>
        <v>0</v>
      </c>
      <c r="H117" s="1100">
        <v>0</v>
      </c>
      <c r="I117" s="1100">
        <f t="shared" ref="I117:J117" si="272">SUM(I118:I122)</f>
        <v>0</v>
      </c>
      <c r="J117" s="1100">
        <f t="shared" si="272"/>
        <v>0</v>
      </c>
      <c r="K117" s="1100">
        <v>0</v>
      </c>
      <c r="L117" s="1100">
        <f t="shared" si="270"/>
        <v>0</v>
      </c>
      <c r="M117" s="1100">
        <f t="shared" ref="M117" si="273">SUM(M118:M122)</f>
        <v>0</v>
      </c>
      <c r="N117" s="1100">
        <f t="shared" ref="N117" si="274">SUM(N118:N122)</f>
        <v>0</v>
      </c>
      <c r="O117" s="1100">
        <f t="shared" si="270"/>
        <v>0</v>
      </c>
      <c r="P117" s="1100">
        <f t="shared" ref="P117" si="275">SUM(P118:P122)</f>
        <v>0</v>
      </c>
      <c r="Q117" s="1100">
        <f t="shared" ref="Q117" si="276">SUM(Q118:Q122)</f>
        <v>0</v>
      </c>
      <c r="R117" s="1097"/>
    </row>
    <row r="118" spans="1:18" ht="36" customHeight="1" x14ac:dyDescent="0.2">
      <c r="A118" s="1094">
        <v>1</v>
      </c>
      <c r="B118" s="1095" t="s">
        <v>853</v>
      </c>
      <c r="C118" s="1096">
        <f>SUM(D118:E118)</f>
        <v>0</v>
      </c>
      <c r="D118" s="1096"/>
      <c r="E118" s="1096"/>
      <c r="F118" s="1096">
        <f t="shared" si="204"/>
        <v>0</v>
      </c>
      <c r="G118" s="1096"/>
      <c r="H118" s="1096"/>
      <c r="I118" s="1096">
        <f t="shared" ref="I118:I122" si="277">SUM(J118:K118)</f>
        <v>0</v>
      </c>
      <c r="J118" s="1096"/>
      <c r="K118" s="1096"/>
      <c r="L118" s="1096">
        <f>SUM(M118:N118)</f>
        <v>0</v>
      </c>
      <c r="M118" s="1096"/>
      <c r="N118" s="1096"/>
      <c r="O118" s="1096">
        <f>SUM(P118:Q118)</f>
        <v>0</v>
      </c>
      <c r="P118" s="1096"/>
      <c r="Q118" s="1096"/>
      <c r="R118" s="1097"/>
    </row>
    <row r="119" spans="1:18" ht="50.1" customHeight="1" x14ac:dyDescent="0.2">
      <c r="A119" s="1094">
        <v>2</v>
      </c>
      <c r="B119" s="1095" t="s">
        <v>854</v>
      </c>
      <c r="C119" s="1096">
        <f>SUM(D119:E119)</f>
        <v>0</v>
      </c>
      <c r="D119" s="1096"/>
      <c r="E119" s="1096"/>
      <c r="F119" s="1096">
        <f t="shared" si="204"/>
        <v>0</v>
      </c>
      <c r="G119" s="1096"/>
      <c r="H119" s="1096"/>
      <c r="I119" s="1096">
        <f t="shared" si="277"/>
        <v>0</v>
      </c>
      <c r="J119" s="1096"/>
      <c r="K119" s="1096"/>
      <c r="L119" s="1096">
        <f>SUM(M119:N119)</f>
        <v>0</v>
      </c>
      <c r="M119" s="1096"/>
      <c r="N119" s="1096"/>
      <c r="O119" s="1096">
        <f>SUM(P119:Q119)</f>
        <v>0</v>
      </c>
      <c r="P119" s="1096"/>
      <c r="Q119" s="1096"/>
      <c r="R119" s="1097"/>
    </row>
    <row r="120" spans="1:18" ht="36" customHeight="1" x14ac:dyDescent="0.2">
      <c r="A120" s="1094">
        <v>3</v>
      </c>
      <c r="B120" s="1095" t="s">
        <v>855</v>
      </c>
      <c r="C120" s="1096">
        <f>SUM(D120:E120)</f>
        <v>0</v>
      </c>
      <c r="D120" s="1096"/>
      <c r="E120" s="1096"/>
      <c r="F120" s="1096">
        <f t="shared" si="204"/>
        <v>0</v>
      </c>
      <c r="G120" s="1096"/>
      <c r="H120" s="1096"/>
      <c r="I120" s="1096">
        <f t="shared" si="277"/>
        <v>0</v>
      </c>
      <c r="J120" s="1096"/>
      <c r="K120" s="1096"/>
      <c r="L120" s="1096">
        <f>SUM(M120:N120)</f>
        <v>0</v>
      </c>
      <c r="M120" s="1096"/>
      <c r="N120" s="1096"/>
      <c r="O120" s="1096">
        <f>SUM(P120:Q120)</f>
        <v>0</v>
      </c>
      <c r="P120" s="1096"/>
      <c r="Q120" s="1096"/>
      <c r="R120" s="1097"/>
    </row>
    <row r="121" spans="1:18" ht="50.1" customHeight="1" x14ac:dyDescent="0.2">
      <c r="A121" s="1094">
        <v>4</v>
      </c>
      <c r="B121" s="1095" t="s">
        <v>856</v>
      </c>
      <c r="C121" s="1096">
        <f>SUM(D121:E121)</f>
        <v>0</v>
      </c>
      <c r="D121" s="1096"/>
      <c r="E121" s="1096"/>
      <c r="F121" s="1096">
        <f t="shared" si="204"/>
        <v>0</v>
      </c>
      <c r="G121" s="1096"/>
      <c r="H121" s="1096"/>
      <c r="I121" s="1096">
        <f t="shared" si="277"/>
        <v>0</v>
      </c>
      <c r="J121" s="1096"/>
      <c r="K121" s="1096"/>
      <c r="L121" s="1096">
        <f>SUM(M121:N121)</f>
        <v>0</v>
      </c>
      <c r="M121" s="1096"/>
      <c r="N121" s="1096"/>
      <c r="O121" s="1096">
        <f>SUM(P121:Q121)</f>
        <v>0</v>
      </c>
      <c r="P121" s="1096"/>
      <c r="Q121" s="1096"/>
      <c r="R121" s="1097"/>
    </row>
    <row r="122" spans="1:18" ht="50.1" customHeight="1" x14ac:dyDescent="0.2">
      <c r="A122" s="1094">
        <v>5</v>
      </c>
      <c r="B122" s="1095" t="s">
        <v>857</v>
      </c>
      <c r="C122" s="1096">
        <f>SUM(D122:E122)</f>
        <v>0</v>
      </c>
      <c r="D122" s="1096"/>
      <c r="E122" s="1096"/>
      <c r="F122" s="1096">
        <f t="shared" si="204"/>
        <v>0</v>
      </c>
      <c r="G122" s="1096"/>
      <c r="H122" s="1096"/>
      <c r="I122" s="1096">
        <f t="shared" si="277"/>
        <v>0</v>
      </c>
      <c r="J122" s="1096"/>
      <c r="K122" s="1096"/>
      <c r="L122" s="1096">
        <f>SUM(M122:N122)</f>
        <v>0</v>
      </c>
      <c r="M122" s="1096"/>
      <c r="N122" s="1096"/>
      <c r="O122" s="1096">
        <f>SUM(P122:Q122)</f>
        <v>0</v>
      </c>
      <c r="P122" s="1096"/>
      <c r="Q122" s="1096"/>
      <c r="R122" s="1097"/>
    </row>
    <row r="123" spans="1:18" ht="36" customHeight="1" x14ac:dyDescent="0.2">
      <c r="A123" s="1098" t="s">
        <v>775</v>
      </c>
      <c r="B123" s="1099" t="s">
        <v>858</v>
      </c>
      <c r="C123" s="1100">
        <f t="shared" ref="C123" si="278">SUM(C124:C125)</f>
        <v>0</v>
      </c>
      <c r="D123" s="1100">
        <f t="shared" ref="D123" si="279">SUM(D124:D125)</f>
        <v>0</v>
      </c>
      <c r="E123" s="1100">
        <v>0</v>
      </c>
      <c r="F123" s="1100">
        <f t="shared" ref="F123:O123" si="280">SUM(F124:F125)</f>
        <v>0</v>
      </c>
      <c r="G123" s="1100">
        <f t="shared" ref="G123" si="281">SUM(G124:G125)</f>
        <v>0</v>
      </c>
      <c r="H123" s="1100">
        <v>0</v>
      </c>
      <c r="I123" s="1100">
        <f t="shared" ref="I123:J123" si="282">SUM(I124:I125)</f>
        <v>0</v>
      </c>
      <c r="J123" s="1100">
        <f t="shared" si="282"/>
        <v>0</v>
      </c>
      <c r="K123" s="1100">
        <v>0</v>
      </c>
      <c r="L123" s="1100">
        <f t="shared" si="280"/>
        <v>0</v>
      </c>
      <c r="M123" s="1100">
        <f t="shared" ref="M123" si="283">SUM(M124:M125)</f>
        <v>0</v>
      </c>
      <c r="N123" s="1100">
        <f t="shared" ref="N123" si="284">SUM(N124:N125)</f>
        <v>0</v>
      </c>
      <c r="O123" s="1100">
        <f t="shared" si="280"/>
        <v>0</v>
      </c>
      <c r="P123" s="1100">
        <f t="shared" ref="P123" si="285">SUM(P124:P125)</f>
        <v>0</v>
      </c>
      <c r="Q123" s="1100">
        <f t="shared" ref="Q123" si="286">SUM(Q124:Q125)</f>
        <v>0</v>
      </c>
      <c r="R123" s="1097"/>
    </row>
    <row r="124" spans="1:18" ht="50.1" customHeight="1" x14ac:dyDescent="0.2">
      <c r="A124" s="1094">
        <v>1</v>
      </c>
      <c r="B124" s="1095" t="s">
        <v>859</v>
      </c>
      <c r="C124" s="1096">
        <f>SUM(D124:E124)</f>
        <v>0</v>
      </c>
      <c r="D124" s="1096"/>
      <c r="E124" s="1096"/>
      <c r="F124" s="1096">
        <f t="shared" si="204"/>
        <v>0</v>
      </c>
      <c r="G124" s="1096"/>
      <c r="H124" s="1096"/>
      <c r="I124" s="1096">
        <f t="shared" ref="I124:I125" si="287">SUM(J124:K124)</f>
        <v>0</v>
      </c>
      <c r="J124" s="1096"/>
      <c r="K124" s="1096"/>
      <c r="L124" s="1096">
        <f>SUM(M124:N124)</f>
        <v>0</v>
      </c>
      <c r="M124" s="1096"/>
      <c r="N124" s="1096"/>
      <c r="O124" s="1096">
        <f>SUM(P124:Q124)</f>
        <v>0</v>
      </c>
      <c r="P124" s="1096"/>
      <c r="Q124" s="1096"/>
      <c r="R124" s="1097"/>
    </row>
    <row r="125" spans="1:18" ht="36" customHeight="1" x14ac:dyDescent="0.2">
      <c r="A125" s="1094">
        <v>2</v>
      </c>
      <c r="B125" s="1095" t="s">
        <v>860</v>
      </c>
      <c r="C125" s="1096">
        <f>SUM(D125:E125)</f>
        <v>0</v>
      </c>
      <c r="D125" s="1096"/>
      <c r="E125" s="1096"/>
      <c r="F125" s="1096">
        <f t="shared" si="204"/>
        <v>0</v>
      </c>
      <c r="G125" s="1096"/>
      <c r="H125" s="1096"/>
      <c r="I125" s="1096">
        <f t="shared" si="287"/>
        <v>0</v>
      </c>
      <c r="J125" s="1096"/>
      <c r="K125" s="1096"/>
      <c r="L125" s="1096">
        <f>SUM(M125:N125)</f>
        <v>0</v>
      </c>
      <c r="M125" s="1096"/>
      <c r="N125" s="1096"/>
      <c r="O125" s="1096">
        <f>SUM(P125:Q125)</f>
        <v>0</v>
      </c>
      <c r="P125" s="1096"/>
      <c r="Q125" s="1096"/>
      <c r="R125" s="1097"/>
    </row>
    <row r="126" spans="1:18" ht="65.099999999999994" customHeight="1" x14ac:dyDescent="0.2">
      <c r="A126" s="1098" t="s">
        <v>861</v>
      </c>
      <c r="B126" s="1099" t="s">
        <v>862</v>
      </c>
      <c r="C126" s="1100">
        <f t="shared" ref="C126" si="288">SUM(C127:C131)</f>
        <v>23.950000000000003</v>
      </c>
      <c r="D126" s="1100">
        <f t="shared" ref="D126" si="289">SUM(D127:D131)</f>
        <v>23.950000000000003</v>
      </c>
      <c r="E126" s="1100">
        <v>0</v>
      </c>
      <c r="F126" s="1100">
        <f t="shared" ref="F126:O126" si="290">SUM(F127:F131)</f>
        <v>100</v>
      </c>
      <c r="G126" s="1100">
        <f t="shared" ref="G126" si="291">SUM(G127:G131)</f>
        <v>100</v>
      </c>
      <c r="H126" s="1100">
        <v>0</v>
      </c>
      <c r="I126" s="1100">
        <f t="shared" ref="I126:J126" si="292">SUM(I127:I131)</f>
        <v>100</v>
      </c>
      <c r="J126" s="1100">
        <f t="shared" si="292"/>
        <v>100</v>
      </c>
      <c r="K126" s="1100">
        <v>0</v>
      </c>
      <c r="L126" s="1100">
        <f t="shared" si="290"/>
        <v>0</v>
      </c>
      <c r="M126" s="1100">
        <f t="shared" ref="M126" si="293">SUM(M127:M131)</f>
        <v>0</v>
      </c>
      <c r="N126" s="1100">
        <f t="shared" ref="N126" si="294">SUM(N127:N131)</f>
        <v>0</v>
      </c>
      <c r="O126" s="1100">
        <f t="shared" si="290"/>
        <v>50.14</v>
      </c>
      <c r="P126" s="1100">
        <f t="shared" ref="P126" si="295">SUM(P127:P131)</f>
        <v>50.14</v>
      </c>
      <c r="Q126" s="1100">
        <f t="shared" ref="Q126" si="296">SUM(Q127:Q131)</f>
        <v>0</v>
      </c>
      <c r="R126" s="1097"/>
    </row>
    <row r="127" spans="1:18" ht="65.099999999999994" customHeight="1" x14ac:dyDescent="0.2">
      <c r="A127" s="1094">
        <v>1</v>
      </c>
      <c r="B127" s="1095" t="s">
        <v>863</v>
      </c>
      <c r="C127" s="1102">
        <f>SUM(D127:E127)</f>
        <v>23.950000000000003</v>
      </c>
      <c r="D127" s="1102">
        <v>23.950000000000003</v>
      </c>
      <c r="E127" s="1102"/>
      <c r="F127" s="1096">
        <f t="shared" si="204"/>
        <v>100</v>
      </c>
      <c r="G127" s="1102">
        <v>100</v>
      </c>
      <c r="H127" s="1102"/>
      <c r="I127" s="1096">
        <f t="shared" ref="I127:I131" si="297">SUM(J127:K127)</f>
        <v>100</v>
      </c>
      <c r="J127" s="1102">
        <v>100</v>
      </c>
      <c r="K127" s="1102"/>
      <c r="L127" s="1102">
        <f>SUM(M127:N127)</f>
        <v>0</v>
      </c>
      <c r="M127" s="1102"/>
      <c r="N127" s="1102"/>
      <c r="O127" s="1102">
        <f>SUM(P127:Q127)</f>
        <v>50.14</v>
      </c>
      <c r="P127" s="1102">
        <v>50.14</v>
      </c>
      <c r="Q127" s="1102"/>
      <c r="R127" s="1103"/>
    </row>
    <row r="128" spans="1:18" ht="50.1" customHeight="1" x14ac:dyDescent="0.2">
      <c r="A128" s="1094">
        <v>2</v>
      </c>
      <c r="B128" s="1095" t="s">
        <v>864</v>
      </c>
      <c r="C128" s="1102">
        <f>SUM(D128:E128)</f>
        <v>0</v>
      </c>
      <c r="D128" s="1102"/>
      <c r="E128" s="1102"/>
      <c r="F128" s="1096">
        <f t="shared" si="204"/>
        <v>0</v>
      </c>
      <c r="G128" s="1102"/>
      <c r="H128" s="1102"/>
      <c r="I128" s="1096">
        <f t="shared" si="297"/>
        <v>0</v>
      </c>
      <c r="J128" s="1102"/>
      <c r="K128" s="1102"/>
      <c r="L128" s="1102">
        <f>SUM(M128:N128)</f>
        <v>0</v>
      </c>
      <c r="M128" s="1102"/>
      <c r="N128" s="1102"/>
      <c r="O128" s="1102">
        <f>SUM(P128:Q128)</f>
        <v>0</v>
      </c>
      <c r="P128" s="1102"/>
      <c r="Q128" s="1102"/>
      <c r="R128" s="1103"/>
    </row>
    <row r="129" spans="1:18" ht="50.1" customHeight="1" x14ac:dyDescent="0.2">
      <c r="A129" s="1094">
        <v>3</v>
      </c>
      <c r="B129" s="1095" t="s">
        <v>865</v>
      </c>
      <c r="C129" s="1102">
        <f>SUM(D129:E129)</f>
        <v>0</v>
      </c>
      <c r="D129" s="1102"/>
      <c r="E129" s="1102"/>
      <c r="F129" s="1096">
        <f t="shared" si="204"/>
        <v>0</v>
      </c>
      <c r="G129" s="1102"/>
      <c r="H129" s="1102"/>
      <c r="I129" s="1096">
        <f t="shared" si="297"/>
        <v>0</v>
      </c>
      <c r="J129" s="1102"/>
      <c r="K129" s="1102"/>
      <c r="L129" s="1102">
        <f>SUM(M129:N129)</f>
        <v>0</v>
      </c>
      <c r="M129" s="1102"/>
      <c r="N129" s="1102"/>
      <c r="O129" s="1102">
        <f>SUM(P129:Q129)</f>
        <v>0</v>
      </c>
      <c r="P129" s="1102"/>
      <c r="Q129" s="1102"/>
      <c r="R129" s="1103"/>
    </row>
    <row r="130" spans="1:18" ht="65.099999999999994" customHeight="1" x14ac:dyDescent="0.2">
      <c r="A130" s="1094">
        <v>4</v>
      </c>
      <c r="B130" s="1095" t="s">
        <v>866</v>
      </c>
      <c r="C130" s="1102">
        <f>SUM(D130:E130)</f>
        <v>0</v>
      </c>
      <c r="D130" s="1102"/>
      <c r="E130" s="1102"/>
      <c r="F130" s="1096">
        <f t="shared" si="204"/>
        <v>0</v>
      </c>
      <c r="G130" s="1102"/>
      <c r="H130" s="1102"/>
      <c r="I130" s="1096">
        <f t="shared" si="297"/>
        <v>0</v>
      </c>
      <c r="J130" s="1102"/>
      <c r="K130" s="1102"/>
      <c r="L130" s="1102">
        <f>SUM(M130:N130)</f>
        <v>0</v>
      </c>
      <c r="M130" s="1102"/>
      <c r="N130" s="1102"/>
      <c r="O130" s="1102">
        <f>SUM(P130:Q130)</f>
        <v>0</v>
      </c>
      <c r="P130" s="1102"/>
      <c r="Q130" s="1102"/>
      <c r="R130" s="1103"/>
    </row>
    <row r="131" spans="1:18" ht="36" customHeight="1" x14ac:dyDescent="0.2">
      <c r="A131" s="1094">
        <v>5</v>
      </c>
      <c r="B131" s="1095" t="s">
        <v>867</v>
      </c>
      <c r="C131" s="1102">
        <f>SUM(D131:E131)</f>
        <v>0</v>
      </c>
      <c r="D131" s="1102"/>
      <c r="E131" s="1102"/>
      <c r="F131" s="1096">
        <f t="shared" si="204"/>
        <v>0</v>
      </c>
      <c r="G131" s="1102"/>
      <c r="H131" s="1102"/>
      <c r="I131" s="1096">
        <f t="shared" si="297"/>
        <v>0</v>
      </c>
      <c r="J131" s="1102"/>
      <c r="K131" s="1102"/>
      <c r="L131" s="1102">
        <f>SUM(M131:N131)</f>
        <v>0</v>
      </c>
      <c r="M131" s="1102"/>
      <c r="N131" s="1102"/>
      <c r="O131" s="1102">
        <f>SUM(P131:Q131)</f>
        <v>0</v>
      </c>
      <c r="P131" s="1102"/>
      <c r="Q131" s="1102"/>
      <c r="R131" s="1103"/>
    </row>
    <row r="145" spans="6:6" x14ac:dyDescent="0.2">
      <c r="F145" s="1112"/>
    </row>
  </sheetData>
  <mergeCells count="12">
    <mergeCell ref="C5:E5"/>
    <mergeCell ref="R5:R6"/>
    <mergeCell ref="O5:Q5"/>
    <mergeCell ref="F5:H5"/>
    <mergeCell ref="I5:K5"/>
    <mergeCell ref="L5:N5"/>
    <mergeCell ref="A5:A6"/>
    <mergeCell ref="B5:B6"/>
    <mergeCell ref="Q1:R1"/>
    <mergeCell ref="A2:R2"/>
    <mergeCell ref="A3:R3"/>
    <mergeCell ref="P4:R4"/>
  </mergeCells>
  <printOptions horizontalCentered="1"/>
  <pageMargins left="0.19685039370078741" right="0.19685039370078741" top="0.32" bottom="0.39370078740157483" header="0.51181102362204722" footer="0.19685039370078741"/>
  <pageSetup paperSize="9" scale="69" orientation="landscape" r:id="rId1"/>
  <headerFooter>
    <oddFooter>Page &amp;P</oddFooter>
  </headerFooter>
  <colBreaks count="1" manualBreakCount="1">
    <brk id="1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L65"/>
  <sheetViews>
    <sheetView tabSelected="1" zoomScale="85" zoomScaleNormal="85" zoomScaleSheetLayoutView="130" workbookViewId="0">
      <pane ySplit="7" topLeftCell="A8" activePane="bottomLeft" state="frozen"/>
      <selection pane="bottomLeft" activeCell="N16" sqref="N16"/>
    </sheetView>
  </sheetViews>
  <sheetFormatPr defaultColWidth="9.33203125" defaultRowHeight="12.75" x14ac:dyDescent="0.2"/>
  <cols>
    <col min="1" max="1" width="6.6640625" style="916" customWidth="1"/>
    <col min="2" max="2" width="65.6640625" style="916" customWidth="1"/>
    <col min="3" max="3" width="12.6640625" style="916" customWidth="1"/>
    <col min="4" max="5" width="11.5" style="916" customWidth="1"/>
    <col min="6" max="6" width="12.6640625" style="942" customWidth="1"/>
    <col min="7" max="7" width="13" style="942" customWidth="1"/>
    <col min="8" max="8" width="12.1640625" style="942" customWidth="1"/>
    <col min="9" max="10" width="12.1640625" style="943" customWidth="1"/>
    <col min="11" max="13" width="9.6640625" style="942" customWidth="1"/>
    <col min="14" max="14" width="8.33203125" style="916" customWidth="1"/>
    <col min="15" max="15" width="11.5" style="914" customWidth="1"/>
    <col min="16" max="16" width="9.83203125" style="914" customWidth="1"/>
    <col min="17" max="17" width="10.33203125" style="957" customWidth="1"/>
    <col min="18" max="18" width="10.83203125" style="914" customWidth="1"/>
    <col min="19" max="19" width="10.5" style="914" customWidth="1"/>
    <col min="20" max="20" width="23.5" style="914" customWidth="1"/>
    <col min="21" max="21" width="10.1640625" style="914" customWidth="1"/>
    <col min="22" max="22" width="11.5" style="914" customWidth="1"/>
    <col min="23" max="23" width="11.6640625" style="914" customWidth="1"/>
    <col min="24" max="25" width="9.33203125" style="914" customWidth="1"/>
    <col min="26" max="26" width="9.83203125" style="914" customWidth="1"/>
    <col min="27" max="27" width="9.33203125" style="914" customWidth="1"/>
    <col min="28" max="28" width="9.33203125" style="914"/>
    <col min="29" max="29" width="11.6640625" style="914" bestFit="1" customWidth="1"/>
    <col min="30" max="30" width="12.33203125" style="914" customWidth="1"/>
    <col min="31" max="31" width="11.1640625" style="914" bestFit="1" customWidth="1"/>
    <col min="32" max="38" width="9.33203125" style="914"/>
    <col min="39" max="16384" width="9.33203125" style="916"/>
  </cols>
  <sheetData>
    <row r="1" spans="1:38" ht="15.75" customHeight="1" x14ac:dyDescent="0.2">
      <c r="A1" s="909"/>
      <c r="B1" s="909"/>
      <c r="C1" s="909"/>
      <c r="D1" s="909"/>
      <c r="E1" s="909"/>
      <c r="F1" s="909"/>
      <c r="G1" s="909"/>
      <c r="H1" s="909"/>
      <c r="I1" s="909"/>
      <c r="J1" s="909"/>
      <c r="K1" s="991" t="s">
        <v>885</v>
      </c>
      <c r="L1" s="991"/>
      <c r="M1" s="991"/>
      <c r="N1" s="991"/>
      <c r="O1" s="910"/>
      <c r="P1" s="910"/>
      <c r="T1" s="915"/>
    </row>
    <row r="2" spans="1:38" ht="18.600000000000001" customHeight="1" x14ac:dyDescent="0.2">
      <c r="A2" s="917" t="s">
        <v>882</v>
      </c>
      <c r="B2" s="917"/>
      <c r="C2" s="917"/>
      <c r="D2" s="917"/>
      <c r="E2" s="917"/>
      <c r="F2" s="917"/>
      <c r="G2" s="917"/>
      <c r="H2" s="917"/>
      <c r="I2" s="917"/>
      <c r="J2" s="917"/>
      <c r="K2" s="917"/>
      <c r="L2" s="917"/>
      <c r="M2" s="917"/>
      <c r="N2" s="917"/>
      <c r="O2" s="918"/>
      <c r="P2" s="918"/>
    </row>
    <row r="3" spans="1:38" ht="17.25" customHeight="1" x14ac:dyDescent="0.2">
      <c r="A3" s="920" t="s">
        <v>891</v>
      </c>
      <c r="B3" s="920"/>
      <c r="C3" s="920"/>
      <c r="D3" s="920"/>
      <c r="E3" s="920"/>
      <c r="F3" s="920"/>
      <c r="G3" s="920"/>
      <c r="H3" s="920"/>
      <c r="I3" s="920"/>
      <c r="J3" s="920"/>
      <c r="K3" s="920"/>
      <c r="L3" s="920"/>
      <c r="M3" s="920"/>
      <c r="N3" s="920"/>
      <c r="O3" s="921"/>
      <c r="P3" s="921"/>
      <c r="Q3" s="958"/>
    </row>
    <row r="4" spans="1:38" ht="26.25" customHeight="1" x14ac:dyDescent="0.2">
      <c r="A4" s="924"/>
      <c r="B4" s="924"/>
      <c r="C4" s="924"/>
      <c r="D4" s="924"/>
      <c r="E4" s="924"/>
      <c r="F4" s="925"/>
      <c r="G4" s="925"/>
      <c r="H4" s="925"/>
      <c r="I4" s="969"/>
      <c r="J4" s="969"/>
      <c r="K4" s="1052" t="s">
        <v>104</v>
      </c>
      <c r="L4" s="1052"/>
      <c r="M4" s="1052"/>
      <c r="N4" s="1052"/>
      <c r="O4" s="926"/>
      <c r="P4" s="926"/>
      <c r="Q4" s="958"/>
    </row>
    <row r="5" spans="1:38" ht="17.25" customHeight="1" x14ac:dyDescent="0.2">
      <c r="A5" s="970" t="s">
        <v>890</v>
      </c>
      <c r="B5" s="970" t="s">
        <v>85</v>
      </c>
      <c r="C5" s="970" t="s">
        <v>723</v>
      </c>
      <c r="D5" s="970"/>
      <c r="E5" s="970"/>
      <c r="F5" s="971" t="s">
        <v>107</v>
      </c>
      <c r="G5" s="971"/>
      <c r="H5" s="971" t="s">
        <v>888</v>
      </c>
      <c r="I5" s="971"/>
      <c r="J5" s="971"/>
      <c r="K5" s="971" t="s">
        <v>117</v>
      </c>
      <c r="L5" s="971"/>
      <c r="M5" s="971"/>
      <c r="N5" s="970" t="s">
        <v>88</v>
      </c>
      <c r="O5" s="928"/>
      <c r="P5" s="928"/>
      <c r="R5" s="959" t="s">
        <v>267</v>
      </c>
      <c r="S5" s="860">
        <f>92/173%</f>
        <v>53.179190751445084</v>
      </c>
      <c r="T5" s="930" t="s">
        <v>106</v>
      </c>
    </row>
    <row r="6" spans="1:38" ht="22.5" customHeight="1" x14ac:dyDescent="0.2">
      <c r="A6" s="970"/>
      <c r="B6" s="970"/>
      <c r="C6" s="970"/>
      <c r="D6" s="970"/>
      <c r="E6" s="970"/>
      <c r="F6" s="971"/>
      <c r="G6" s="971"/>
      <c r="H6" s="971"/>
      <c r="I6" s="971"/>
      <c r="J6" s="971"/>
      <c r="K6" s="971"/>
      <c r="L6" s="971"/>
      <c r="M6" s="971"/>
      <c r="N6" s="970"/>
      <c r="O6" s="928"/>
      <c r="P6" s="928"/>
      <c r="R6" s="959"/>
      <c r="T6" s="930"/>
    </row>
    <row r="7" spans="1:38" ht="122.25" customHeight="1" x14ac:dyDescent="0.2">
      <c r="A7" s="970"/>
      <c r="B7" s="970"/>
      <c r="C7" s="972" t="s">
        <v>720</v>
      </c>
      <c r="D7" s="972" t="s">
        <v>721</v>
      </c>
      <c r="E7" s="972" t="s">
        <v>722</v>
      </c>
      <c r="F7" s="973" t="s">
        <v>108</v>
      </c>
      <c r="G7" s="973" t="s">
        <v>415</v>
      </c>
      <c r="H7" s="973" t="s">
        <v>647</v>
      </c>
      <c r="I7" s="973" t="s">
        <v>643</v>
      </c>
      <c r="J7" s="973" t="s">
        <v>642</v>
      </c>
      <c r="K7" s="973" t="s">
        <v>881</v>
      </c>
      <c r="L7" s="973" t="s">
        <v>721</v>
      </c>
      <c r="M7" s="972" t="s">
        <v>722</v>
      </c>
      <c r="N7" s="970"/>
      <c r="O7" s="928"/>
      <c r="P7" s="960">
        <f>D8-1506</f>
        <v>365303.11199999996</v>
      </c>
      <c r="Q7" s="961">
        <f>C8-1506</f>
        <v>388349.18999999994</v>
      </c>
      <c r="R7" s="959"/>
      <c r="T7" s="930"/>
    </row>
    <row r="8" spans="1:38" ht="21.95" customHeight="1" x14ac:dyDescent="0.2">
      <c r="A8" s="974"/>
      <c r="B8" s="972" t="s">
        <v>23</v>
      </c>
      <c r="C8" s="975">
        <f>C9+C10+C13</f>
        <v>389855.18999999994</v>
      </c>
      <c r="D8" s="976">
        <f>D9+D10+D13</f>
        <v>366809.11199999996</v>
      </c>
      <c r="E8" s="976">
        <f>E9+E10+E13</f>
        <v>23046.078000000001</v>
      </c>
      <c r="F8" s="976">
        <f t="shared" ref="F8:J8" si="0">F9+F10+F13</f>
        <v>669605.49900000007</v>
      </c>
      <c r="G8" s="976">
        <f t="shared" si="0"/>
        <v>203183.008</v>
      </c>
      <c r="H8" s="976">
        <f t="shared" si="0"/>
        <v>175012.97</v>
      </c>
      <c r="I8" s="976">
        <f t="shared" si="0"/>
        <v>161022.47700000001</v>
      </c>
      <c r="J8" s="976">
        <f t="shared" si="0"/>
        <v>13990.492999999999</v>
      </c>
      <c r="K8" s="977">
        <f t="shared" ref="K8:K16" si="1">H8/C8%</f>
        <v>44.891789179464311</v>
      </c>
      <c r="L8" s="977">
        <f>I8/D8%</f>
        <v>43.898167120777529</v>
      </c>
      <c r="M8" s="977">
        <f>J8/E8%</f>
        <v>60.706611337512605</v>
      </c>
      <c r="N8" s="978"/>
      <c r="O8" s="962">
        <f>H8/C8*100</f>
        <v>44.891789179464311</v>
      </c>
      <c r="P8" s="963">
        <f>I8/D8%</f>
        <v>43.898167120777529</v>
      </c>
      <c r="Q8" s="964">
        <f>J8/E8*100</f>
        <v>60.706611337512605</v>
      </c>
      <c r="R8" s="965">
        <f>H8/Q7%</f>
        <v>45.065877438807078</v>
      </c>
      <c r="S8" s="932">
        <f>K8-31.84</f>
        <v>13.051789179464311</v>
      </c>
      <c r="U8" s="915">
        <f>D8+66627</f>
        <v>433436.11199999996</v>
      </c>
      <c r="V8" s="453">
        <f>800+45808+43818</f>
        <v>90426</v>
      </c>
    </row>
    <row r="9" spans="1:38" ht="21.95" customHeight="1" x14ac:dyDescent="0.2">
      <c r="A9" s="972" t="s">
        <v>15</v>
      </c>
      <c r="B9" s="979" t="s">
        <v>644</v>
      </c>
      <c r="C9" s="980">
        <f>D9+E9</f>
        <v>166430.921</v>
      </c>
      <c r="D9" s="976">
        <f>NSNN!G9</f>
        <v>166430.921</v>
      </c>
      <c r="E9" s="976"/>
      <c r="F9" s="975">
        <f>NSNN!H9</f>
        <v>296489</v>
      </c>
      <c r="G9" s="981">
        <f>NSNN!I9</f>
        <v>58617</v>
      </c>
      <c r="H9" s="981">
        <f>I9+J9</f>
        <v>37622.161</v>
      </c>
      <c r="I9" s="981">
        <f>NSNN!J9</f>
        <v>37622.161</v>
      </c>
      <c r="J9" s="981">
        <v>0</v>
      </c>
      <c r="K9" s="977">
        <f t="shared" si="1"/>
        <v>22.605271168330553</v>
      </c>
      <c r="L9" s="977">
        <f t="shared" ref="L9:L15" si="2">I9/D9%</f>
        <v>22.605271168330553</v>
      </c>
      <c r="M9" s="977"/>
      <c r="N9" s="982"/>
      <c r="O9" s="862"/>
      <c r="P9" s="862"/>
      <c r="Q9" s="966"/>
    </row>
    <row r="10" spans="1:38" ht="21.95" customHeight="1" x14ac:dyDescent="0.2">
      <c r="A10" s="972" t="s">
        <v>25</v>
      </c>
      <c r="B10" s="979" t="s">
        <v>528</v>
      </c>
      <c r="C10" s="980">
        <f>D10+E10</f>
        <v>62739.190999999999</v>
      </c>
      <c r="D10" s="975">
        <f>SUM(D11:D12)</f>
        <v>62739.190999999999</v>
      </c>
      <c r="E10" s="975">
        <f>SUM(E11:E12)</f>
        <v>0</v>
      </c>
      <c r="F10" s="975">
        <f t="shared" ref="F10:J10" si="3">SUM(F11:F12)</f>
        <v>153406.37</v>
      </c>
      <c r="G10" s="975">
        <f t="shared" si="3"/>
        <v>18590.898999999998</v>
      </c>
      <c r="H10" s="981">
        <f>I10+J10</f>
        <v>40804.472000000002</v>
      </c>
      <c r="I10" s="975">
        <f t="shared" si="3"/>
        <v>40804.472000000002</v>
      </c>
      <c r="J10" s="975">
        <f t="shared" si="3"/>
        <v>0</v>
      </c>
      <c r="K10" s="977">
        <f t="shared" si="1"/>
        <v>65.038250174440421</v>
      </c>
      <c r="L10" s="977">
        <f t="shared" si="2"/>
        <v>65.038250174440421</v>
      </c>
      <c r="M10" s="977"/>
      <c r="N10" s="982"/>
      <c r="O10" s="862"/>
      <c r="P10" s="862"/>
      <c r="Q10" s="966"/>
    </row>
    <row r="11" spans="1:38" s="936" customFormat="1" ht="21.95" customHeight="1" x14ac:dyDescent="0.2">
      <c r="A11" s="983">
        <v>1</v>
      </c>
      <c r="B11" s="984" t="s">
        <v>645</v>
      </c>
      <c r="C11" s="985">
        <f>D11+E11</f>
        <v>16051.191000000001</v>
      </c>
      <c r="D11" s="986">
        <f>NSNN!G21</f>
        <v>16051.191000000001</v>
      </c>
      <c r="E11" s="986"/>
      <c r="F11" s="987">
        <f>NSNN!H21</f>
        <v>32778.702000000005</v>
      </c>
      <c r="G11" s="987">
        <f>NSNN!I21</f>
        <v>7852</v>
      </c>
      <c r="H11" s="987">
        <f>I11+J11</f>
        <v>9642.1540000000005</v>
      </c>
      <c r="I11" s="987">
        <f>NSNN!J21</f>
        <v>9642.1540000000005</v>
      </c>
      <c r="J11" s="987">
        <v>0</v>
      </c>
      <c r="K11" s="988">
        <f t="shared" si="1"/>
        <v>60.071268231746792</v>
      </c>
      <c r="L11" s="988">
        <f t="shared" si="2"/>
        <v>60.071268231746792</v>
      </c>
      <c r="M11" s="988"/>
      <c r="N11" s="989"/>
      <c r="O11" s="933"/>
      <c r="P11" s="933"/>
      <c r="Q11" s="958"/>
      <c r="R11" s="935"/>
      <c r="S11" s="935"/>
      <c r="T11" s="935"/>
      <c r="U11" s="935"/>
      <c r="V11" s="935"/>
      <c r="W11" s="935"/>
      <c r="X11" s="935"/>
      <c r="Y11" s="935"/>
      <c r="Z11" s="935"/>
      <c r="AA11" s="935"/>
      <c r="AB11" s="935"/>
      <c r="AC11" s="935"/>
      <c r="AD11" s="935"/>
      <c r="AE11" s="935"/>
      <c r="AF11" s="935"/>
      <c r="AG11" s="935"/>
      <c r="AH11" s="935"/>
      <c r="AI11" s="935"/>
      <c r="AJ11" s="935"/>
      <c r="AK11" s="935"/>
      <c r="AL11" s="935"/>
    </row>
    <row r="12" spans="1:38" s="936" customFormat="1" ht="21.95" customHeight="1" x14ac:dyDescent="0.2">
      <c r="A12" s="983">
        <v>2</v>
      </c>
      <c r="B12" s="984" t="s">
        <v>646</v>
      </c>
      <c r="C12" s="985">
        <f>D12+E12</f>
        <v>46688</v>
      </c>
      <c r="D12" s="986">
        <f>NSNN!G34</f>
        <v>46688</v>
      </c>
      <c r="E12" s="986"/>
      <c r="F12" s="987">
        <f>NSNN!H34</f>
        <v>120627.66799999999</v>
      </c>
      <c r="G12" s="987">
        <f>NSNN!I34</f>
        <v>10738.898999999999</v>
      </c>
      <c r="H12" s="987">
        <f>I12+J12</f>
        <v>31162.317999999999</v>
      </c>
      <c r="I12" s="987">
        <f>NSNN!J34</f>
        <v>31162.317999999999</v>
      </c>
      <c r="J12" s="987">
        <v>0</v>
      </c>
      <c r="K12" s="988">
        <f t="shared" si="1"/>
        <v>66.745883310486633</v>
      </c>
      <c r="L12" s="988">
        <f t="shared" si="2"/>
        <v>66.745883310486633</v>
      </c>
      <c r="M12" s="988"/>
      <c r="N12" s="989"/>
      <c r="O12" s="933"/>
      <c r="P12" s="933"/>
      <c r="Q12" s="958"/>
      <c r="R12" s="935"/>
      <c r="S12" s="937"/>
      <c r="T12" s="935"/>
      <c r="U12" s="937"/>
      <c r="V12" s="863"/>
      <c r="W12" s="935"/>
      <c r="X12" s="935"/>
      <c r="Y12" s="935"/>
      <c r="Z12" s="935"/>
      <c r="AA12" s="935"/>
      <c r="AB12" s="935"/>
      <c r="AC12" s="935"/>
      <c r="AD12" s="935"/>
      <c r="AE12" s="935"/>
      <c r="AF12" s="935"/>
      <c r="AG12" s="935"/>
      <c r="AH12" s="935"/>
      <c r="AI12" s="935"/>
      <c r="AJ12" s="935"/>
      <c r="AK12" s="935"/>
      <c r="AL12" s="935"/>
    </row>
    <row r="13" spans="1:38" s="939" customFormat="1" ht="38.1" customHeight="1" x14ac:dyDescent="0.2">
      <c r="A13" s="972" t="s">
        <v>559</v>
      </c>
      <c r="B13" s="979" t="s">
        <v>648</v>
      </c>
      <c r="C13" s="976">
        <f>SUM(C14:C16)</f>
        <v>160685.07799999998</v>
      </c>
      <c r="D13" s="976">
        <f>SUM(D14:D16)</f>
        <v>137639</v>
      </c>
      <c r="E13" s="976">
        <f>SUM(E14:E16)</f>
        <v>23046.078000000001</v>
      </c>
      <c r="F13" s="976">
        <f t="shared" ref="F13:J13" si="4">SUM(F14:F16)</f>
        <v>219710.12900000002</v>
      </c>
      <c r="G13" s="976">
        <f t="shared" si="4"/>
        <v>125975.109</v>
      </c>
      <c r="H13" s="976">
        <f t="shared" si="4"/>
        <v>96586.337</v>
      </c>
      <c r="I13" s="976">
        <f t="shared" si="4"/>
        <v>82595.844000000012</v>
      </c>
      <c r="J13" s="976">
        <f t="shared" si="4"/>
        <v>13990.492999999999</v>
      </c>
      <c r="K13" s="977">
        <f t="shared" si="1"/>
        <v>60.109089283324749</v>
      </c>
      <c r="L13" s="977">
        <f t="shared" si="2"/>
        <v>60.009041042146492</v>
      </c>
      <c r="M13" s="977">
        <f t="shared" ref="M13:M15" si="5">J13/E13%</f>
        <v>60.706611337512605</v>
      </c>
      <c r="N13" s="990"/>
      <c r="O13" s="962"/>
      <c r="P13" s="967">
        <f>I13/D13%</f>
        <v>60.009041042146492</v>
      </c>
      <c r="Q13" s="964">
        <f>J13/E13*100</f>
        <v>60.706611337512605</v>
      </c>
      <c r="R13" s="938"/>
      <c r="S13" s="938"/>
      <c r="T13" s="938"/>
      <c r="U13" s="938"/>
      <c r="V13" s="938"/>
      <c r="W13" s="938"/>
      <c r="X13" s="938"/>
      <c r="Y13" s="938"/>
      <c r="Z13" s="938"/>
      <c r="AA13" s="938"/>
      <c r="AB13" s="938"/>
      <c r="AC13" s="928"/>
      <c r="AD13" s="938"/>
      <c r="AE13" s="938"/>
      <c r="AF13" s="938"/>
      <c r="AG13" s="938"/>
      <c r="AH13" s="938"/>
      <c r="AI13" s="938"/>
      <c r="AJ13" s="938"/>
      <c r="AK13" s="930"/>
      <c r="AL13" s="930"/>
    </row>
    <row r="14" spans="1:38" ht="21.95" customHeight="1" x14ac:dyDescent="0.2">
      <c r="A14" s="983">
        <v>1</v>
      </c>
      <c r="B14" s="984" t="s">
        <v>649</v>
      </c>
      <c r="C14" s="985">
        <f>D14+E14</f>
        <v>9003.9709999999995</v>
      </c>
      <c r="D14" s="986">
        <f>MTQG!K9</f>
        <v>2433</v>
      </c>
      <c r="E14" s="986">
        <f>MTQG!J9</f>
        <v>6570.9709999999995</v>
      </c>
      <c r="F14" s="987">
        <f>MTQG!L9</f>
        <v>11176.02</v>
      </c>
      <c r="G14" s="987">
        <f>MTQG!M9</f>
        <v>1618</v>
      </c>
      <c r="H14" s="987">
        <f>I14+J14</f>
        <v>4275.1219999999994</v>
      </c>
      <c r="I14" s="987">
        <f>MTQG!N9</f>
        <v>1078.673</v>
      </c>
      <c r="J14" s="987">
        <f>MTQG!Q9</f>
        <v>3196.4489999999996</v>
      </c>
      <c r="K14" s="988">
        <f t="shared" si="1"/>
        <v>47.480406145244132</v>
      </c>
      <c r="L14" s="988">
        <f t="shared" si="2"/>
        <v>44.335100698725853</v>
      </c>
      <c r="M14" s="988">
        <f t="shared" si="5"/>
        <v>48.645002390057719</v>
      </c>
      <c r="N14" s="982"/>
      <c r="O14" s="861">
        <f>H14/C14*100</f>
        <v>47.480406145244132</v>
      </c>
      <c r="P14" s="967">
        <f>I14/D14%</f>
        <v>44.335100698725853</v>
      </c>
      <c r="Q14" s="964">
        <f>J14/E14*100</f>
        <v>48.645002390057726</v>
      </c>
      <c r="R14" s="968"/>
      <c r="S14" s="940"/>
      <c r="V14" s="864"/>
      <c r="W14" s="915"/>
      <c r="AC14" s="915"/>
      <c r="AD14" s="915"/>
      <c r="AE14" s="453"/>
      <c r="AG14" s="915"/>
    </row>
    <row r="15" spans="1:38" ht="21.95" customHeight="1" x14ac:dyDescent="0.2">
      <c r="A15" s="983">
        <v>2</v>
      </c>
      <c r="B15" s="984" t="s">
        <v>594</v>
      </c>
      <c r="C15" s="985">
        <f>D15+E15</f>
        <v>51569.881000000001</v>
      </c>
      <c r="D15" s="986">
        <f>MTQG!K32</f>
        <v>43931</v>
      </c>
      <c r="E15" s="986">
        <f>MTQG!J32</f>
        <v>7638.8810000000012</v>
      </c>
      <c r="F15" s="987">
        <f>MTQG!L32</f>
        <v>102716</v>
      </c>
      <c r="G15" s="987">
        <f>MTQG!M32</f>
        <v>64138</v>
      </c>
      <c r="H15" s="987">
        <f t="shared" ref="H15:H16" si="6">I15+J15</f>
        <v>36342.587</v>
      </c>
      <c r="I15" s="987">
        <f>MTQG!N32</f>
        <v>30026.666000000001</v>
      </c>
      <c r="J15" s="987">
        <f>MTQG!Q32</f>
        <v>6315.9210000000003</v>
      </c>
      <c r="K15" s="988">
        <f t="shared" si="1"/>
        <v>70.472505065505189</v>
      </c>
      <c r="L15" s="988">
        <f t="shared" si="2"/>
        <v>68.349607338781269</v>
      </c>
      <c r="M15" s="988">
        <f t="shared" si="5"/>
        <v>82.681233023527923</v>
      </c>
      <c r="N15" s="982"/>
      <c r="O15" s="861">
        <f>H15/C15*100</f>
        <v>70.472505065505189</v>
      </c>
      <c r="P15" s="967">
        <f>I15/D15%</f>
        <v>68.349607338781269</v>
      </c>
      <c r="Q15" s="964">
        <f>J15/E15*100</f>
        <v>82.681233023527909</v>
      </c>
      <c r="R15" s="968"/>
      <c r="T15" s="864"/>
      <c r="V15" s="865"/>
      <c r="Y15" s="915"/>
      <c r="AA15" s="915"/>
      <c r="AC15" s="915"/>
      <c r="AD15" s="915"/>
    </row>
    <row r="16" spans="1:38" ht="38.1" customHeight="1" x14ac:dyDescent="0.2">
      <c r="A16" s="983">
        <v>3</v>
      </c>
      <c r="B16" s="984" t="s">
        <v>650</v>
      </c>
      <c r="C16" s="985">
        <f>D16+E16</f>
        <v>100111.226</v>
      </c>
      <c r="D16" s="986">
        <f>MTQG!K58</f>
        <v>91275</v>
      </c>
      <c r="E16" s="986">
        <f>MTQG!J58</f>
        <v>8836.2260000000006</v>
      </c>
      <c r="F16" s="986">
        <f>MTQG!L58</f>
        <v>105818.109</v>
      </c>
      <c r="G16" s="986">
        <f>MTQG!M58</f>
        <v>60219.108999999997</v>
      </c>
      <c r="H16" s="987">
        <f t="shared" si="6"/>
        <v>55968.628000000004</v>
      </c>
      <c r="I16" s="986">
        <f>MTQG!N58</f>
        <v>51490.505000000005</v>
      </c>
      <c r="J16" s="986">
        <f>MTQG!Q58</f>
        <v>4478.1230000000005</v>
      </c>
      <c r="K16" s="988">
        <f t="shared" si="1"/>
        <v>55.906445496931589</v>
      </c>
      <c r="L16" s="988">
        <f>I16/D16%</f>
        <v>56.412495206792663</v>
      </c>
      <c r="M16" s="988">
        <f>J16/E16%</f>
        <v>50.679136092716512</v>
      </c>
      <c r="N16" s="982"/>
      <c r="O16" s="861">
        <f>H16/C16*100</f>
        <v>55.906445496931589</v>
      </c>
      <c r="P16" s="967">
        <f>I16/D16%</f>
        <v>56.412495206792663</v>
      </c>
      <c r="Q16" s="964">
        <f>J16/E16*100</f>
        <v>50.679136092716504</v>
      </c>
      <c r="R16" s="968"/>
      <c r="T16" s="864"/>
      <c r="V16" s="865"/>
      <c r="Y16" s="915"/>
      <c r="AA16" s="915"/>
      <c r="AC16" s="915"/>
      <c r="AD16" s="915"/>
    </row>
    <row r="17" spans="1:38" x14ac:dyDescent="0.2">
      <c r="A17" s="941"/>
    </row>
    <row r="18" spans="1:38" x14ac:dyDescent="0.2">
      <c r="I18" s="942"/>
      <c r="J18" s="942"/>
      <c r="U18" s="916"/>
      <c r="V18" s="916"/>
      <c r="W18" s="916"/>
      <c r="X18" s="916"/>
      <c r="Y18" s="916"/>
      <c r="Z18" s="916"/>
      <c r="AA18" s="916"/>
      <c r="AB18" s="916"/>
      <c r="AC18" s="916"/>
      <c r="AD18" s="916"/>
      <c r="AE18" s="916"/>
      <c r="AF18" s="916"/>
      <c r="AG18" s="916"/>
      <c r="AH18" s="916"/>
      <c r="AI18" s="916"/>
      <c r="AJ18" s="916"/>
      <c r="AK18" s="916"/>
      <c r="AL18" s="916"/>
    </row>
    <row r="19" spans="1:38" x14ac:dyDescent="0.2">
      <c r="I19" s="942"/>
      <c r="J19" s="942"/>
      <c r="U19" s="916"/>
      <c r="V19" s="916"/>
      <c r="W19" s="916"/>
      <c r="X19" s="916"/>
      <c r="Y19" s="916"/>
      <c r="Z19" s="916"/>
      <c r="AA19" s="916"/>
      <c r="AB19" s="916"/>
      <c r="AC19" s="916"/>
      <c r="AD19" s="916"/>
      <c r="AE19" s="916"/>
      <c r="AF19" s="916"/>
      <c r="AG19" s="916"/>
      <c r="AH19" s="916"/>
      <c r="AI19" s="916"/>
      <c r="AJ19" s="916"/>
      <c r="AK19" s="916"/>
      <c r="AL19" s="916"/>
    </row>
    <row r="20" spans="1:38" x14ac:dyDescent="0.2">
      <c r="I20" s="942"/>
      <c r="J20" s="942"/>
      <c r="U20" s="916"/>
      <c r="V20" s="916"/>
      <c r="W20" s="916"/>
      <c r="X20" s="916"/>
      <c r="Y20" s="916"/>
      <c r="Z20" s="916"/>
      <c r="AA20" s="916"/>
      <c r="AB20" s="916"/>
      <c r="AC20" s="916"/>
      <c r="AD20" s="916"/>
      <c r="AE20" s="916"/>
      <c r="AF20" s="916"/>
      <c r="AG20" s="916"/>
      <c r="AH20" s="916"/>
      <c r="AI20" s="916"/>
      <c r="AJ20" s="916"/>
      <c r="AK20" s="916"/>
      <c r="AL20" s="916"/>
    </row>
    <row r="21" spans="1:38" x14ac:dyDescent="0.2">
      <c r="D21" s="126"/>
      <c r="I21" s="942"/>
      <c r="J21" s="942"/>
      <c r="U21" s="916"/>
      <c r="V21" s="916"/>
      <c r="W21" s="916"/>
      <c r="X21" s="916"/>
      <c r="Y21" s="916"/>
      <c r="Z21" s="916"/>
      <c r="AA21" s="916"/>
      <c r="AB21" s="916"/>
      <c r="AC21" s="916"/>
      <c r="AD21" s="916"/>
      <c r="AE21" s="916"/>
      <c r="AF21" s="916"/>
      <c r="AG21" s="916"/>
      <c r="AH21" s="916"/>
      <c r="AI21" s="916"/>
      <c r="AJ21" s="916"/>
      <c r="AK21" s="916"/>
      <c r="AL21" s="916"/>
    </row>
    <row r="22" spans="1:38" x14ac:dyDescent="0.2">
      <c r="D22" s="944"/>
      <c r="E22" s="944"/>
      <c r="F22" s="944"/>
      <c r="G22" s="944"/>
      <c r="H22" s="944"/>
      <c r="I22" s="944"/>
      <c r="J22" s="944"/>
      <c r="U22" s="916"/>
      <c r="V22" s="916"/>
      <c r="W22" s="916"/>
      <c r="X22" s="916"/>
      <c r="Y22" s="916"/>
      <c r="Z22" s="916"/>
      <c r="AA22" s="916"/>
      <c r="AB22" s="916"/>
      <c r="AC22" s="916"/>
      <c r="AD22" s="916"/>
      <c r="AE22" s="916"/>
      <c r="AF22" s="916"/>
      <c r="AG22" s="916"/>
      <c r="AH22" s="916"/>
      <c r="AI22" s="916"/>
      <c r="AJ22" s="916"/>
      <c r="AK22" s="916"/>
      <c r="AL22" s="916"/>
    </row>
    <row r="23" spans="1:38" x14ac:dyDescent="0.2">
      <c r="D23" s="945"/>
      <c r="E23" s="945"/>
      <c r="I23" s="942"/>
      <c r="J23" s="942"/>
      <c r="U23" s="916"/>
      <c r="V23" s="916"/>
      <c r="W23" s="916"/>
      <c r="X23" s="916"/>
      <c r="Y23" s="916"/>
      <c r="Z23" s="916"/>
      <c r="AA23" s="916"/>
      <c r="AB23" s="916"/>
      <c r="AC23" s="916"/>
      <c r="AD23" s="916"/>
      <c r="AE23" s="916"/>
      <c r="AF23" s="916"/>
      <c r="AG23" s="916"/>
      <c r="AH23" s="916"/>
      <c r="AI23" s="916"/>
      <c r="AJ23" s="916"/>
      <c r="AK23" s="916"/>
      <c r="AL23" s="916"/>
    </row>
    <row r="24" spans="1:38" x14ac:dyDescent="0.2">
      <c r="D24" s="944"/>
      <c r="I24" s="946"/>
      <c r="J24" s="942"/>
      <c r="U24" s="916"/>
      <c r="V24" s="916"/>
      <c r="W24" s="916"/>
      <c r="X24" s="916"/>
      <c r="Y24" s="916"/>
      <c r="Z24" s="916"/>
      <c r="AA24" s="916"/>
      <c r="AB24" s="916"/>
      <c r="AC24" s="916"/>
      <c r="AD24" s="916"/>
      <c r="AE24" s="916"/>
      <c r="AF24" s="916"/>
      <c r="AG24" s="916"/>
      <c r="AH24" s="916"/>
      <c r="AI24" s="916"/>
      <c r="AJ24" s="916"/>
      <c r="AK24" s="916"/>
      <c r="AL24" s="916"/>
    </row>
    <row r="25" spans="1:38" x14ac:dyDescent="0.2">
      <c r="I25" s="942"/>
      <c r="J25" s="942"/>
      <c r="U25" s="916"/>
      <c r="V25" s="916"/>
      <c r="W25" s="916"/>
      <c r="X25" s="916"/>
      <c r="Y25" s="916"/>
      <c r="Z25" s="916"/>
      <c r="AA25" s="916"/>
      <c r="AB25" s="916"/>
      <c r="AC25" s="916"/>
      <c r="AD25" s="916"/>
      <c r="AE25" s="916"/>
      <c r="AF25" s="916"/>
      <c r="AG25" s="916"/>
      <c r="AH25" s="916"/>
      <c r="AI25" s="916"/>
      <c r="AJ25" s="916"/>
      <c r="AK25" s="916"/>
      <c r="AL25" s="916"/>
    </row>
    <row r="26" spans="1:38" x14ac:dyDescent="0.2">
      <c r="D26" s="945"/>
      <c r="I26" s="942"/>
      <c r="J26" s="942"/>
      <c r="U26" s="916"/>
      <c r="V26" s="916"/>
      <c r="W26" s="916"/>
      <c r="X26" s="916"/>
      <c r="Y26" s="916"/>
      <c r="Z26" s="916"/>
      <c r="AA26" s="916"/>
      <c r="AB26" s="916"/>
      <c r="AC26" s="916"/>
      <c r="AD26" s="916"/>
      <c r="AE26" s="916"/>
      <c r="AF26" s="916"/>
      <c r="AG26" s="916"/>
      <c r="AH26" s="916"/>
      <c r="AI26" s="916"/>
      <c r="AJ26" s="916"/>
      <c r="AK26" s="916"/>
      <c r="AL26" s="916"/>
    </row>
    <row r="27" spans="1:38" x14ac:dyDescent="0.2">
      <c r="D27" s="947"/>
      <c r="I27" s="942"/>
      <c r="J27" s="942"/>
      <c r="U27" s="916"/>
      <c r="V27" s="916"/>
      <c r="W27" s="916"/>
      <c r="X27" s="916"/>
      <c r="Y27" s="916"/>
      <c r="Z27" s="916"/>
      <c r="AA27" s="916"/>
      <c r="AB27" s="916"/>
      <c r="AC27" s="916"/>
      <c r="AD27" s="916"/>
      <c r="AE27" s="916"/>
      <c r="AF27" s="916"/>
      <c r="AG27" s="916"/>
      <c r="AH27" s="916"/>
      <c r="AI27" s="916"/>
      <c r="AJ27" s="916"/>
      <c r="AK27" s="916"/>
      <c r="AL27" s="916"/>
    </row>
    <row r="28" spans="1:38" ht="18.75" x14ac:dyDescent="0.2">
      <c r="I28" s="942"/>
      <c r="J28" s="948"/>
      <c r="U28" s="916"/>
      <c r="V28" s="916"/>
      <c r="W28" s="916"/>
      <c r="X28" s="916"/>
      <c r="Y28" s="916"/>
      <c r="Z28" s="916"/>
      <c r="AA28" s="916"/>
      <c r="AB28" s="916"/>
      <c r="AC28" s="916"/>
      <c r="AD28" s="916"/>
      <c r="AE28" s="916"/>
      <c r="AF28" s="916"/>
      <c r="AG28" s="916"/>
      <c r="AH28" s="916"/>
      <c r="AI28" s="916"/>
      <c r="AJ28" s="916"/>
      <c r="AK28" s="916"/>
      <c r="AL28" s="916"/>
    </row>
    <row r="29" spans="1:38" ht="18.75" x14ac:dyDescent="0.2">
      <c r="J29" s="949"/>
    </row>
    <row r="30" spans="1:38" ht="18.75" x14ac:dyDescent="0.2">
      <c r="J30" s="949"/>
    </row>
    <row r="61" spans="4:9" x14ac:dyDescent="0.2">
      <c r="D61" s="944" t="e">
        <f>#REF!</f>
        <v>#REF!</v>
      </c>
      <c r="E61" s="944"/>
    </row>
    <row r="62" spans="4:9" x14ac:dyDescent="0.2">
      <c r="D62" s="944" t="e">
        <f>#REF!</f>
        <v>#REF!</v>
      </c>
      <c r="E62" s="944"/>
    </row>
    <row r="63" spans="4:9" x14ac:dyDescent="0.2">
      <c r="D63" s="944" t="e">
        <f>D62+D61</f>
        <v>#REF!</v>
      </c>
      <c r="E63" s="944"/>
      <c r="F63" s="942" t="e">
        <f>D8-D63</f>
        <v>#REF!</v>
      </c>
      <c r="G63" s="950" t="e">
        <f>F63/D8*100</f>
        <v>#REF!</v>
      </c>
      <c r="H63" s="950"/>
      <c r="I63" s="943">
        <v>41722</v>
      </c>
    </row>
    <row r="65" spans="6:6" x14ac:dyDescent="0.2">
      <c r="F65" s="942" t="e">
        <f>#REF!-D63</f>
        <v>#REF!</v>
      </c>
    </row>
  </sheetData>
  <mergeCells count="14">
    <mergeCell ref="K1:N1"/>
    <mergeCell ref="A2:N2"/>
    <mergeCell ref="A3:N3"/>
    <mergeCell ref="F5:G6"/>
    <mergeCell ref="H5:J6"/>
    <mergeCell ref="K4:N4"/>
    <mergeCell ref="K5:M6"/>
    <mergeCell ref="AK13:AL13"/>
    <mergeCell ref="T5:T7"/>
    <mergeCell ref="N5:N7"/>
    <mergeCell ref="A5:A7"/>
    <mergeCell ref="B5:B7"/>
    <mergeCell ref="R5:R7"/>
    <mergeCell ref="C5:E6"/>
  </mergeCells>
  <printOptions horizontalCentered="1"/>
  <pageMargins left="0.19685039370078741" right="0.19685039370078741" top="0.59055118110236227" bottom="0.39370078740157483" header="0.31496062992125984" footer="0.31496062992125984"/>
  <pageSetup paperSize="9" scale="75" orientation="landscape"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W150"/>
  <sheetViews>
    <sheetView topLeftCell="A16" zoomScale="85" zoomScaleNormal="85" zoomScaleSheetLayoutView="130" workbookViewId="0">
      <selection activeCell="F6" sqref="F6:F7"/>
    </sheetView>
  </sheetViews>
  <sheetFormatPr defaultColWidth="9.33203125" defaultRowHeight="12.75" x14ac:dyDescent="0.2"/>
  <cols>
    <col min="1" max="1" width="7" style="916" customWidth="1"/>
    <col min="2" max="2" width="59.5" style="916" customWidth="1"/>
    <col min="3" max="3" width="9.83203125" style="1001" customWidth="1"/>
    <col min="4" max="4" width="8" style="1001" customWidth="1"/>
    <col min="5" max="5" width="12.83203125" style="916" customWidth="1"/>
    <col min="6" max="6" width="15.5" style="916" customWidth="1"/>
    <col min="7" max="8" width="12" style="916" customWidth="1"/>
    <col min="9" max="9" width="11.1640625" style="916" customWidth="1"/>
    <col min="10" max="11" width="11.1640625" style="943" customWidth="1"/>
    <col min="12" max="12" width="12" style="943" customWidth="1"/>
    <col min="13" max="14" width="10.1640625" style="942" customWidth="1"/>
    <col min="15" max="15" width="5.83203125" style="916" customWidth="1"/>
    <col min="16" max="16" width="10.33203125" style="916" customWidth="1"/>
    <col min="17" max="17" width="13" style="916" hidden="1" customWidth="1"/>
    <col min="18" max="18" width="8.33203125" style="912" hidden="1" customWidth="1"/>
    <col min="19" max="19" width="17.33203125" style="916" hidden="1" customWidth="1"/>
    <col min="20" max="20" width="10.5" style="916" hidden="1" customWidth="1"/>
    <col min="21" max="21" width="23.5" style="916" hidden="1" customWidth="1"/>
    <col min="22" max="22" width="10.1640625" style="916" hidden="1" customWidth="1"/>
    <col min="23" max="23" width="11.5" style="916" hidden="1" customWidth="1"/>
    <col min="24" max="24" width="11.6640625" style="914" hidden="1" customWidth="1"/>
    <col min="25" max="26" width="9.33203125" style="914" hidden="1" customWidth="1"/>
    <col min="27" max="27" width="9.83203125" style="914" hidden="1" customWidth="1"/>
    <col min="28" max="28" width="9.33203125" style="914" hidden="1" customWidth="1"/>
    <col min="29" max="29" width="0" style="914" hidden="1" customWidth="1"/>
    <col min="30" max="30" width="11.6640625" style="914" hidden="1" customWidth="1"/>
    <col min="31" max="31" width="12.33203125" style="914" hidden="1" customWidth="1"/>
    <col min="32" max="32" width="11.1640625" style="914" hidden="1" customWidth="1"/>
    <col min="33" max="39" width="0" style="914" hidden="1" customWidth="1"/>
    <col min="40" max="40" width="0" style="916" hidden="1" customWidth="1"/>
    <col min="41" max="41" width="12" style="916" bestFit="1" customWidth="1"/>
    <col min="42" max="42" width="11.33203125" style="916" customWidth="1"/>
    <col min="43" max="43" width="12.6640625" style="916" bestFit="1" customWidth="1"/>
    <col min="44" max="44" width="12.6640625" style="916" customWidth="1"/>
    <col min="45" max="46" width="9.33203125" style="916"/>
    <col min="47" max="48" width="9.33203125" style="916" customWidth="1"/>
    <col min="49" max="16384" width="9.33203125" style="916"/>
  </cols>
  <sheetData>
    <row r="1" spans="1:49" s="993" customFormat="1" ht="15.75" customHeight="1" x14ac:dyDescent="0.2">
      <c r="A1" s="909"/>
      <c r="B1" s="909"/>
      <c r="C1" s="909"/>
      <c r="D1" s="909"/>
      <c r="E1" s="909"/>
      <c r="F1" s="909"/>
      <c r="G1" s="909"/>
      <c r="H1" s="909"/>
      <c r="I1" s="909"/>
      <c r="J1" s="909"/>
      <c r="K1" s="909"/>
      <c r="L1" s="909"/>
      <c r="M1" s="909"/>
      <c r="N1" s="1113" t="s">
        <v>886</v>
      </c>
      <c r="O1" s="1113"/>
      <c r="P1" s="911"/>
      <c r="Q1" s="911"/>
      <c r="R1" s="992"/>
      <c r="U1" s="994"/>
      <c r="X1" s="995"/>
      <c r="Y1" s="995"/>
      <c r="Z1" s="995"/>
      <c r="AA1" s="995"/>
      <c r="AB1" s="995"/>
      <c r="AC1" s="995"/>
      <c r="AD1" s="995"/>
      <c r="AE1" s="995"/>
      <c r="AF1" s="995"/>
      <c r="AG1" s="995"/>
      <c r="AH1" s="995"/>
      <c r="AI1" s="995"/>
      <c r="AJ1" s="995"/>
      <c r="AK1" s="995"/>
      <c r="AL1" s="995"/>
      <c r="AM1" s="995"/>
    </row>
    <row r="2" spans="1:49" s="993" customFormat="1" ht="18.600000000000001" customHeight="1" x14ac:dyDescent="0.2">
      <c r="A2" s="917" t="s">
        <v>884</v>
      </c>
      <c r="B2" s="917"/>
      <c r="C2" s="917"/>
      <c r="D2" s="917"/>
      <c r="E2" s="917"/>
      <c r="F2" s="917"/>
      <c r="G2" s="917"/>
      <c r="H2" s="917"/>
      <c r="I2" s="917"/>
      <c r="J2" s="917"/>
      <c r="K2" s="917"/>
      <c r="L2" s="917"/>
      <c r="M2" s="917"/>
      <c r="N2" s="917"/>
      <c r="O2" s="917"/>
      <c r="P2" s="919"/>
      <c r="Q2" s="919"/>
      <c r="R2" s="992"/>
      <c r="X2" s="995"/>
      <c r="Y2" s="995"/>
      <c r="Z2" s="995"/>
      <c r="AA2" s="995"/>
      <c r="AB2" s="995"/>
      <c r="AC2" s="995"/>
      <c r="AD2" s="995"/>
      <c r="AE2" s="995"/>
      <c r="AF2" s="995"/>
      <c r="AG2" s="995"/>
      <c r="AH2" s="995"/>
      <c r="AI2" s="995"/>
      <c r="AJ2" s="995"/>
      <c r="AK2" s="995"/>
      <c r="AL2" s="995"/>
      <c r="AM2" s="995"/>
    </row>
    <row r="3" spans="1:49" s="993" customFormat="1" ht="17.25" customHeight="1" x14ac:dyDescent="0.2">
      <c r="A3" s="920" t="s">
        <v>893</v>
      </c>
      <c r="B3" s="920"/>
      <c r="C3" s="920"/>
      <c r="D3" s="920"/>
      <c r="E3" s="920"/>
      <c r="F3" s="920"/>
      <c r="G3" s="920"/>
      <c r="H3" s="920"/>
      <c r="I3" s="920"/>
      <c r="J3" s="920"/>
      <c r="K3" s="920"/>
      <c r="L3" s="920"/>
      <c r="M3" s="920"/>
      <c r="N3" s="920"/>
      <c r="O3" s="920"/>
      <c r="P3" s="922"/>
      <c r="Q3" s="922"/>
      <c r="R3" s="922"/>
      <c r="X3" s="995"/>
      <c r="Y3" s="995"/>
      <c r="Z3" s="995"/>
      <c r="AA3" s="995"/>
      <c r="AB3" s="995"/>
      <c r="AC3" s="995"/>
      <c r="AD3" s="995"/>
      <c r="AE3" s="995"/>
      <c r="AF3" s="995"/>
      <c r="AG3" s="995"/>
      <c r="AH3" s="995"/>
      <c r="AI3" s="995"/>
      <c r="AJ3" s="995"/>
      <c r="AK3" s="995"/>
      <c r="AL3" s="995"/>
      <c r="AM3" s="995"/>
    </row>
    <row r="4" spans="1:49" s="993" customFormat="1" ht="21.75" customHeight="1" x14ac:dyDescent="0.2">
      <c r="A4" s="924"/>
      <c r="B4" s="924"/>
      <c r="C4" s="924"/>
      <c r="D4" s="924"/>
      <c r="E4" s="924"/>
      <c r="F4" s="924"/>
      <c r="G4" s="924"/>
      <c r="H4" s="924"/>
      <c r="I4" s="924"/>
      <c r="J4" s="969"/>
      <c r="K4" s="969"/>
      <c r="L4" s="969"/>
      <c r="M4" s="1053" t="s">
        <v>104</v>
      </c>
      <c r="N4" s="1053"/>
      <c r="O4" s="1053"/>
      <c r="P4" s="1054"/>
      <c r="Q4" s="927"/>
      <c r="R4" s="922"/>
      <c r="X4" s="995"/>
      <c r="Y4" s="995"/>
      <c r="Z4" s="995"/>
      <c r="AA4" s="995"/>
      <c r="AB4" s="995"/>
      <c r="AC4" s="995"/>
      <c r="AD4" s="995"/>
      <c r="AE4" s="995"/>
      <c r="AF4" s="995"/>
      <c r="AG4" s="995"/>
      <c r="AH4" s="995"/>
      <c r="AI4" s="995"/>
      <c r="AJ4" s="995"/>
      <c r="AK4" s="995"/>
      <c r="AL4" s="995"/>
      <c r="AM4" s="995"/>
    </row>
    <row r="5" spans="1:49" ht="66.75" customHeight="1" x14ac:dyDescent="0.2">
      <c r="A5" s="1114" t="s">
        <v>890</v>
      </c>
      <c r="B5" s="1114" t="s">
        <v>85</v>
      </c>
      <c r="C5" s="1114" t="s">
        <v>133</v>
      </c>
      <c r="D5" s="1114" t="s">
        <v>135</v>
      </c>
      <c r="E5" s="1114" t="s">
        <v>86</v>
      </c>
      <c r="F5" s="1114"/>
      <c r="G5" s="1114" t="s">
        <v>414</v>
      </c>
      <c r="H5" s="1114" t="s">
        <v>107</v>
      </c>
      <c r="I5" s="1114"/>
      <c r="J5" s="1115" t="s">
        <v>889</v>
      </c>
      <c r="K5" s="1115"/>
      <c r="L5" s="1115" t="s">
        <v>727</v>
      </c>
      <c r="M5" s="1115" t="s">
        <v>117</v>
      </c>
      <c r="N5" s="1115" t="s">
        <v>728</v>
      </c>
      <c r="O5" s="1114" t="s">
        <v>88</v>
      </c>
      <c r="P5" s="929"/>
      <c r="Q5" s="929"/>
      <c r="S5" s="951" t="s">
        <v>267</v>
      </c>
      <c r="T5" s="122">
        <f>92/173%</f>
        <v>53.179190751445084</v>
      </c>
      <c r="U5" s="952" t="s">
        <v>106</v>
      </c>
    </row>
    <row r="6" spans="1:49" ht="41.45" customHeight="1" x14ac:dyDescent="0.2">
      <c r="A6" s="1114"/>
      <c r="B6" s="1114"/>
      <c r="C6" s="1114"/>
      <c r="D6" s="1114"/>
      <c r="E6" s="1114" t="s">
        <v>89</v>
      </c>
      <c r="F6" s="1114" t="s">
        <v>90</v>
      </c>
      <c r="G6" s="1114"/>
      <c r="H6" s="1114" t="s">
        <v>713</v>
      </c>
      <c r="I6" s="1114" t="s">
        <v>712</v>
      </c>
      <c r="J6" s="1115" t="s">
        <v>23</v>
      </c>
      <c r="K6" s="1115" t="s">
        <v>132</v>
      </c>
      <c r="L6" s="1115"/>
      <c r="M6" s="1115"/>
      <c r="N6" s="1115"/>
      <c r="O6" s="1114"/>
      <c r="P6" s="929"/>
      <c r="Q6" s="929"/>
      <c r="S6" s="951"/>
      <c r="U6" s="952"/>
    </row>
    <row r="7" spans="1:49" ht="57" customHeight="1" x14ac:dyDescent="0.2">
      <c r="A7" s="1114"/>
      <c r="B7" s="1114"/>
      <c r="C7" s="1114"/>
      <c r="D7" s="1114"/>
      <c r="E7" s="1114"/>
      <c r="F7" s="1114"/>
      <c r="G7" s="1114"/>
      <c r="H7" s="1114"/>
      <c r="I7" s="1114"/>
      <c r="J7" s="1115"/>
      <c r="K7" s="1115"/>
      <c r="L7" s="1115"/>
      <c r="M7" s="1115"/>
      <c r="N7" s="1115"/>
      <c r="O7" s="1114"/>
      <c r="P7" s="929"/>
      <c r="Q7" s="929"/>
      <c r="R7" s="931" t="e">
        <f>#REF!+1813</f>
        <v>#REF!</v>
      </c>
      <c r="S7" s="951"/>
      <c r="U7" s="952"/>
      <c r="AP7" s="952" t="s">
        <v>716</v>
      </c>
      <c r="AQ7" s="952"/>
      <c r="AR7" s="929"/>
      <c r="AS7" s="952" t="s">
        <v>717</v>
      </c>
      <c r="AT7" s="952"/>
      <c r="AU7" s="952" t="s">
        <v>718</v>
      </c>
      <c r="AV7" s="952"/>
    </row>
    <row r="8" spans="1:49" ht="20.100000000000001" customHeight="1" x14ac:dyDescent="0.2">
      <c r="A8" s="982"/>
      <c r="B8" s="1116" t="s">
        <v>23</v>
      </c>
      <c r="C8" s="1116"/>
      <c r="D8" s="1116"/>
      <c r="E8" s="982"/>
      <c r="F8" s="1119">
        <f>F9+F20</f>
        <v>1210651</v>
      </c>
      <c r="G8" s="1119">
        <f t="shared" ref="G8:L8" si="0">G9+G20</f>
        <v>229170.11199999999</v>
      </c>
      <c r="H8" s="1119">
        <f t="shared" si="0"/>
        <v>449895.37</v>
      </c>
      <c r="I8" s="1119">
        <f t="shared" si="0"/>
        <v>77207.899000000005</v>
      </c>
      <c r="J8" s="1119">
        <f t="shared" si="0"/>
        <v>78426.633000000002</v>
      </c>
      <c r="K8" s="1119">
        <f t="shared" si="0"/>
        <v>74266.44200000001</v>
      </c>
      <c r="L8" s="1119">
        <f t="shared" si="0"/>
        <v>150686.47899999999</v>
      </c>
      <c r="M8" s="1123">
        <f>J8/G8:G8%</f>
        <v>34.222016263621676</v>
      </c>
      <c r="N8" s="1185"/>
      <c r="O8" s="978"/>
      <c r="P8" s="996"/>
      <c r="Q8" s="996" t="e">
        <f>G8+MTQG!#REF!</f>
        <v>#REF!</v>
      </c>
      <c r="R8" s="931" t="e">
        <f>J8+MTQG!#REF!</f>
        <v>#REF!</v>
      </c>
      <c r="S8" s="122" t="e">
        <f>R8/Q8%</f>
        <v>#REF!</v>
      </c>
      <c r="T8" s="953">
        <f>M8-31.84</f>
        <v>2.3820162636216757</v>
      </c>
      <c r="V8" s="944" t="e">
        <f>#REF!+66627</f>
        <v>#REF!</v>
      </c>
      <c r="W8" s="126">
        <f>800+45808+43818</f>
        <v>90426</v>
      </c>
      <c r="AO8" s="997" t="e">
        <f>AP8+AQ8</f>
        <v>#REF!</v>
      </c>
      <c r="AP8" s="944" t="e">
        <f>G8+MTQG!#REF!</f>
        <v>#REF!</v>
      </c>
      <c r="AQ8" s="998" t="e">
        <f>MTQG!#REF!</f>
        <v>#REF!</v>
      </c>
      <c r="AR8" s="997" t="e">
        <f>AS8+AT8</f>
        <v>#REF!</v>
      </c>
      <c r="AS8" s="944" t="e">
        <f>J8+MTQG!#REF!</f>
        <v>#REF!</v>
      </c>
      <c r="AT8" s="916">
        <f>MTQG!Q8</f>
        <v>13990.492999999999</v>
      </c>
      <c r="AU8" s="999" t="e">
        <f>AR8/AO8*100</f>
        <v>#REF!</v>
      </c>
      <c r="AV8" s="1000" t="e">
        <f>AS8/AP8*100</f>
        <v>#REF!</v>
      </c>
      <c r="AW8" s="1000" t="e">
        <f>AT8/AQ8*100</f>
        <v>#REF!</v>
      </c>
    </row>
    <row r="9" spans="1:49" ht="20.100000000000001" customHeight="1" x14ac:dyDescent="0.2">
      <c r="A9" s="1116" t="s">
        <v>24</v>
      </c>
      <c r="B9" s="1218" t="str">
        <f>'Bieu CKGN (ko in)'!B9</f>
        <v>Nguồn vốn NSTW</v>
      </c>
      <c r="C9" s="990"/>
      <c r="D9" s="990"/>
      <c r="E9" s="1118"/>
      <c r="F9" s="1185">
        <f>F10+F11+F12+F15+F18</f>
        <v>669000</v>
      </c>
      <c r="G9" s="1185">
        <f t="shared" ref="G9:L9" si="1">G10+G11+G12+G15+G18</f>
        <v>166430.921</v>
      </c>
      <c r="H9" s="1185">
        <f t="shared" si="1"/>
        <v>296489</v>
      </c>
      <c r="I9" s="1185">
        <f t="shared" si="1"/>
        <v>58617</v>
      </c>
      <c r="J9" s="1185">
        <f t="shared" si="1"/>
        <v>37622.161</v>
      </c>
      <c r="K9" s="1185">
        <f t="shared" si="1"/>
        <v>37622.161</v>
      </c>
      <c r="L9" s="1185">
        <f t="shared" si="1"/>
        <v>128808.76</v>
      </c>
      <c r="M9" s="1123">
        <f>J9/G9*100</f>
        <v>22.605271168330553</v>
      </c>
      <c r="N9" s="1185"/>
      <c r="O9" s="982"/>
      <c r="P9" s="1001"/>
      <c r="Q9" s="738">
        <v>353123</v>
      </c>
      <c r="R9" s="866" t="e">
        <f>R8</f>
        <v>#REF!</v>
      </c>
      <c r="S9" s="122" t="e">
        <f>R9/Q9%</f>
        <v>#REF!</v>
      </c>
      <c r="AP9" s="137">
        <f>2429+1506</f>
        <v>3935</v>
      </c>
    </row>
    <row r="10" spans="1:49" s="936" customFormat="1" ht="35.1" customHeight="1" x14ac:dyDescent="0.2">
      <c r="A10" s="1124" t="s">
        <v>28</v>
      </c>
      <c r="B10" s="1219" t="s">
        <v>29</v>
      </c>
      <c r="C10" s="1125"/>
      <c r="D10" s="1125"/>
      <c r="E10" s="1151"/>
      <c r="F10" s="1144"/>
      <c r="G10" s="1205"/>
      <c r="H10" s="1205"/>
      <c r="I10" s="1205"/>
      <c r="J10" s="1174"/>
      <c r="K10" s="1174"/>
      <c r="L10" s="1174"/>
      <c r="M10" s="1184"/>
      <c r="N10" s="1174"/>
      <c r="O10" s="989"/>
      <c r="P10" s="934"/>
      <c r="Q10" s="934"/>
      <c r="R10" s="923"/>
      <c r="X10" s="935"/>
      <c r="Y10" s="935"/>
      <c r="Z10" s="935"/>
      <c r="AA10" s="935"/>
      <c r="AB10" s="935"/>
      <c r="AC10" s="935"/>
      <c r="AD10" s="935"/>
      <c r="AE10" s="935"/>
      <c r="AF10" s="935"/>
      <c r="AG10" s="935"/>
      <c r="AH10" s="935"/>
      <c r="AI10" s="935"/>
      <c r="AJ10" s="935"/>
      <c r="AK10" s="935"/>
      <c r="AL10" s="935"/>
      <c r="AM10" s="935"/>
      <c r="AP10" s="944" t="e">
        <f>AP8-AP9</f>
        <v>#REF!</v>
      </c>
      <c r="AQ10" s="1002"/>
      <c r="AR10" s="1002"/>
    </row>
    <row r="11" spans="1:49" s="936" customFormat="1" ht="20.100000000000001" customHeight="1" x14ac:dyDescent="0.2">
      <c r="A11" s="1124" t="s">
        <v>30</v>
      </c>
      <c r="B11" s="1219" t="s">
        <v>31</v>
      </c>
      <c r="C11" s="1125"/>
      <c r="D11" s="1125"/>
      <c r="E11" s="1151"/>
      <c r="F11" s="1144"/>
      <c r="G11" s="1205"/>
      <c r="H11" s="1205"/>
      <c r="I11" s="1205"/>
      <c r="J11" s="1174"/>
      <c r="K11" s="1174"/>
      <c r="L11" s="1174"/>
      <c r="M11" s="1184"/>
      <c r="N11" s="1174"/>
      <c r="O11" s="989"/>
      <c r="P11" s="934"/>
      <c r="Q11" s="934"/>
      <c r="R11" s="923"/>
      <c r="T11" s="954" t="e">
        <f>#REF!+#REF!</f>
        <v>#REF!</v>
      </c>
      <c r="V11" s="954" t="e">
        <f>#REF!+#REF!</f>
        <v>#REF!</v>
      </c>
      <c r="W11" s="131" t="e">
        <f>V11/T11*100</f>
        <v>#REF!</v>
      </c>
      <c r="X11" s="935"/>
      <c r="Y11" s="935"/>
      <c r="Z11" s="935"/>
      <c r="AA11" s="935"/>
      <c r="AB11" s="935"/>
      <c r="AC11" s="935"/>
      <c r="AD11" s="935"/>
      <c r="AE11" s="935"/>
      <c r="AF11" s="935"/>
      <c r="AG11" s="935"/>
      <c r="AH11" s="935"/>
      <c r="AI11" s="935"/>
      <c r="AJ11" s="935"/>
      <c r="AK11" s="935"/>
      <c r="AL11" s="935"/>
      <c r="AM11" s="935"/>
    </row>
    <row r="12" spans="1:49" s="1004" customFormat="1" ht="20.100000000000001" customHeight="1" x14ac:dyDescent="0.2">
      <c r="A12" s="1124" t="s">
        <v>32</v>
      </c>
      <c r="B12" s="1219" t="s">
        <v>416</v>
      </c>
      <c r="C12" s="1125"/>
      <c r="D12" s="1125"/>
      <c r="E12" s="1124"/>
      <c r="F12" s="1127">
        <f>SUM(F13:F14)</f>
        <v>244000</v>
      </c>
      <c r="G12" s="1127">
        <f t="shared" ref="G12:L12" si="2">SUM(G13:G14)</f>
        <v>76530.921000000002</v>
      </c>
      <c r="H12" s="1127">
        <f t="shared" si="2"/>
        <v>170010</v>
      </c>
      <c r="I12" s="1127">
        <f t="shared" si="2"/>
        <v>33117</v>
      </c>
      <c r="J12" s="1127">
        <f t="shared" si="2"/>
        <v>2802.6</v>
      </c>
      <c r="K12" s="1127">
        <f t="shared" si="2"/>
        <v>2802.6</v>
      </c>
      <c r="L12" s="1127">
        <f t="shared" si="2"/>
        <v>73728.320999999996</v>
      </c>
      <c r="M12" s="1145">
        <f>J12/G12*100</f>
        <v>3.662049225828603</v>
      </c>
      <c r="N12" s="1128"/>
      <c r="O12" s="1125"/>
      <c r="P12" s="1003"/>
      <c r="Q12" s="1003"/>
      <c r="R12" s="923"/>
      <c r="X12" s="1005"/>
      <c r="Y12" s="1005"/>
      <c r="Z12" s="1005"/>
      <c r="AA12" s="1005"/>
      <c r="AB12" s="1005"/>
      <c r="AC12" s="1005"/>
      <c r="AD12" s="1006" t="s">
        <v>411</v>
      </c>
      <c r="AE12" s="1005"/>
      <c r="AF12" s="1005" t="s">
        <v>412</v>
      </c>
      <c r="AG12" s="1005"/>
      <c r="AH12" s="1005" t="s">
        <v>413</v>
      </c>
      <c r="AI12" s="1005"/>
      <c r="AJ12" s="1005"/>
      <c r="AK12" s="1005"/>
      <c r="AL12" s="1007" t="s">
        <v>574</v>
      </c>
      <c r="AM12" s="1007"/>
    </row>
    <row r="13" spans="1:49" ht="50.1" customHeight="1" x14ac:dyDescent="0.2">
      <c r="A13" s="1118">
        <f>'Bieu CKGN (ko in)'!A13</f>
        <v>1</v>
      </c>
      <c r="B13" s="1220" t="str">
        <f>'Bieu CKGN (ko in)'!B13</f>
        <v>Sắp xếp ổn định các điểm dân cư: Mò Lò, Sa Thàng xã Mù Cả, điểm Nậm Kha Á, Pà Khà, U Na1-2, Tia Ma Mủ, Pa Tết xã Tà Tổng, huyện Mường Tè;</v>
      </c>
      <c r="C13" s="1206" t="s">
        <v>137</v>
      </c>
      <c r="D13" s="1118" t="s">
        <v>158</v>
      </c>
      <c r="E13" s="1118" t="s">
        <v>3</v>
      </c>
      <c r="F13" s="1132">
        <v>164000</v>
      </c>
      <c r="G13" s="1132">
        <v>51432.258999999998</v>
      </c>
      <c r="H13" s="1132">
        <v>126900</v>
      </c>
      <c r="I13" s="1132">
        <v>22095</v>
      </c>
      <c r="J13" s="1168">
        <v>1604.6</v>
      </c>
      <c r="K13" s="1133">
        <f>115+1489.6</f>
        <v>1604.6</v>
      </c>
      <c r="L13" s="1133">
        <f>G13-J13</f>
        <v>49827.659</v>
      </c>
      <c r="M13" s="1166"/>
      <c r="N13" s="1133"/>
      <c r="O13" s="982"/>
      <c r="P13" s="1001"/>
      <c r="Q13" s="1001"/>
      <c r="R13" s="912" t="s">
        <v>122</v>
      </c>
      <c r="S13" s="955" t="s">
        <v>268</v>
      </c>
      <c r="T13" s="956"/>
      <c r="V13" s="916">
        <v>27097</v>
      </c>
      <c r="W13" s="135" t="e">
        <f>V13-#REF!</f>
        <v>#REF!</v>
      </c>
      <c r="X13" s="915">
        <f>K13-8654</f>
        <v>-7049.4</v>
      </c>
      <c r="AD13" s="915" t="e">
        <f>#REF!-J13</f>
        <v>#REF!</v>
      </c>
      <c r="AE13" s="915" t="e">
        <f>#REF!-K13</f>
        <v>#REF!</v>
      </c>
      <c r="AF13" s="453">
        <v>113000</v>
      </c>
      <c r="AG13" s="914">
        <v>17613</v>
      </c>
      <c r="AH13" s="915">
        <f>AF13-AG13</f>
        <v>95387</v>
      </c>
      <c r="AL13" s="914">
        <v>122900</v>
      </c>
      <c r="AM13" s="914">
        <v>9900</v>
      </c>
    </row>
    <row r="14" spans="1:49" ht="50.1" customHeight="1" x14ac:dyDescent="0.2">
      <c r="A14" s="1118">
        <f>'Bieu CKGN (ko in)'!A14</f>
        <v>2</v>
      </c>
      <c r="B14" s="1220" t="str">
        <f>'Bieu CKGN (ko in)'!B14</f>
        <v>Sắp xếp ổn định dân cư 02 xã Tà Tổng, Mù Cả</v>
      </c>
      <c r="C14" s="1206" t="s">
        <v>136</v>
      </c>
      <c r="D14" s="1118" t="s">
        <v>158</v>
      </c>
      <c r="E14" s="1118" t="s">
        <v>5</v>
      </c>
      <c r="F14" s="1132">
        <v>80000</v>
      </c>
      <c r="G14" s="1132">
        <v>25098.662</v>
      </c>
      <c r="H14" s="1132">
        <v>43110</v>
      </c>
      <c r="I14" s="1132">
        <v>11022</v>
      </c>
      <c r="J14" s="1168">
        <v>1198</v>
      </c>
      <c r="K14" s="1133">
        <v>1198</v>
      </c>
      <c r="L14" s="1133">
        <f>G14-J14</f>
        <v>23900.662</v>
      </c>
      <c r="M14" s="1166"/>
      <c r="N14" s="1133"/>
      <c r="O14" s="982"/>
      <c r="P14" s="1001"/>
      <c r="Q14" s="1001"/>
      <c r="R14" s="912" t="s">
        <v>122</v>
      </c>
      <c r="S14" s="955" t="s">
        <v>268</v>
      </c>
      <c r="U14" s="135"/>
      <c r="V14" s="916">
        <v>26338</v>
      </c>
      <c r="W14" s="136">
        <f>J14-V14</f>
        <v>-25140</v>
      </c>
      <c r="Z14" s="915" t="e">
        <f>#REF!</f>
        <v>#REF!</v>
      </c>
      <c r="AA14" s="914">
        <v>1000</v>
      </c>
      <c r="AB14" s="915" t="e">
        <f>AA14+Z14</f>
        <v>#REF!</v>
      </c>
      <c r="AD14" s="915" t="e">
        <f>#REF!-J14</f>
        <v>#REF!</v>
      </c>
      <c r="AE14" s="915" t="e">
        <f>#REF!-K14</f>
        <v>#REF!</v>
      </c>
    </row>
    <row r="15" spans="1:49" ht="20.100000000000001" customHeight="1" x14ac:dyDescent="0.2">
      <c r="A15" s="1124" t="s">
        <v>36</v>
      </c>
      <c r="B15" s="1219" t="s">
        <v>417</v>
      </c>
      <c r="C15" s="1206"/>
      <c r="D15" s="1118"/>
      <c r="E15" s="1118"/>
      <c r="F15" s="1127">
        <f>SUM(F16:F17)</f>
        <v>275000</v>
      </c>
      <c r="G15" s="1127">
        <f t="shared" ref="G15:L15" si="3">SUM(G16:G17)</f>
        <v>89900</v>
      </c>
      <c r="H15" s="1127">
        <f t="shared" si="3"/>
        <v>126479</v>
      </c>
      <c r="I15" s="1127">
        <f t="shared" si="3"/>
        <v>25500</v>
      </c>
      <c r="J15" s="1127">
        <f t="shared" si="3"/>
        <v>34819.561000000002</v>
      </c>
      <c r="K15" s="1127">
        <f t="shared" si="3"/>
        <v>34819.561000000002</v>
      </c>
      <c r="L15" s="1127">
        <f t="shared" si="3"/>
        <v>55080.438999999998</v>
      </c>
      <c r="M15" s="1145">
        <f>J15/G15*100</f>
        <v>38.7314360400445</v>
      </c>
      <c r="N15" s="1128"/>
      <c r="O15" s="982"/>
      <c r="P15" s="1001"/>
      <c r="Q15" s="1001"/>
      <c r="S15" s="955"/>
      <c r="U15" s="135"/>
      <c r="W15" s="136"/>
      <c r="Z15" s="915"/>
      <c r="AB15" s="915"/>
      <c r="AD15" s="915"/>
      <c r="AE15" s="915"/>
    </row>
    <row r="16" spans="1:49" ht="50.1" customHeight="1" x14ac:dyDescent="0.2">
      <c r="A16" s="1118">
        <v>1</v>
      </c>
      <c r="B16" s="1220" t="str">
        <f>'Bieu CKGN (ko in)'!B15</f>
        <v>Nâng cấp đường giao thông Nậm Lằn - Mốc 17</v>
      </c>
      <c r="C16" s="1206" t="s">
        <v>138</v>
      </c>
      <c r="D16" s="1207" t="s">
        <v>159</v>
      </c>
      <c r="E16" s="1118" t="str">
        <f>'Bieu CKGN (ko in)'!C15</f>
        <v>997-30/07/2021</v>
      </c>
      <c r="F16" s="1132">
        <f>'Bieu CKGN (ko in)'!D15</f>
        <v>190000</v>
      </c>
      <c r="G16" s="1132">
        <v>68500</v>
      </c>
      <c r="H16" s="1132">
        <v>63979</v>
      </c>
      <c r="I16" s="1132">
        <v>15700</v>
      </c>
      <c r="J16" s="1168">
        <v>21967</v>
      </c>
      <c r="K16" s="1133">
        <v>21967</v>
      </c>
      <c r="L16" s="1133">
        <f t="shared" ref="L16:L17" si="4">G16-J16</f>
        <v>46533</v>
      </c>
      <c r="M16" s="1166"/>
      <c r="N16" s="1133"/>
      <c r="O16" s="982"/>
      <c r="P16" s="1001"/>
      <c r="Q16" s="1001"/>
      <c r="R16" s="912" t="s">
        <v>122</v>
      </c>
      <c r="S16" s="955" t="s">
        <v>268</v>
      </c>
      <c r="V16" s="137">
        <v>60270.32</v>
      </c>
      <c r="W16" s="956">
        <f>V16-J16</f>
        <v>38303.32</v>
      </c>
      <c r="AD16" s="915" t="e">
        <f>#REF!-J16</f>
        <v>#REF!</v>
      </c>
      <c r="AE16" s="915" t="e">
        <f>#REF!-K16</f>
        <v>#REF!</v>
      </c>
      <c r="AF16" s="453">
        <v>15000</v>
      </c>
    </row>
    <row r="17" spans="1:39" s="939" customFormat="1" ht="50.1" customHeight="1" x14ac:dyDescent="0.2">
      <c r="A17" s="1118">
        <v>2</v>
      </c>
      <c r="B17" s="1220" t="s">
        <v>120</v>
      </c>
      <c r="C17" s="1206" t="s">
        <v>138</v>
      </c>
      <c r="D17" s="1207" t="s">
        <v>160</v>
      </c>
      <c r="E17" s="1118" t="s">
        <v>121</v>
      </c>
      <c r="F17" s="1132">
        <v>85000</v>
      </c>
      <c r="G17" s="1132">
        <f>13400+8000</f>
        <v>21400</v>
      </c>
      <c r="H17" s="1132">
        <v>62500</v>
      </c>
      <c r="I17" s="1132">
        <v>9800</v>
      </c>
      <c r="J17" s="1168">
        <v>12852.561</v>
      </c>
      <c r="K17" s="1133">
        <v>12852.561</v>
      </c>
      <c r="L17" s="1133">
        <f t="shared" si="4"/>
        <v>8547.4390000000003</v>
      </c>
      <c r="M17" s="1166"/>
      <c r="N17" s="1133"/>
      <c r="O17" s="982"/>
      <c r="P17" s="1001"/>
      <c r="Q17" s="1001"/>
      <c r="R17" s="912" t="s">
        <v>122</v>
      </c>
      <c r="S17" s="955" t="s">
        <v>268</v>
      </c>
      <c r="V17" s="137">
        <f>W17-J17</f>
        <v>11907.439</v>
      </c>
      <c r="W17" s="944">
        <v>24760</v>
      </c>
      <c r="X17" s="938"/>
      <c r="Y17" s="1008"/>
      <c r="Z17" s="1009"/>
      <c r="AA17" s="938"/>
      <c r="AB17" s="938"/>
      <c r="AC17" s="938"/>
      <c r="AD17" s="915" t="e">
        <f>#REF!-J17</f>
        <v>#REF!</v>
      </c>
      <c r="AE17" s="915" t="e">
        <f>#REF!-K17</f>
        <v>#REF!</v>
      </c>
      <c r="AF17" s="938"/>
      <c r="AG17" s="914">
        <f>9000+7500+8000</f>
        <v>24500</v>
      </c>
      <c r="AH17" s="938"/>
      <c r="AI17" s="938"/>
      <c r="AJ17" s="938"/>
      <c r="AK17" s="938"/>
      <c r="AL17" s="938"/>
      <c r="AM17" s="938"/>
    </row>
    <row r="18" spans="1:39" s="1004" customFormat="1" ht="20.100000000000001" customHeight="1" x14ac:dyDescent="0.2">
      <c r="A18" s="1124" t="s">
        <v>163</v>
      </c>
      <c r="B18" s="1219" t="s">
        <v>463</v>
      </c>
      <c r="C18" s="1208"/>
      <c r="D18" s="1209"/>
      <c r="E18" s="1151"/>
      <c r="F18" s="1127">
        <f>SUM(F19)</f>
        <v>150000</v>
      </c>
      <c r="G18" s="1127">
        <f t="shared" ref="G18:L18" si="5">SUM(G19)</f>
        <v>0</v>
      </c>
      <c r="H18" s="1127">
        <f t="shared" si="5"/>
        <v>0</v>
      </c>
      <c r="I18" s="1127">
        <f t="shared" si="5"/>
        <v>0</v>
      </c>
      <c r="J18" s="1127">
        <f t="shared" si="5"/>
        <v>0</v>
      </c>
      <c r="K18" s="1127">
        <f t="shared" si="5"/>
        <v>0</v>
      </c>
      <c r="L18" s="1127">
        <f t="shared" si="5"/>
        <v>0</v>
      </c>
      <c r="M18" s="1184"/>
      <c r="N18" s="1174"/>
      <c r="O18" s="989"/>
      <c r="P18" s="934"/>
      <c r="Q18" s="934"/>
      <c r="R18" s="923"/>
      <c r="S18" s="1010"/>
      <c r="V18" s="716"/>
      <c r="W18" s="954"/>
      <c r="X18" s="1005"/>
      <c r="Y18" s="1011"/>
      <c r="Z18" s="1012"/>
      <c r="AA18" s="1005"/>
      <c r="AB18" s="1005"/>
      <c r="AC18" s="1005"/>
      <c r="AD18" s="937"/>
      <c r="AE18" s="937"/>
      <c r="AF18" s="1005"/>
      <c r="AG18" s="935"/>
      <c r="AH18" s="1005"/>
      <c r="AI18" s="1005"/>
      <c r="AJ18" s="1005"/>
      <c r="AK18" s="1005"/>
      <c r="AL18" s="1005"/>
      <c r="AM18" s="1005"/>
    </row>
    <row r="19" spans="1:39" s="1015" customFormat="1" ht="50.1" customHeight="1" x14ac:dyDescent="0.2">
      <c r="A19" s="1118">
        <v>1</v>
      </c>
      <c r="B19" s="1220" t="s">
        <v>581</v>
      </c>
      <c r="C19" s="1206" t="s">
        <v>138</v>
      </c>
      <c r="D19" s="1207" t="s">
        <v>582</v>
      </c>
      <c r="E19" s="1118"/>
      <c r="F19" s="1132">
        <v>150000</v>
      </c>
      <c r="G19" s="1132"/>
      <c r="H19" s="1132"/>
      <c r="I19" s="1132"/>
      <c r="J19" s="1168"/>
      <c r="K19" s="1133"/>
      <c r="L19" s="1133"/>
      <c r="M19" s="1166"/>
      <c r="N19" s="1133"/>
      <c r="O19" s="982"/>
      <c r="P19" s="1013"/>
      <c r="Q19" s="1013"/>
      <c r="R19" s="1014" t="s">
        <v>123</v>
      </c>
      <c r="S19" s="955" t="s">
        <v>268</v>
      </c>
      <c r="V19" s="400"/>
      <c r="W19" s="1016"/>
      <c r="X19" s="1017"/>
      <c r="Y19" s="1018"/>
      <c r="Z19" s="661"/>
      <c r="AA19" s="1017"/>
      <c r="AB19" s="1017"/>
      <c r="AC19" s="1017"/>
      <c r="AD19" s="1019"/>
      <c r="AE19" s="1019"/>
      <c r="AF19" s="1017"/>
      <c r="AG19" s="1020"/>
      <c r="AH19" s="1017"/>
      <c r="AI19" s="1017"/>
      <c r="AJ19" s="1017"/>
      <c r="AK19" s="1017"/>
      <c r="AL19" s="1017"/>
      <c r="AM19" s="1017"/>
    </row>
    <row r="20" spans="1:39" s="1015" customFormat="1" ht="20.100000000000001" customHeight="1" x14ac:dyDescent="0.2">
      <c r="A20" s="1116" t="s">
        <v>26</v>
      </c>
      <c r="B20" s="1218" t="s">
        <v>666</v>
      </c>
      <c r="C20" s="990"/>
      <c r="D20" s="990"/>
      <c r="E20" s="1118"/>
      <c r="F20" s="1210">
        <f>F21+F34</f>
        <v>541651</v>
      </c>
      <c r="G20" s="1210">
        <f t="shared" ref="G20:L20" si="6">G21+G34</f>
        <v>62739.190999999999</v>
      </c>
      <c r="H20" s="1210">
        <f t="shared" si="6"/>
        <v>153406.37</v>
      </c>
      <c r="I20" s="1210">
        <f t="shared" si="6"/>
        <v>18590.898999999998</v>
      </c>
      <c r="J20" s="1210">
        <f t="shared" si="6"/>
        <v>40804.472000000002</v>
      </c>
      <c r="K20" s="1210">
        <f t="shared" si="6"/>
        <v>36644.281000000003</v>
      </c>
      <c r="L20" s="1210">
        <f t="shared" si="6"/>
        <v>21877.719000000001</v>
      </c>
      <c r="M20" s="1123">
        <f>J20/G20*100</f>
        <v>65.038250174440421</v>
      </c>
      <c r="N20" s="1185"/>
      <c r="O20" s="982"/>
      <c r="P20" s="1013"/>
      <c r="Q20" s="1013"/>
      <c r="R20" s="1014"/>
      <c r="S20" s="955"/>
      <c r="V20" s="400"/>
      <c r="W20" s="1016"/>
      <c r="X20" s="1017"/>
      <c r="Y20" s="1018"/>
      <c r="Z20" s="661"/>
      <c r="AA20" s="1017"/>
      <c r="AB20" s="1017"/>
      <c r="AC20" s="1017"/>
      <c r="AD20" s="1019"/>
      <c r="AE20" s="1019"/>
      <c r="AF20" s="1017"/>
      <c r="AG20" s="1020"/>
      <c r="AH20" s="1017"/>
      <c r="AI20" s="1017"/>
      <c r="AJ20" s="1017"/>
      <c r="AK20" s="1017"/>
      <c r="AL20" s="1017"/>
      <c r="AM20" s="1017"/>
    </row>
    <row r="21" spans="1:39" s="1015" customFormat="1" ht="20.100000000000001" customHeight="1" x14ac:dyDescent="0.2">
      <c r="A21" s="1116" t="s">
        <v>15</v>
      </c>
      <c r="B21" s="1218" t="s">
        <v>645</v>
      </c>
      <c r="C21" s="1122"/>
      <c r="D21" s="1211"/>
      <c r="E21" s="1116"/>
      <c r="F21" s="1210">
        <f>F22+F30+F32</f>
        <v>104050</v>
      </c>
      <c r="G21" s="1210">
        <f t="shared" ref="G21:L21" si="7">G22+G30+G32</f>
        <v>16051.191000000001</v>
      </c>
      <c r="H21" s="1210">
        <f t="shared" si="7"/>
        <v>32778.702000000005</v>
      </c>
      <c r="I21" s="1210">
        <f t="shared" si="7"/>
        <v>7852</v>
      </c>
      <c r="J21" s="1210">
        <f t="shared" si="7"/>
        <v>9642.1540000000005</v>
      </c>
      <c r="K21" s="1210">
        <f t="shared" si="7"/>
        <v>7835.1540000000005</v>
      </c>
      <c r="L21" s="1210">
        <f t="shared" si="7"/>
        <v>6409.0370000000003</v>
      </c>
      <c r="M21" s="1123">
        <f>J21/G21*100</f>
        <v>60.071268231746785</v>
      </c>
      <c r="N21" s="1185"/>
      <c r="O21" s="990"/>
      <c r="P21" s="1013"/>
      <c r="Q21" s="1013"/>
      <c r="R21" s="1014"/>
      <c r="S21" s="955"/>
      <c r="V21" s="400"/>
      <c r="W21" s="1016"/>
      <c r="X21" s="1017"/>
      <c r="Y21" s="1018"/>
      <c r="Z21" s="661"/>
      <c r="AA21" s="1017"/>
      <c r="AB21" s="1017"/>
      <c r="AC21" s="1017"/>
      <c r="AD21" s="1019"/>
      <c r="AE21" s="1019"/>
      <c r="AF21" s="1017"/>
      <c r="AG21" s="1020"/>
      <c r="AH21" s="1017"/>
      <c r="AI21" s="1017"/>
      <c r="AJ21" s="1017"/>
      <c r="AK21" s="1017"/>
      <c r="AL21" s="1017"/>
      <c r="AM21" s="1017"/>
    </row>
    <row r="22" spans="1:39" s="1015" customFormat="1" ht="20.100000000000001" customHeight="1" x14ac:dyDescent="0.2">
      <c r="A22" s="1124" t="s">
        <v>28</v>
      </c>
      <c r="B22" s="1219" t="s">
        <v>34</v>
      </c>
      <c r="C22" s="1125"/>
      <c r="D22" s="1125"/>
      <c r="E22" s="1124"/>
      <c r="F22" s="1127">
        <f>SUM(F23:F29)</f>
        <v>74080</v>
      </c>
      <c r="G22" s="1127">
        <f t="shared" ref="G22:L22" si="8">SUM(G23:G29)</f>
        <v>981.19100000000003</v>
      </c>
      <c r="H22" s="1127">
        <f t="shared" si="8"/>
        <v>18480.702000000001</v>
      </c>
      <c r="I22" s="1127">
        <f t="shared" si="8"/>
        <v>0</v>
      </c>
      <c r="J22" s="1127">
        <f t="shared" si="8"/>
        <v>981.19100000000003</v>
      </c>
      <c r="K22" s="1127">
        <f t="shared" si="8"/>
        <v>981.19100000000003</v>
      </c>
      <c r="L22" s="1127">
        <f t="shared" si="8"/>
        <v>0</v>
      </c>
      <c r="M22" s="1145">
        <f>J22/G22*100</f>
        <v>100</v>
      </c>
      <c r="N22" s="1133"/>
      <c r="O22" s="982"/>
      <c r="P22" s="1013"/>
      <c r="Q22" s="1013"/>
      <c r="R22" s="1014"/>
      <c r="S22" s="955"/>
      <c r="V22" s="400"/>
      <c r="W22" s="1016"/>
      <c r="X22" s="1017"/>
      <c r="Y22" s="1018"/>
      <c r="Z22" s="661"/>
      <c r="AA22" s="1017"/>
      <c r="AB22" s="1017"/>
      <c r="AC22" s="1017"/>
      <c r="AD22" s="1019"/>
      <c r="AE22" s="1019"/>
      <c r="AF22" s="1017"/>
      <c r="AG22" s="1020"/>
      <c r="AH22" s="1017"/>
      <c r="AI22" s="1017"/>
      <c r="AJ22" s="1017"/>
      <c r="AK22" s="1017"/>
      <c r="AL22" s="1017"/>
      <c r="AM22" s="1017"/>
    </row>
    <row r="23" spans="1:39" s="1015" customFormat="1" ht="50.1" customHeight="1" x14ac:dyDescent="0.2">
      <c r="A23" s="1118">
        <v>1</v>
      </c>
      <c r="B23" s="1220" t="s">
        <v>418</v>
      </c>
      <c r="C23" s="1206" t="s">
        <v>138</v>
      </c>
      <c r="D23" s="1118"/>
      <c r="E23" s="1118" t="s">
        <v>419</v>
      </c>
      <c r="F23" s="1132">
        <v>3500</v>
      </c>
      <c r="G23" s="1132">
        <v>26.625</v>
      </c>
      <c r="H23" s="1132"/>
      <c r="I23" s="1132"/>
      <c r="J23" s="1168">
        <v>26.625</v>
      </c>
      <c r="K23" s="1133">
        <v>26.625</v>
      </c>
      <c r="L23" s="1133">
        <f t="shared" ref="L23:L33" si="9">G23-J23</f>
        <v>0</v>
      </c>
      <c r="M23" s="1166"/>
      <c r="N23" s="1133"/>
      <c r="O23" s="982"/>
      <c r="P23" s="1013"/>
      <c r="Q23" s="1013"/>
      <c r="R23" s="1014"/>
      <c r="S23" s="955"/>
      <c r="V23" s="400"/>
      <c r="W23" s="1016"/>
      <c r="X23" s="1017"/>
      <c r="Y23" s="1018"/>
      <c r="Z23" s="661"/>
      <c r="AA23" s="1017"/>
      <c r="AB23" s="1017"/>
      <c r="AC23" s="1017"/>
      <c r="AD23" s="1019"/>
      <c r="AE23" s="1019"/>
      <c r="AF23" s="1017"/>
      <c r="AG23" s="1020"/>
      <c r="AH23" s="1017"/>
      <c r="AI23" s="1017"/>
      <c r="AJ23" s="1017"/>
      <c r="AK23" s="1017"/>
      <c r="AL23" s="1017"/>
      <c r="AM23" s="1017"/>
    </row>
    <row r="24" spans="1:39" s="1015" customFormat="1" ht="35.1" customHeight="1" x14ac:dyDescent="0.2">
      <c r="A24" s="1118">
        <v>2</v>
      </c>
      <c r="B24" s="1220" t="s">
        <v>420</v>
      </c>
      <c r="C24" s="1206" t="s">
        <v>143</v>
      </c>
      <c r="D24" s="1175"/>
      <c r="E24" s="1118" t="s">
        <v>421</v>
      </c>
      <c r="F24" s="1132">
        <v>9800</v>
      </c>
      <c r="G24" s="1132">
        <v>201.38300000000001</v>
      </c>
      <c r="H24" s="1132"/>
      <c r="I24" s="1132"/>
      <c r="J24" s="1168">
        <v>201.38300000000001</v>
      </c>
      <c r="K24" s="1133">
        <v>201.38300000000001</v>
      </c>
      <c r="L24" s="1133">
        <f t="shared" si="9"/>
        <v>0</v>
      </c>
      <c r="M24" s="1166"/>
      <c r="N24" s="1133"/>
      <c r="O24" s="982"/>
      <c r="P24" s="1013"/>
      <c r="Q24" s="1013"/>
      <c r="R24" s="1014"/>
      <c r="S24" s="955"/>
      <c r="V24" s="400"/>
      <c r="W24" s="1016"/>
      <c r="X24" s="1017"/>
      <c r="Y24" s="1018"/>
      <c r="Z24" s="661"/>
      <c r="AA24" s="1017"/>
      <c r="AB24" s="1017"/>
      <c r="AC24" s="1017"/>
      <c r="AD24" s="1019"/>
      <c r="AE24" s="1019"/>
      <c r="AF24" s="1017"/>
      <c r="AG24" s="1020"/>
      <c r="AH24" s="1017"/>
      <c r="AI24" s="1017"/>
      <c r="AJ24" s="1017"/>
      <c r="AK24" s="1017"/>
      <c r="AL24" s="1017"/>
      <c r="AM24" s="1017"/>
    </row>
    <row r="25" spans="1:39" s="1015" customFormat="1" ht="35.1" customHeight="1" x14ac:dyDescent="0.2">
      <c r="A25" s="1118">
        <v>3</v>
      </c>
      <c r="B25" s="1220" t="s">
        <v>422</v>
      </c>
      <c r="C25" s="1206" t="s">
        <v>148</v>
      </c>
      <c r="D25" s="1118"/>
      <c r="E25" s="1118" t="s">
        <v>423</v>
      </c>
      <c r="F25" s="1132">
        <v>19700</v>
      </c>
      <c r="G25" s="1132">
        <v>156.37799999999999</v>
      </c>
      <c r="H25" s="1132"/>
      <c r="I25" s="1132"/>
      <c r="J25" s="1168">
        <v>156.37799999999999</v>
      </c>
      <c r="K25" s="1133">
        <v>156.37799999999999</v>
      </c>
      <c r="L25" s="1133">
        <f t="shared" si="9"/>
        <v>0</v>
      </c>
      <c r="M25" s="1166"/>
      <c r="N25" s="1133"/>
      <c r="O25" s="982"/>
      <c r="P25" s="1013"/>
      <c r="Q25" s="1013"/>
      <c r="R25" s="1014"/>
      <c r="S25" s="955"/>
      <c r="V25" s="400"/>
      <c r="W25" s="1016"/>
      <c r="X25" s="1017"/>
      <c r="Y25" s="1018"/>
      <c r="Z25" s="661"/>
      <c r="AA25" s="1017"/>
      <c r="AB25" s="1017"/>
      <c r="AC25" s="1017"/>
      <c r="AD25" s="1019"/>
      <c r="AE25" s="1019"/>
      <c r="AF25" s="1017"/>
      <c r="AG25" s="1020"/>
      <c r="AH25" s="1017"/>
      <c r="AI25" s="1017"/>
      <c r="AJ25" s="1017"/>
      <c r="AK25" s="1017"/>
      <c r="AL25" s="1017"/>
      <c r="AM25" s="1017"/>
    </row>
    <row r="26" spans="1:39" s="1015" customFormat="1" ht="35.1" customHeight="1" x14ac:dyDescent="0.2">
      <c r="A26" s="1118">
        <v>4</v>
      </c>
      <c r="B26" s="1220" t="s">
        <v>424</v>
      </c>
      <c r="C26" s="1206" t="s">
        <v>166</v>
      </c>
      <c r="D26" s="1118"/>
      <c r="E26" s="1118" t="s">
        <v>425</v>
      </c>
      <c r="F26" s="1132">
        <v>11300</v>
      </c>
      <c r="G26" s="1132">
        <v>112</v>
      </c>
      <c r="H26" s="1132"/>
      <c r="I26" s="1132"/>
      <c r="J26" s="1168">
        <v>112</v>
      </c>
      <c r="K26" s="1133">
        <v>112</v>
      </c>
      <c r="L26" s="1133">
        <f t="shared" si="9"/>
        <v>0</v>
      </c>
      <c r="M26" s="1166"/>
      <c r="N26" s="1133"/>
      <c r="O26" s="982"/>
      <c r="P26" s="1013"/>
      <c r="Q26" s="1013"/>
      <c r="R26" s="1014"/>
      <c r="S26" s="955"/>
      <c r="V26" s="400"/>
      <c r="W26" s="1016"/>
      <c r="X26" s="1017"/>
      <c r="Y26" s="1018"/>
      <c r="Z26" s="661"/>
      <c r="AA26" s="1017"/>
      <c r="AB26" s="1017"/>
      <c r="AC26" s="1017"/>
      <c r="AD26" s="1019"/>
      <c r="AE26" s="1019"/>
      <c r="AF26" s="1017"/>
      <c r="AG26" s="1020"/>
      <c r="AH26" s="1017"/>
      <c r="AI26" s="1017"/>
      <c r="AJ26" s="1017"/>
      <c r="AK26" s="1017"/>
      <c r="AL26" s="1017"/>
      <c r="AM26" s="1017"/>
    </row>
    <row r="27" spans="1:39" s="1015" customFormat="1" ht="35.1" customHeight="1" x14ac:dyDescent="0.2">
      <c r="A27" s="1118">
        <v>5</v>
      </c>
      <c r="B27" s="1220" t="s">
        <v>426</v>
      </c>
      <c r="C27" s="1206" t="s">
        <v>226</v>
      </c>
      <c r="D27" s="1118"/>
      <c r="E27" s="1118" t="s">
        <v>427</v>
      </c>
      <c r="F27" s="1132">
        <v>10000</v>
      </c>
      <c r="G27" s="1132">
        <v>31</v>
      </c>
      <c r="H27" s="1132"/>
      <c r="I27" s="1132"/>
      <c r="J27" s="1168">
        <v>31</v>
      </c>
      <c r="K27" s="1133">
        <v>31</v>
      </c>
      <c r="L27" s="1133">
        <f t="shared" si="9"/>
        <v>0</v>
      </c>
      <c r="M27" s="1166"/>
      <c r="N27" s="1133"/>
      <c r="O27" s="982"/>
      <c r="P27" s="1013"/>
      <c r="Q27" s="1013"/>
      <c r="R27" s="1014"/>
      <c r="S27" s="955"/>
      <c r="V27" s="400"/>
      <c r="W27" s="1016"/>
      <c r="X27" s="1017"/>
      <c r="Y27" s="1018"/>
      <c r="Z27" s="661"/>
      <c r="AA27" s="1017"/>
      <c r="AB27" s="1017"/>
      <c r="AC27" s="1017"/>
      <c r="AD27" s="1019"/>
      <c r="AE27" s="1019"/>
      <c r="AF27" s="1017"/>
      <c r="AG27" s="1020"/>
      <c r="AH27" s="1017"/>
      <c r="AI27" s="1017"/>
      <c r="AJ27" s="1017"/>
      <c r="AK27" s="1017"/>
      <c r="AL27" s="1017"/>
      <c r="AM27" s="1017"/>
    </row>
    <row r="28" spans="1:39" s="1015" customFormat="1" ht="35.1" customHeight="1" x14ac:dyDescent="0.2">
      <c r="A28" s="1118">
        <v>6</v>
      </c>
      <c r="B28" s="1220" t="s">
        <v>725</v>
      </c>
      <c r="C28" s="1206" t="s">
        <v>144</v>
      </c>
      <c r="D28" s="1118"/>
      <c r="E28" s="1118" t="s">
        <v>726</v>
      </c>
      <c r="F28" s="1132">
        <v>13280</v>
      </c>
      <c r="G28" s="1132">
        <v>123.71</v>
      </c>
      <c r="H28" s="1132">
        <v>12091</v>
      </c>
      <c r="I28" s="1132"/>
      <c r="J28" s="1132">
        <v>123.71</v>
      </c>
      <c r="K28" s="1132">
        <v>123.71</v>
      </c>
      <c r="L28" s="1133">
        <f t="shared" si="9"/>
        <v>0</v>
      </c>
      <c r="M28" s="1166"/>
      <c r="N28" s="1133"/>
      <c r="O28" s="982"/>
      <c r="P28" s="1013"/>
      <c r="Q28" s="1013"/>
      <c r="R28" s="1014"/>
      <c r="S28" s="955"/>
      <c r="V28" s="400"/>
      <c r="W28" s="1016"/>
      <c r="X28" s="1017"/>
      <c r="Y28" s="1018"/>
      <c r="Z28" s="661"/>
      <c r="AA28" s="1017"/>
      <c r="AB28" s="1017"/>
      <c r="AC28" s="1017"/>
      <c r="AD28" s="1019"/>
      <c r="AE28" s="1019"/>
      <c r="AF28" s="1017"/>
      <c r="AG28" s="1020"/>
      <c r="AH28" s="1017"/>
      <c r="AI28" s="1017"/>
      <c r="AJ28" s="1017"/>
      <c r="AK28" s="1017"/>
      <c r="AL28" s="1017"/>
      <c r="AM28" s="1017"/>
    </row>
    <row r="29" spans="1:39" s="1015" customFormat="1" ht="50.1" customHeight="1" x14ac:dyDescent="0.2">
      <c r="A29" s="1118">
        <v>7</v>
      </c>
      <c r="B29" s="1220" t="s">
        <v>879</v>
      </c>
      <c r="C29" s="1118" t="s">
        <v>142</v>
      </c>
      <c r="D29" s="1118"/>
      <c r="E29" s="1118" t="s">
        <v>880</v>
      </c>
      <c r="F29" s="1132">
        <v>6500</v>
      </c>
      <c r="G29" s="1132">
        <v>330.09500000000003</v>
      </c>
      <c r="H29" s="1132">
        <v>6389.7020000000002</v>
      </c>
      <c r="I29" s="1132"/>
      <c r="J29" s="1168">
        <v>330.09500000000003</v>
      </c>
      <c r="K29" s="1133">
        <v>330.09500000000003</v>
      </c>
      <c r="L29" s="1133">
        <f t="shared" si="9"/>
        <v>0</v>
      </c>
      <c r="M29" s="1166"/>
      <c r="N29" s="1133"/>
      <c r="O29" s="982"/>
      <c r="P29" s="1013"/>
      <c r="Q29" s="1013"/>
      <c r="R29" s="1014"/>
      <c r="S29" s="955"/>
      <c r="V29" s="400"/>
      <c r="W29" s="1016"/>
      <c r="X29" s="1017"/>
      <c r="Y29" s="1018"/>
      <c r="Z29" s="661"/>
      <c r="AA29" s="1017"/>
      <c r="AB29" s="1017"/>
      <c r="AC29" s="1017"/>
      <c r="AD29" s="1019"/>
      <c r="AE29" s="1019"/>
      <c r="AF29" s="1017"/>
      <c r="AG29" s="1020"/>
      <c r="AH29" s="1017"/>
      <c r="AI29" s="1017"/>
      <c r="AJ29" s="1017"/>
      <c r="AK29" s="1017"/>
      <c r="AL29" s="1017"/>
      <c r="AM29" s="1017"/>
    </row>
    <row r="30" spans="1:39" s="1015" customFormat="1" ht="20.100000000000001" customHeight="1" x14ac:dyDescent="0.2">
      <c r="A30" s="1124" t="s">
        <v>30</v>
      </c>
      <c r="B30" s="1219" t="s">
        <v>428</v>
      </c>
      <c r="C30" s="1125"/>
      <c r="D30" s="1125"/>
      <c r="E30" s="1151"/>
      <c r="F30" s="1127">
        <f>SUM(F31)</f>
        <v>14990</v>
      </c>
      <c r="G30" s="1127">
        <f t="shared" ref="G30:L30" si="10">SUM(G31)</f>
        <v>7320</v>
      </c>
      <c r="H30" s="1127">
        <f t="shared" si="10"/>
        <v>9879</v>
      </c>
      <c r="I30" s="1127">
        <f t="shared" si="10"/>
        <v>3953</v>
      </c>
      <c r="J30" s="1127">
        <f t="shared" si="10"/>
        <v>3994.8409999999999</v>
      </c>
      <c r="K30" s="1127">
        <f t="shared" si="10"/>
        <v>3994.8409999999999</v>
      </c>
      <c r="L30" s="1127">
        <f t="shared" si="10"/>
        <v>3325.1590000000001</v>
      </c>
      <c r="M30" s="1145">
        <f>J30/G30*100</f>
        <v>54.574330601092889</v>
      </c>
      <c r="N30" s="1128"/>
      <c r="O30" s="982"/>
      <c r="P30" s="1013"/>
      <c r="Q30" s="1013"/>
      <c r="R30" s="1014"/>
      <c r="S30" s="955"/>
      <c r="V30" s="400"/>
      <c r="W30" s="1016"/>
      <c r="X30" s="1017"/>
      <c r="Y30" s="1018"/>
      <c r="Z30" s="661"/>
      <c r="AA30" s="1017"/>
      <c r="AB30" s="1017"/>
      <c r="AC30" s="1017"/>
      <c r="AD30" s="1019"/>
      <c r="AE30" s="1019"/>
      <c r="AF30" s="1017"/>
      <c r="AG30" s="1020"/>
      <c r="AH30" s="1017"/>
      <c r="AI30" s="1017"/>
      <c r="AJ30" s="1017"/>
      <c r="AK30" s="1017"/>
      <c r="AL30" s="1017"/>
      <c r="AM30" s="1017"/>
    </row>
    <row r="31" spans="1:39" s="1015" customFormat="1" ht="45" x14ac:dyDescent="0.2">
      <c r="A31" s="1118">
        <v>1</v>
      </c>
      <c r="B31" s="1220" t="s">
        <v>13</v>
      </c>
      <c r="C31" s="1118" t="s">
        <v>142</v>
      </c>
      <c r="D31" s="982"/>
      <c r="E31" s="1118" t="s">
        <v>22</v>
      </c>
      <c r="F31" s="1132">
        <v>14990</v>
      </c>
      <c r="G31" s="1132">
        <f>4720+2600</f>
        <v>7320</v>
      </c>
      <c r="H31" s="1132">
        <v>9879</v>
      </c>
      <c r="I31" s="1132">
        <v>3953</v>
      </c>
      <c r="J31" s="1168">
        <v>3994.8409999999999</v>
      </c>
      <c r="K31" s="1133">
        <v>3994.8409999999999</v>
      </c>
      <c r="L31" s="1133">
        <f t="shared" si="9"/>
        <v>3325.1590000000001</v>
      </c>
      <c r="M31" s="1166"/>
      <c r="N31" s="1133"/>
      <c r="O31" s="982"/>
      <c r="P31" s="1013"/>
      <c r="Q31" s="1013"/>
      <c r="R31" s="1014"/>
      <c r="S31" s="955"/>
      <c r="V31" s="400"/>
      <c r="W31" s="1016"/>
      <c r="X31" s="1017"/>
      <c r="Y31" s="1018"/>
      <c r="Z31" s="661"/>
      <c r="AA31" s="1017"/>
      <c r="AB31" s="1017"/>
      <c r="AC31" s="1017"/>
      <c r="AD31" s="1019"/>
      <c r="AE31" s="1019"/>
      <c r="AF31" s="1017"/>
      <c r="AG31" s="1020"/>
      <c r="AH31" s="1017"/>
      <c r="AI31" s="1017"/>
      <c r="AJ31" s="1017"/>
      <c r="AK31" s="1017"/>
      <c r="AL31" s="1017"/>
      <c r="AM31" s="1017"/>
    </row>
    <row r="32" spans="1:39" s="1015" customFormat="1" ht="20.100000000000001" customHeight="1" x14ac:dyDescent="0.2">
      <c r="A32" s="1124" t="s">
        <v>32</v>
      </c>
      <c r="B32" s="1219" t="s">
        <v>463</v>
      </c>
      <c r="C32" s="1118"/>
      <c r="D32" s="982"/>
      <c r="E32" s="1118"/>
      <c r="F32" s="1127">
        <f>SUM(F33)</f>
        <v>14980</v>
      </c>
      <c r="G32" s="1127">
        <f t="shared" ref="G32:L32" si="11">SUM(G33)</f>
        <v>7750</v>
      </c>
      <c r="H32" s="1127">
        <f t="shared" si="11"/>
        <v>4419</v>
      </c>
      <c r="I32" s="1127">
        <f t="shared" si="11"/>
        <v>3899</v>
      </c>
      <c r="J32" s="1127">
        <f t="shared" si="11"/>
        <v>4666.1220000000003</v>
      </c>
      <c r="K32" s="1127">
        <f t="shared" si="11"/>
        <v>2859.1220000000003</v>
      </c>
      <c r="L32" s="1127">
        <f t="shared" si="11"/>
        <v>3083.8779999999997</v>
      </c>
      <c r="M32" s="1145">
        <f>J32/G32*100</f>
        <v>60.208025806451616</v>
      </c>
      <c r="N32" s="1128"/>
      <c r="O32" s="982"/>
      <c r="P32" s="1013"/>
      <c r="Q32" s="1013"/>
      <c r="R32" s="1014"/>
      <c r="S32" s="955"/>
      <c r="V32" s="400"/>
      <c r="W32" s="1016"/>
      <c r="X32" s="1017"/>
      <c r="Y32" s="1018"/>
      <c r="Z32" s="661"/>
      <c r="AA32" s="1017"/>
      <c r="AB32" s="1017"/>
      <c r="AC32" s="1017"/>
      <c r="AD32" s="1019"/>
      <c r="AE32" s="1019"/>
      <c r="AF32" s="1017"/>
      <c r="AG32" s="1020"/>
      <c r="AH32" s="1017"/>
      <c r="AI32" s="1017"/>
      <c r="AJ32" s="1017"/>
      <c r="AK32" s="1017"/>
      <c r="AL32" s="1017"/>
      <c r="AM32" s="1017"/>
    </row>
    <row r="33" spans="1:39" s="1015" customFormat="1" ht="45" x14ac:dyDescent="0.2">
      <c r="A33" s="1118">
        <v>2</v>
      </c>
      <c r="B33" s="1220" t="s">
        <v>532</v>
      </c>
      <c r="C33" s="1118" t="s">
        <v>142</v>
      </c>
      <c r="D33" s="982"/>
      <c r="E33" s="1118" t="s">
        <v>533</v>
      </c>
      <c r="F33" s="1132">
        <v>14980</v>
      </c>
      <c r="G33" s="1132">
        <v>7750</v>
      </c>
      <c r="H33" s="1132">
        <v>4419</v>
      </c>
      <c r="I33" s="1132">
        <v>3899</v>
      </c>
      <c r="J33" s="1133">
        <v>4666.1220000000003</v>
      </c>
      <c r="K33" s="1133">
        <v>2859.1220000000003</v>
      </c>
      <c r="L33" s="1133">
        <f t="shared" si="9"/>
        <v>3083.8779999999997</v>
      </c>
      <c r="M33" s="1166"/>
      <c r="N33" s="1133"/>
      <c r="O33" s="982"/>
      <c r="P33" s="1013"/>
      <c r="Q33" s="1013"/>
      <c r="R33" s="1014"/>
      <c r="S33" s="955"/>
      <c r="V33" s="400"/>
      <c r="W33" s="1016"/>
      <c r="X33" s="1017"/>
      <c r="Y33" s="1018"/>
      <c r="Z33" s="661"/>
      <c r="AA33" s="1017"/>
      <c r="AB33" s="1017"/>
      <c r="AC33" s="1017"/>
      <c r="AD33" s="1019"/>
      <c r="AE33" s="1019"/>
      <c r="AF33" s="1017"/>
      <c r="AG33" s="1020"/>
      <c r="AH33" s="1017"/>
      <c r="AI33" s="1017"/>
      <c r="AJ33" s="1017"/>
      <c r="AK33" s="1017"/>
      <c r="AL33" s="1017"/>
      <c r="AM33" s="1017"/>
    </row>
    <row r="34" spans="1:39" s="1015" customFormat="1" ht="20.100000000000001" customHeight="1" x14ac:dyDescent="0.2">
      <c r="A34" s="1116" t="s">
        <v>25</v>
      </c>
      <c r="B34" s="1218" t="s">
        <v>27</v>
      </c>
      <c r="C34" s="1122"/>
      <c r="D34" s="1211"/>
      <c r="E34" s="1116"/>
      <c r="F34" s="1119">
        <f>F35+F71</f>
        <v>437601</v>
      </c>
      <c r="G34" s="1119">
        <f t="shared" ref="G34:L34" si="12">G35+G71</f>
        <v>46688</v>
      </c>
      <c r="H34" s="1119">
        <f t="shared" si="12"/>
        <v>120627.66799999999</v>
      </c>
      <c r="I34" s="1119">
        <f t="shared" si="12"/>
        <v>10738.898999999999</v>
      </c>
      <c r="J34" s="1119">
        <f t="shared" si="12"/>
        <v>31162.317999999999</v>
      </c>
      <c r="K34" s="1119">
        <f t="shared" si="12"/>
        <v>28809.127</v>
      </c>
      <c r="L34" s="1119">
        <f t="shared" si="12"/>
        <v>15468.682000000001</v>
      </c>
      <c r="M34" s="1123">
        <f>J34/G34*100</f>
        <v>66.745883310486633</v>
      </c>
      <c r="N34" s="1185"/>
      <c r="O34" s="990"/>
      <c r="P34" s="1013"/>
      <c r="Q34" s="1013"/>
      <c r="R34" s="1014"/>
      <c r="S34" s="955"/>
      <c r="V34" s="400"/>
      <c r="W34" s="1016"/>
      <c r="X34" s="1017"/>
      <c r="Y34" s="1018"/>
      <c r="Z34" s="661"/>
      <c r="AA34" s="1017"/>
      <c r="AB34" s="1017"/>
      <c r="AC34" s="1017"/>
      <c r="AD34" s="1019"/>
      <c r="AE34" s="1019"/>
      <c r="AF34" s="1017"/>
      <c r="AG34" s="1020"/>
      <c r="AH34" s="1017"/>
      <c r="AI34" s="1017"/>
      <c r="AJ34" s="1017"/>
      <c r="AK34" s="1017"/>
      <c r="AL34" s="1017"/>
      <c r="AM34" s="1017"/>
    </row>
    <row r="35" spans="1:39" s="1015" customFormat="1" ht="20.100000000000001" customHeight="1" x14ac:dyDescent="0.2">
      <c r="A35" s="1116" t="s">
        <v>70</v>
      </c>
      <c r="B35" s="1218" t="s">
        <v>461</v>
      </c>
      <c r="C35" s="1116"/>
      <c r="D35" s="990"/>
      <c r="E35" s="1116"/>
      <c r="F35" s="1210">
        <f>F36+F65</f>
        <v>403271</v>
      </c>
      <c r="G35" s="1210">
        <f t="shared" ref="G35:L35" si="13">G36+G65</f>
        <v>33888</v>
      </c>
      <c r="H35" s="1210">
        <f t="shared" si="13"/>
        <v>101358.66799999999</v>
      </c>
      <c r="I35" s="1210">
        <f t="shared" si="13"/>
        <v>8538.8989999999994</v>
      </c>
      <c r="J35" s="1210">
        <f t="shared" si="13"/>
        <v>29962.317999999999</v>
      </c>
      <c r="K35" s="1210">
        <f t="shared" si="13"/>
        <v>27609.127</v>
      </c>
      <c r="L35" s="1210">
        <f t="shared" si="13"/>
        <v>3925.6820000000002</v>
      </c>
      <c r="M35" s="1123"/>
      <c r="N35" s="1185"/>
      <c r="O35" s="990"/>
      <c r="P35" s="1013"/>
      <c r="Q35" s="1013"/>
      <c r="R35" s="1014"/>
      <c r="S35" s="955"/>
      <c r="V35" s="400"/>
      <c r="W35" s="1016"/>
      <c r="X35" s="1017"/>
      <c r="Y35" s="1018"/>
      <c r="Z35" s="661"/>
      <c r="AA35" s="1017"/>
      <c r="AB35" s="1017"/>
      <c r="AC35" s="1017"/>
      <c r="AD35" s="1019"/>
      <c r="AE35" s="1019"/>
      <c r="AF35" s="1017"/>
      <c r="AG35" s="1020"/>
      <c r="AH35" s="1017"/>
      <c r="AI35" s="1017"/>
      <c r="AJ35" s="1017"/>
      <c r="AK35" s="1017"/>
      <c r="AL35" s="1017"/>
      <c r="AM35" s="1017"/>
    </row>
    <row r="36" spans="1:39" s="1015" customFormat="1" ht="28.5" x14ac:dyDescent="0.2">
      <c r="A36" s="1116" t="s">
        <v>667</v>
      </c>
      <c r="B36" s="1218" t="s">
        <v>668</v>
      </c>
      <c r="C36" s="1122"/>
      <c r="D36" s="1211"/>
      <c r="E36" s="1116"/>
      <c r="F36" s="1119">
        <f>F37+F42+F43+F47+F56+F60</f>
        <v>389319</v>
      </c>
      <c r="G36" s="1119">
        <f t="shared" ref="G36:L36" si="14">G37+G42+G43+G47+G56+G60</f>
        <v>27272</v>
      </c>
      <c r="H36" s="1119">
        <f t="shared" si="14"/>
        <v>94429.667999999991</v>
      </c>
      <c r="I36" s="1119">
        <f t="shared" si="14"/>
        <v>5138.8989999999994</v>
      </c>
      <c r="J36" s="1119">
        <f t="shared" si="14"/>
        <v>24372.777000000002</v>
      </c>
      <c r="K36" s="1119">
        <f t="shared" si="14"/>
        <v>22822.777000000002</v>
      </c>
      <c r="L36" s="1119">
        <f t="shared" si="14"/>
        <v>2899.223</v>
      </c>
      <c r="M36" s="1212">
        <f>J36/G36*100</f>
        <v>89.369232179524801</v>
      </c>
      <c r="N36" s="1210"/>
      <c r="O36" s="990"/>
      <c r="P36" s="1013"/>
      <c r="Q36" s="1013"/>
      <c r="R36" s="1014"/>
      <c r="S36" s="955"/>
      <c r="V36" s="400"/>
      <c r="W36" s="1016"/>
      <c r="X36" s="1017"/>
      <c r="Y36" s="1018"/>
      <c r="Z36" s="661"/>
      <c r="AA36" s="1017"/>
      <c r="AB36" s="1017"/>
      <c r="AC36" s="1017"/>
      <c r="AD36" s="1019"/>
      <c r="AE36" s="1019"/>
      <c r="AF36" s="1017"/>
      <c r="AG36" s="1020"/>
      <c r="AH36" s="1017"/>
      <c r="AI36" s="1017"/>
      <c r="AJ36" s="1017"/>
      <c r="AK36" s="1017"/>
      <c r="AL36" s="1017"/>
      <c r="AM36" s="1017"/>
    </row>
    <row r="37" spans="1:39" s="1015" customFormat="1" ht="20.100000000000001" customHeight="1" x14ac:dyDescent="0.2">
      <c r="A37" s="1124" t="s">
        <v>28</v>
      </c>
      <c r="B37" s="1219" t="s">
        <v>432</v>
      </c>
      <c r="C37" s="1126"/>
      <c r="D37" s="1213"/>
      <c r="E37" s="1124"/>
      <c r="F37" s="1178">
        <f>SUM(F38:F41)</f>
        <v>294602</v>
      </c>
      <c r="G37" s="1178">
        <f t="shared" ref="G37:L37" si="15">SUM(G38:G41)</f>
        <v>1188.3089999999997</v>
      </c>
      <c r="H37" s="1178">
        <f t="shared" si="15"/>
        <v>13978</v>
      </c>
      <c r="I37" s="1178">
        <f t="shared" si="15"/>
        <v>0</v>
      </c>
      <c r="J37" s="1178">
        <f t="shared" si="15"/>
        <v>1025.9869999999999</v>
      </c>
      <c r="K37" s="1178">
        <f t="shared" si="15"/>
        <v>1025.9869999999999</v>
      </c>
      <c r="L37" s="1178">
        <f t="shared" si="15"/>
        <v>162.32200000000003</v>
      </c>
      <c r="M37" s="1212">
        <f>J37/G37*100</f>
        <v>86.340084944235898</v>
      </c>
      <c r="N37" s="1210"/>
      <c r="O37" s="982"/>
      <c r="P37" s="1013"/>
      <c r="Q37" s="1013"/>
      <c r="R37" s="1014"/>
      <c r="S37" s="955"/>
      <c r="V37" s="400"/>
      <c r="W37" s="1016"/>
      <c r="X37" s="1017"/>
      <c r="Y37" s="1018"/>
      <c r="Z37" s="661"/>
      <c r="AA37" s="1017"/>
      <c r="AB37" s="1017"/>
      <c r="AC37" s="1017"/>
      <c r="AD37" s="1019"/>
      <c r="AE37" s="1019"/>
      <c r="AF37" s="1017"/>
      <c r="AG37" s="1020"/>
      <c r="AH37" s="1017"/>
      <c r="AI37" s="1017"/>
      <c r="AJ37" s="1017"/>
      <c r="AK37" s="1017"/>
      <c r="AL37" s="1017"/>
      <c r="AM37" s="1017"/>
    </row>
    <row r="38" spans="1:39" s="1015" customFormat="1" ht="35.1" customHeight="1" x14ac:dyDescent="0.2">
      <c r="A38" s="1118">
        <v>1</v>
      </c>
      <c r="B38" s="1220" t="s">
        <v>433</v>
      </c>
      <c r="C38" s="1206" t="s">
        <v>226</v>
      </c>
      <c r="D38" s="1207" t="s">
        <v>439</v>
      </c>
      <c r="E38" s="1118" t="s">
        <v>441</v>
      </c>
      <c r="F38" s="1132">
        <v>14000</v>
      </c>
      <c r="G38" s="1132">
        <v>473.98399999999998</v>
      </c>
      <c r="H38" s="1132">
        <v>13978</v>
      </c>
      <c r="I38" s="1132"/>
      <c r="J38" s="1168">
        <v>473.98399999999998</v>
      </c>
      <c r="K38" s="1168">
        <v>473.98399999999998</v>
      </c>
      <c r="L38" s="1133">
        <f t="shared" ref="L38:L41" si="16">G38-J38</f>
        <v>0</v>
      </c>
      <c r="M38" s="1166"/>
      <c r="N38" s="1133"/>
      <c r="O38" s="982"/>
      <c r="P38" s="1013"/>
      <c r="Q38" s="1013"/>
      <c r="R38" s="1014"/>
      <c r="S38" s="955"/>
      <c r="V38" s="400"/>
      <c r="W38" s="1016"/>
      <c r="X38" s="1017"/>
      <c r="Y38" s="1018"/>
      <c r="Z38" s="661"/>
      <c r="AA38" s="1017"/>
      <c r="AB38" s="1017"/>
      <c r="AC38" s="1017"/>
      <c r="AD38" s="1019"/>
      <c r="AE38" s="1019"/>
      <c r="AF38" s="1017"/>
      <c r="AG38" s="1020"/>
      <c r="AH38" s="1017"/>
      <c r="AI38" s="1017"/>
      <c r="AJ38" s="1017"/>
      <c r="AK38" s="1017"/>
      <c r="AL38" s="1017"/>
      <c r="AM38" s="1017"/>
    </row>
    <row r="39" spans="1:39" s="1015" customFormat="1" ht="35.1" customHeight="1" x14ac:dyDescent="0.2">
      <c r="A39" s="1118">
        <v>2</v>
      </c>
      <c r="B39" s="1220" t="s">
        <v>434</v>
      </c>
      <c r="C39" s="1206" t="s">
        <v>143</v>
      </c>
      <c r="D39" s="1207" t="s">
        <v>440</v>
      </c>
      <c r="E39" s="1118" t="s">
        <v>442</v>
      </c>
      <c r="F39" s="1132">
        <v>211656</v>
      </c>
      <c r="G39" s="1132">
        <v>146.08000000000001</v>
      </c>
      <c r="H39" s="1132"/>
      <c r="I39" s="1132"/>
      <c r="J39" s="1168">
        <v>146.08000000000001</v>
      </c>
      <c r="K39" s="1168">
        <v>146.08000000000001</v>
      </c>
      <c r="L39" s="1133">
        <f t="shared" si="16"/>
        <v>0</v>
      </c>
      <c r="M39" s="1166"/>
      <c r="N39" s="1133"/>
      <c r="O39" s="982"/>
      <c r="P39" s="1013"/>
      <c r="Q39" s="1013"/>
      <c r="R39" s="1014"/>
      <c r="S39" s="955"/>
      <c r="V39" s="400"/>
      <c r="W39" s="1016"/>
      <c r="X39" s="1017"/>
      <c r="Y39" s="1018"/>
      <c r="Z39" s="661"/>
      <c r="AA39" s="1017"/>
      <c r="AB39" s="1017"/>
      <c r="AC39" s="1017"/>
      <c r="AD39" s="1019"/>
      <c r="AE39" s="1019"/>
      <c r="AF39" s="1017"/>
      <c r="AG39" s="1020"/>
      <c r="AH39" s="1017"/>
      <c r="AI39" s="1017"/>
      <c r="AJ39" s="1017"/>
      <c r="AK39" s="1017"/>
      <c r="AL39" s="1017"/>
      <c r="AM39" s="1017"/>
    </row>
    <row r="40" spans="1:39" s="1015" customFormat="1" ht="35.1" customHeight="1" x14ac:dyDescent="0.2">
      <c r="A40" s="1118">
        <v>3</v>
      </c>
      <c r="B40" s="1220" t="s">
        <v>435</v>
      </c>
      <c r="C40" s="1206" t="s">
        <v>661</v>
      </c>
      <c r="D40" s="1207"/>
      <c r="E40" s="1118" t="s">
        <v>443</v>
      </c>
      <c r="F40" s="1132">
        <v>68046</v>
      </c>
      <c r="G40" s="1132">
        <v>444</v>
      </c>
      <c r="H40" s="1132"/>
      <c r="I40" s="1132"/>
      <c r="J40" s="1168">
        <v>336.58499999999998</v>
      </c>
      <c r="K40" s="1168">
        <v>336.58499999999998</v>
      </c>
      <c r="L40" s="1133">
        <f t="shared" si="16"/>
        <v>107.41500000000002</v>
      </c>
      <c r="M40" s="1166"/>
      <c r="N40" s="1133"/>
      <c r="O40" s="982"/>
      <c r="P40" s="1013"/>
      <c r="Q40" s="1013"/>
      <c r="R40" s="1014"/>
      <c r="S40" s="955"/>
      <c r="V40" s="400"/>
      <c r="W40" s="1016"/>
      <c r="X40" s="1017"/>
      <c r="Y40" s="1018"/>
      <c r="Z40" s="661"/>
      <c r="AA40" s="1017"/>
      <c r="AB40" s="1017"/>
      <c r="AC40" s="1017"/>
      <c r="AD40" s="1019"/>
      <c r="AE40" s="1019"/>
      <c r="AF40" s="1017"/>
      <c r="AG40" s="1020"/>
      <c r="AH40" s="1017"/>
      <c r="AI40" s="1017"/>
      <c r="AJ40" s="1017"/>
      <c r="AK40" s="1017"/>
      <c r="AL40" s="1017"/>
      <c r="AM40" s="1017"/>
    </row>
    <row r="41" spans="1:39" s="1015" customFormat="1" ht="35.1" customHeight="1" x14ac:dyDescent="0.2">
      <c r="A41" s="1118">
        <v>4</v>
      </c>
      <c r="B41" s="1220" t="s">
        <v>436</v>
      </c>
      <c r="C41" s="1206" t="s">
        <v>258</v>
      </c>
      <c r="D41" s="1207"/>
      <c r="E41" s="1118" t="s">
        <v>444</v>
      </c>
      <c r="F41" s="1132">
        <v>900</v>
      </c>
      <c r="G41" s="1132">
        <v>124.245</v>
      </c>
      <c r="H41" s="1132"/>
      <c r="I41" s="1132"/>
      <c r="J41" s="1168">
        <v>69.337999999999994</v>
      </c>
      <c r="K41" s="1168">
        <v>69.337999999999994</v>
      </c>
      <c r="L41" s="1133">
        <f t="shared" si="16"/>
        <v>54.907000000000011</v>
      </c>
      <c r="M41" s="1166"/>
      <c r="N41" s="1133"/>
      <c r="O41" s="982"/>
      <c r="P41" s="1013"/>
      <c r="Q41" s="1013"/>
      <c r="R41" s="1014"/>
      <c r="S41" s="955"/>
      <c r="V41" s="400"/>
      <c r="W41" s="1016"/>
      <c r="X41" s="1017"/>
      <c r="Y41" s="1018"/>
      <c r="Z41" s="661"/>
      <c r="AA41" s="1017"/>
      <c r="AB41" s="1017"/>
      <c r="AC41" s="1017"/>
      <c r="AD41" s="1019"/>
      <c r="AE41" s="1019"/>
      <c r="AF41" s="1017"/>
      <c r="AG41" s="1020"/>
      <c r="AH41" s="1017"/>
      <c r="AI41" s="1017"/>
      <c r="AJ41" s="1017"/>
      <c r="AK41" s="1017"/>
      <c r="AL41" s="1017"/>
      <c r="AM41" s="1017"/>
    </row>
    <row r="42" spans="1:39" s="1015" customFormat="1" ht="20.100000000000001" customHeight="1" x14ac:dyDescent="0.2">
      <c r="A42" s="1124" t="s">
        <v>30</v>
      </c>
      <c r="B42" s="1219" t="s">
        <v>596</v>
      </c>
      <c r="C42" s="1126"/>
      <c r="D42" s="1213"/>
      <c r="E42" s="1124"/>
      <c r="F42" s="1127"/>
      <c r="G42" s="1214"/>
      <c r="H42" s="1132"/>
      <c r="I42" s="1132"/>
      <c r="J42" s="1133"/>
      <c r="K42" s="1133"/>
      <c r="L42" s="1133"/>
      <c r="M42" s="1166"/>
      <c r="N42" s="1133"/>
      <c r="O42" s="982"/>
      <c r="P42" s="1013"/>
      <c r="Q42" s="1013"/>
      <c r="R42" s="1014"/>
      <c r="S42" s="955"/>
      <c r="V42" s="400"/>
      <c r="W42" s="1016"/>
      <c r="X42" s="1017"/>
      <c r="Y42" s="1018"/>
      <c r="Z42" s="661"/>
      <c r="AA42" s="1017"/>
      <c r="AB42" s="1017"/>
      <c r="AC42" s="1017"/>
      <c r="AD42" s="1019"/>
      <c r="AE42" s="1019"/>
      <c r="AF42" s="1017"/>
      <c r="AG42" s="1020"/>
      <c r="AH42" s="1017"/>
      <c r="AI42" s="1017"/>
      <c r="AJ42" s="1017"/>
      <c r="AK42" s="1017"/>
      <c r="AL42" s="1017"/>
      <c r="AM42" s="1017"/>
    </row>
    <row r="43" spans="1:39" s="1015" customFormat="1" ht="35.1" customHeight="1" x14ac:dyDescent="0.2">
      <c r="A43" s="1124" t="s">
        <v>32</v>
      </c>
      <c r="B43" s="1219" t="s">
        <v>35</v>
      </c>
      <c r="C43" s="1126"/>
      <c r="D43" s="1213"/>
      <c r="E43" s="1124"/>
      <c r="F43" s="1178">
        <f>SUM(F44:F46)</f>
        <v>20747</v>
      </c>
      <c r="G43" s="1178">
        <f t="shared" ref="G43:L43" si="17">SUM(G44:G46)</f>
        <v>370.822</v>
      </c>
      <c r="H43" s="1178">
        <f t="shared" si="17"/>
        <v>20378</v>
      </c>
      <c r="I43" s="1178">
        <f t="shared" si="17"/>
        <v>0</v>
      </c>
      <c r="J43" s="1178">
        <f t="shared" si="17"/>
        <v>343.09699999999998</v>
      </c>
      <c r="K43" s="1178">
        <f t="shared" si="17"/>
        <v>343.09699999999998</v>
      </c>
      <c r="L43" s="1178">
        <f t="shared" si="17"/>
        <v>27.724999999999994</v>
      </c>
      <c r="M43" s="1215">
        <f>J43/G43*100</f>
        <v>92.523367006272551</v>
      </c>
      <c r="N43" s="1178"/>
      <c r="O43" s="982"/>
      <c r="P43" s="1013"/>
      <c r="Q43" s="1013"/>
      <c r="R43" s="1014"/>
      <c r="S43" s="955"/>
      <c r="V43" s="400"/>
      <c r="W43" s="1016"/>
      <c r="X43" s="1017"/>
      <c r="Y43" s="1018"/>
      <c r="Z43" s="661"/>
      <c r="AA43" s="1017"/>
      <c r="AB43" s="1017"/>
      <c r="AC43" s="1017"/>
      <c r="AD43" s="1019"/>
      <c r="AE43" s="1019"/>
      <c r="AF43" s="1017"/>
      <c r="AG43" s="1020"/>
      <c r="AH43" s="1017"/>
      <c r="AI43" s="1017"/>
      <c r="AJ43" s="1017"/>
      <c r="AK43" s="1017"/>
      <c r="AL43" s="1017"/>
      <c r="AM43" s="1017"/>
    </row>
    <row r="44" spans="1:39" s="1015" customFormat="1" ht="35.1" customHeight="1" x14ac:dyDescent="0.2">
      <c r="A44" s="1118">
        <v>1</v>
      </c>
      <c r="B44" s="1220" t="s">
        <v>46</v>
      </c>
      <c r="C44" s="1206" t="s">
        <v>144</v>
      </c>
      <c r="D44" s="1207"/>
      <c r="E44" s="1118" t="s">
        <v>49</v>
      </c>
      <c r="F44" s="1132">
        <v>6997</v>
      </c>
      <c r="G44" s="1132">
        <v>168.69800000000001</v>
      </c>
      <c r="H44" s="1132">
        <v>6940</v>
      </c>
      <c r="I44" s="1132"/>
      <c r="J44" s="1168">
        <v>168.69799999999998</v>
      </c>
      <c r="K44" s="1168">
        <v>168.69799999999998</v>
      </c>
      <c r="L44" s="1133">
        <f t="shared" ref="L44:L46" si="18">G44-J44</f>
        <v>0</v>
      </c>
      <c r="M44" s="1166"/>
      <c r="N44" s="1133"/>
      <c r="O44" s="982"/>
      <c r="P44" s="1013"/>
      <c r="Q44" s="1013"/>
      <c r="R44" s="1014"/>
      <c r="S44" s="955"/>
      <c r="V44" s="400"/>
      <c r="W44" s="1016"/>
      <c r="X44" s="1017"/>
      <c r="Y44" s="1018"/>
      <c r="Z44" s="661"/>
      <c r="AA44" s="1017"/>
      <c r="AB44" s="1017"/>
      <c r="AC44" s="1017"/>
      <c r="AD44" s="1019"/>
      <c r="AE44" s="1019"/>
      <c r="AF44" s="1017"/>
      <c r="AG44" s="1020"/>
      <c r="AH44" s="1017"/>
      <c r="AI44" s="1017"/>
      <c r="AJ44" s="1017"/>
      <c r="AK44" s="1017"/>
      <c r="AL44" s="1017"/>
      <c r="AM44" s="1017"/>
    </row>
    <row r="45" spans="1:39" s="1015" customFormat="1" ht="35.1" customHeight="1" x14ac:dyDescent="0.2">
      <c r="A45" s="1118">
        <v>2</v>
      </c>
      <c r="B45" s="1220" t="s">
        <v>47</v>
      </c>
      <c r="C45" s="1206" t="s">
        <v>140</v>
      </c>
      <c r="D45" s="1207" t="s">
        <v>161</v>
      </c>
      <c r="E45" s="1118" t="s">
        <v>50</v>
      </c>
      <c r="F45" s="1132">
        <v>6800</v>
      </c>
      <c r="G45" s="1132">
        <v>153.124</v>
      </c>
      <c r="H45" s="1132">
        <v>6650</v>
      </c>
      <c r="I45" s="1132"/>
      <c r="J45" s="1168">
        <v>125.399</v>
      </c>
      <c r="K45" s="1168">
        <v>125.399</v>
      </c>
      <c r="L45" s="1133">
        <f t="shared" si="18"/>
        <v>27.724999999999994</v>
      </c>
      <c r="M45" s="1166"/>
      <c r="N45" s="1133"/>
      <c r="O45" s="982"/>
      <c r="P45" s="1013"/>
      <c r="Q45" s="1013"/>
      <c r="R45" s="1014"/>
      <c r="S45" s="955"/>
      <c r="V45" s="400"/>
      <c r="W45" s="1016"/>
      <c r="X45" s="1017"/>
      <c r="Y45" s="1018"/>
      <c r="Z45" s="661"/>
      <c r="AA45" s="1017"/>
      <c r="AB45" s="1017"/>
      <c r="AC45" s="1017"/>
      <c r="AD45" s="1019"/>
      <c r="AE45" s="1019"/>
      <c r="AF45" s="1017"/>
      <c r="AG45" s="1020"/>
      <c r="AH45" s="1017"/>
      <c r="AI45" s="1017"/>
      <c r="AJ45" s="1017"/>
      <c r="AK45" s="1017"/>
      <c r="AL45" s="1017"/>
      <c r="AM45" s="1017"/>
    </row>
    <row r="46" spans="1:39" s="1015" customFormat="1" ht="35.1" customHeight="1" x14ac:dyDescent="0.2">
      <c r="A46" s="1118">
        <v>3</v>
      </c>
      <c r="B46" s="1220" t="s">
        <v>48</v>
      </c>
      <c r="C46" s="1206" t="s">
        <v>145</v>
      </c>
      <c r="D46" s="1207" t="s">
        <v>161</v>
      </c>
      <c r="E46" s="1118" t="s">
        <v>894</v>
      </c>
      <c r="F46" s="1132">
        <v>6950</v>
      </c>
      <c r="G46" s="1132">
        <v>49</v>
      </c>
      <c r="H46" s="1132">
        <v>6788</v>
      </c>
      <c r="I46" s="1132"/>
      <c r="J46" s="1168">
        <v>49</v>
      </c>
      <c r="K46" s="1168">
        <v>49</v>
      </c>
      <c r="L46" s="1133">
        <f t="shared" si="18"/>
        <v>0</v>
      </c>
      <c r="M46" s="1166"/>
      <c r="N46" s="1133"/>
      <c r="O46" s="982"/>
      <c r="P46" s="1013"/>
      <c r="Q46" s="1013"/>
      <c r="R46" s="1014"/>
      <c r="S46" s="955"/>
      <c r="V46" s="400"/>
      <c r="W46" s="1016"/>
      <c r="X46" s="1017"/>
      <c r="Y46" s="1018"/>
      <c r="Z46" s="661"/>
      <c r="AA46" s="1017"/>
      <c r="AB46" s="1017"/>
      <c r="AC46" s="1017"/>
      <c r="AD46" s="1019"/>
      <c r="AE46" s="1019"/>
      <c r="AF46" s="1017"/>
      <c r="AG46" s="1020"/>
      <c r="AH46" s="1017"/>
      <c r="AI46" s="1017"/>
      <c r="AJ46" s="1017"/>
      <c r="AK46" s="1017"/>
      <c r="AL46" s="1017"/>
      <c r="AM46" s="1017"/>
    </row>
    <row r="47" spans="1:39" s="1015" customFormat="1" ht="20.100000000000001" customHeight="1" x14ac:dyDescent="0.2">
      <c r="A47" s="1124" t="s">
        <v>36</v>
      </c>
      <c r="B47" s="1219" t="s">
        <v>445</v>
      </c>
      <c r="C47" s="1126"/>
      <c r="D47" s="1213"/>
      <c r="E47" s="1124"/>
      <c r="F47" s="1178">
        <f>SUM(F48:F55)</f>
        <v>31350</v>
      </c>
      <c r="G47" s="1178">
        <f t="shared" ref="G47:L47" si="19">SUM(G48:G55)</f>
        <v>5432.5780000000004</v>
      </c>
      <c r="H47" s="1178">
        <f t="shared" si="19"/>
        <v>30658.495999999999</v>
      </c>
      <c r="I47" s="1178">
        <f t="shared" si="19"/>
        <v>0</v>
      </c>
      <c r="J47" s="1178">
        <f t="shared" si="19"/>
        <v>5341.8280000000004</v>
      </c>
      <c r="K47" s="1178">
        <f t="shared" si="19"/>
        <v>5341.8280000000004</v>
      </c>
      <c r="L47" s="1178">
        <f t="shared" si="19"/>
        <v>90.749999999999943</v>
      </c>
      <c r="M47" s="1215">
        <f>J47/G47*100</f>
        <v>98.329522374092008</v>
      </c>
      <c r="N47" s="1178"/>
      <c r="O47" s="982"/>
      <c r="P47" s="1013"/>
      <c r="Q47" s="1013"/>
      <c r="R47" s="1014"/>
      <c r="S47" s="955"/>
      <c r="V47" s="400"/>
      <c r="W47" s="1016"/>
      <c r="X47" s="1017"/>
      <c r="Y47" s="1018"/>
      <c r="Z47" s="661"/>
      <c r="AA47" s="1017"/>
      <c r="AB47" s="1017"/>
      <c r="AC47" s="1017"/>
      <c r="AD47" s="1019"/>
      <c r="AE47" s="1019"/>
      <c r="AF47" s="1017"/>
      <c r="AG47" s="1020"/>
      <c r="AH47" s="1017"/>
      <c r="AI47" s="1017"/>
      <c r="AJ47" s="1017"/>
      <c r="AK47" s="1017"/>
      <c r="AL47" s="1017"/>
      <c r="AM47" s="1017"/>
    </row>
    <row r="48" spans="1:39" s="1015" customFormat="1" ht="35.1" customHeight="1" x14ac:dyDescent="0.2">
      <c r="A48" s="1118">
        <v>1</v>
      </c>
      <c r="B48" s="1220" t="s">
        <v>52</v>
      </c>
      <c r="C48" s="1206" t="s">
        <v>146</v>
      </c>
      <c r="D48" s="1207" t="s">
        <v>162</v>
      </c>
      <c r="E48" s="1118" t="s">
        <v>60</v>
      </c>
      <c r="F48" s="1132">
        <v>6000</v>
      </c>
      <c r="G48" s="1132">
        <v>1057.4949999999999</v>
      </c>
      <c r="H48" s="1132">
        <v>5980.4960000000001</v>
      </c>
      <c r="I48" s="1132"/>
      <c r="J48" s="1168">
        <v>1057.232</v>
      </c>
      <c r="K48" s="1168">
        <v>1057.232</v>
      </c>
      <c r="L48" s="1216">
        <f t="shared" ref="L48:L64" si="20">G48-J48</f>
        <v>0.26299999999991996</v>
      </c>
      <c r="M48" s="1166"/>
      <c r="N48" s="1133"/>
      <c r="O48" s="982"/>
      <c r="P48" s="1013"/>
      <c r="Q48" s="1013"/>
      <c r="R48" s="1014"/>
      <c r="S48" s="955"/>
      <c r="V48" s="400"/>
      <c r="W48" s="1016"/>
      <c r="X48" s="1017"/>
      <c r="Y48" s="1018"/>
      <c r="Z48" s="661"/>
      <c r="AA48" s="1017"/>
      <c r="AB48" s="1017"/>
      <c r="AC48" s="1017"/>
      <c r="AD48" s="1019"/>
      <c r="AE48" s="1019"/>
      <c r="AF48" s="1017"/>
      <c r="AG48" s="1020"/>
      <c r="AH48" s="1017"/>
      <c r="AI48" s="1017"/>
      <c r="AJ48" s="1017"/>
      <c r="AK48" s="1017"/>
      <c r="AL48" s="1017"/>
      <c r="AM48" s="1017"/>
    </row>
    <row r="49" spans="1:39" s="1015" customFormat="1" ht="35.1" customHeight="1" x14ac:dyDescent="0.2">
      <c r="A49" s="1118">
        <v>2</v>
      </c>
      <c r="B49" s="1220" t="s">
        <v>53</v>
      </c>
      <c r="C49" s="1206" t="s">
        <v>143</v>
      </c>
      <c r="D49" s="1207" t="s">
        <v>162</v>
      </c>
      <c r="E49" s="1118" t="s">
        <v>61</v>
      </c>
      <c r="F49" s="1132">
        <v>6500</v>
      </c>
      <c r="G49" s="1132">
        <v>1296.989</v>
      </c>
      <c r="H49" s="1132">
        <v>6497</v>
      </c>
      <c r="I49" s="1132"/>
      <c r="J49" s="1168">
        <v>1296.9880000000001</v>
      </c>
      <c r="K49" s="1168">
        <v>1296.9880000000001</v>
      </c>
      <c r="L49" s="1216">
        <f t="shared" si="20"/>
        <v>9.9999999997635314E-4</v>
      </c>
      <c r="M49" s="1166"/>
      <c r="N49" s="1133"/>
      <c r="O49" s="982"/>
      <c r="P49" s="1013"/>
      <c r="Q49" s="1013"/>
      <c r="R49" s="1014"/>
      <c r="S49" s="955"/>
      <c r="V49" s="400"/>
      <c r="W49" s="1016"/>
      <c r="X49" s="1017"/>
      <c r="Y49" s="1018"/>
      <c r="Z49" s="661"/>
      <c r="AA49" s="1017"/>
      <c r="AB49" s="1017"/>
      <c r="AC49" s="1017"/>
      <c r="AD49" s="1019"/>
      <c r="AE49" s="1019"/>
      <c r="AF49" s="1017"/>
      <c r="AG49" s="1020"/>
      <c r="AH49" s="1017"/>
      <c r="AI49" s="1017"/>
      <c r="AJ49" s="1017"/>
      <c r="AK49" s="1017"/>
      <c r="AL49" s="1017"/>
      <c r="AM49" s="1017"/>
    </row>
    <row r="50" spans="1:39" s="1015" customFormat="1" ht="35.1" customHeight="1" x14ac:dyDescent="0.2">
      <c r="A50" s="1118">
        <v>3</v>
      </c>
      <c r="B50" s="1220" t="s">
        <v>54</v>
      </c>
      <c r="C50" s="1206" t="s">
        <v>147</v>
      </c>
      <c r="D50" s="1207" t="s">
        <v>162</v>
      </c>
      <c r="E50" s="1118" t="s">
        <v>62</v>
      </c>
      <c r="F50" s="1132">
        <v>4200</v>
      </c>
      <c r="G50" s="1132">
        <v>832.31899999999996</v>
      </c>
      <c r="H50" s="1132">
        <v>4196</v>
      </c>
      <c r="I50" s="1132"/>
      <c r="J50" s="1168">
        <v>827.31799999999998</v>
      </c>
      <c r="K50" s="1168">
        <v>827.31799999999998</v>
      </c>
      <c r="L50" s="1216">
        <f t="shared" si="20"/>
        <v>5.0009999999999764</v>
      </c>
      <c r="M50" s="1166"/>
      <c r="N50" s="1133"/>
      <c r="O50" s="982"/>
      <c r="P50" s="1013"/>
      <c r="Q50" s="1013"/>
      <c r="R50" s="1014"/>
      <c r="S50" s="955"/>
      <c r="V50" s="400"/>
      <c r="W50" s="1016"/>
      <c r="X50" s="1017"/>
      <c r="Y50" s="1018"/>
      <c r="Z50" s="661"/>
      <c r="AA50" s="1017"/>
      <c r="AB50" s="1017"/>
      <c r="AC50" s="1017"/>
      <c r="AD50" s="1019"/>
      <c r="AE50" s="1019"/>
      <c r="AF50" s="1017"/>
      <c r="AG50" s="1020"/>
      <c r="AH50" s="1017"/>
      <c r="AI50" s="1017"/>
      <c r="AJ50" s="1017"/>
      <c r="AK50" s="1017"/>
      <c r="AL50" s="1017"/>
      <c r="AM50" s="1017"/>
    </row>
    <row r="51" spans="1:39" s="1015" customFormat="1" ht="35.1" customHeight="1" x14ac:dyDescent="0.2">
      <c r="A51" s="1118">
        <v>4</v>
      </c>
      <c r="B51" s="1220" t="s">
        <v>55</v>
      </c>
      <c r="C51" s="1206" t="s">
        <v>148</v>
      </c>
      <c r="D51" s="1207" t="s">
        <v>162</v>
      </c>
      <c r="E51" s="1118" t="s">
        <v>63</v>
      </c>
      <c r="F51" s="1132">
        <v>2050</v>
      </c>
      <c r="G51" s="1132">
        <v>380</v>
      </c>
      <c r="H51" s="1132">
        <v>1800</v>
      </c>
      <c r="I51" s="1132"/>
      <c r="J51" s="1168">
        <v>303.88099999999997</v>
      </c>
      <c r="K51" s="1168">
        <v>303.88099999999997</v>
      </c>
      <c r="L51" s="1216">
        <f t="shared" si="20"/>
        <v>76.119000000000028</v>
      </c>
      <c r="M51" s="1166"/>
      <c r="N51" s="1133"/>
      <c r="O51" s="982"/>
      <c r="P51" s="1013"/>
      <c r="Q51" s="1013"/>
      <c r="R51" s="1014"/>
      <c r="S51" s="955"/>
      <c r="V51" s="400"/>
      <c r="W51" s="1016"/>
      <c r="X51" s="1017"/>
      <c r="Y51" s="1018"/>
      <c r="Z51" s="661"/>
      <c r="AA51" s="1017"/>
      <c r="AB51" s="1017"/>
      <c r="AC51" s="1017"/>
      <c r="AD51" s="1019"/>
      <c r="AE51" s="1019"/>
      <c r="AF51" s="1017"/>
      <c r="AG51" s="1020"/>
      <c r="AH51" s="1017"/>
      <c r="AI51" s="1017"/>
      <c r="AJ51" s="1017"/>
      <c r="AK51" s="1017"/>
      <c r="AL51" s="1017"/>
      <c r="AM51" s="1017"/>
    </row>
    <row r="52" spans="1:39" s="1015" customFormat="1" ht="35.1" customHeight="1" x14ac:dyDescent="0.2">
      <c r="A52" s="1118">
        <v>5</v>
      </c>
      <c r="B52" s="1220" t="s">
        <v>56</v>
      </c>
      <c r="C52" s="1206" t="s">
        <v>144</v>
      </c>
      <c r="D52" s="1207" t="s">
        <v>162</v>
      </c>
      <c r="E52" s="1118" t="s">
        <v>112</v>
      </c>
      <c r="F52" s="1132">
        <v>2100</v>
      </c>
      <c r="G52" s="1132">
        <v>312.55</v>
      </c>
      <c r="H52" s="1132">
        <v>2084</v>
      </c>
      <c r="I52" s="1132"/>
      <c r="J52" s="1168">
        <v>311.673</v>
      </c>
      <c r="K52" s="1168">
        <v>311.673</v>
      </c>
      <c r="L52" s="1216">
        <f t="shared" si="20"/>
        <v>0.87700000000000955</v>
      </c>
      <c r="M52" s="1166"/>
      <c r="N52" s="1133"/>
      <c r="O52" s="982"/>
      <c r="P52" s="1013"/>
      <c r="Q52" s="1013"/>
      <c r="R52" s="1014"/>
      <c r="S52" s="955"/>
      <c r="V52" s="400"/>
      <c r="W52" s="1016"/>
      <c r="X52" s="1017"/>
      <c r="Y52" s="1018"/>
      <c r="Z52" s="661"/>
      <c r="AA52" s="1017"/>
      <c r="AB52" s="1017"/>
      <c r="AC52" s="1017"/>
      <c r="AD52" s="1019"/>
      <c r="AE52" s="1019"/>
      <c r="AF52" s="1017"/>
      <c r="AG52" s="1020"/>
      <c r="AH52" s="1017"/>
      <c r="AI52" s="1017"/>
      <c r="AJ52" s="1017"/>
      <c r="AK52" s="1017"/>
      <c r="AL52" s="1017"/>
      <c r="AM52" s="1017"/>
    </row>
    <row r="53" spans="1:39" s="1015" customFormat="1" ht="35.1" customHeight="1" x14ac:dyDescent="0.2">
      <c r="A53" s="1118">
        <v>6</v>
      </c>
      <c r="B53" s="1220" t="s">
        <v>57</v>
      </c>
      <c r="C53" s="1206" t="s">
        <v>143</v>
      </c>
      <c r="D53" s="1207" t="s">
        <v>162</v>
      </c>
      <c r="E53" s="1118" t="s">
        <v>110</v>
      </c>
      <c r="F53" s="1132">
        <v>3500</v>
      </c>
      <c r="G53" s="1132">
        <v>570.82799999999997</v>
      </c>
      <c r="H53" s="1132">
        <v>3449</v>
      </c>
      <c r="I53" s="1132"/>
      <c r="J53" s="1168">
        <v>562.33999999999992</v>
      </c>
      <c r="K53" s="1168">
        <v>562.33999999999992</v>
      </c>
      <c r="L53" s="1216">
        <f t="shared" si="20"/>
        <v>8.4880000000000564</v>
      </c>
      <c r="M53" s="1166"/>
      <c r="N53" s="1133"/>
      <c r="O53" s="982"/>
      <c r="P53" s="1013"/>
      <c r="Q53" s="1013"/>
      <c r="R53" s="1014"/>
      <c r="S53" s="955"/>
      <c r="V53" s="400"/>
      <c r="W53" s="1016"/>
      <c r="X53" s="1017"/>
      <c r="Y53" s="1018"/>
      <c r="Z53" s="661"/>
      <c r="AA53" s="1017"/>
      <c r="AB53" s="1017"/>
      <c r="AC53" s="1017"/>
      <c r="AD53" s="1019"/>
      <c r="AE53" s="1019"/>
      <c r="AF53" s="1017"/>
      <c r="AG53" s="1020"/>
      <c r="AH53" s="1017"/>
      <c r="AI53" s="1017"/>
      <c r="AJ53" s="1017"/>
      <c r="AK53" s="1017"/>
      <c r="AL53" s="1017"/>
      <c r="AM53" s="1017"/>
    </row>
    <row r="54" spans="1:39" s="1015" customFormat="1" ht="35.1" customHeight="1" x14ac:dyDescent="0.2">
      <c r="A54" s="1118">
        <v>7</v>
      </c>
      <c r="B54" s="1220" t="s">
        <v>58</v>
      </c>
      <c r="C54" s="1206" t="s">
        <v>143</v>
      </c>
      <c r="D54" s="1207" t="s">
        <v>162</v>
      </c>
      <c r="E54" s="1118" t="s">
        <v>64</v>
      </c>
      <c r="F54" s="1132">
        <v>3600</v>
      </c>
      <c r="G54" s="1132">
        <v>643.56299999999999</v>
      </c>
      <c r="H54" s="1132">
        <v>3563</v>
      </c>
      <c r="I54" s="1132"/>
      <c r="J54" s="1168">
        <v>643.56299999999999</v>
      </c>
      <c r="K54" s="1168">
        <v>643.56299999999999</v>
      </c>
      <c r="L54" s="1216">
        <f t="shared" si="20"/>
        <v>0</v>
      </c>
      <c r="M54" s="1166"/>
      <c r="N54" s="1133"/>
      <c r="O54" s="982"/>
      <c r="P54" s="1013"/>
      <c r="Q54" s="1013"/>
      <c r="R54" s="1014"/>
      <c r="S54" s="955"/>
      <c r="V54" s="400"/>
      <c r="W54" s="1016"/>
      <c r="X54" s="1017"/>
      <c r="Y54" s="1018"/>
      <c r="Z54" s="661"/>
      <c r="AA54" s="1017"/>
      <c r="AB54" s="1017"/>
      <c r="AC54" s="1017"/>
      <c r="AD54" s="1019"/>
      <c r="AE54" s="1019"/>
      <c r="AF54" s="1017"/>
      <c r="AG54" s="1020"/>
      <c r="AH54" s="1017"/>
      <c r="AI54" s="1017"/>
      <c r="AJ54" s="1017"/>
      <c r="AK54" s="1017"/>
      <c r="AL54" s="1017"/>
      <c r="AM54" s="1017"/>
    </row>
    <row r="55" spans="1:39" s="1015" customFormat="1" ht="35.1" customHeight="1" x14ac:dyDescent="0.2">
      <c r="A55" s="1118">
        <v>8</v>
      </c>
      <c r="B55" s="1220" t="s">
        <v>59</v>
      </c>
      <c r="C55" s="1206" t="s">
        <v>137</v>
      </c>
      <c r="D55" s="1207" t="s">
        <v>162</v>
      </c>
      <c r="E55" s="1118" t="s">
        <v>111</v>
      </c>
      <c r="F55" s="1132">
        <v>3400</v>
      </c>
      <c r="G55" s="1132">
        <v>338.834</v>
      </c>
      <c r="H55" s="1132">
        <v>3089</v>
      </c>
      <c r="I55" s="1132"/>
      <c r="J55" s="1168">
        <v>338.83300000000003</v>
      </c>
      <c r="K55" s="1168">
        <v>338.83300000000003</v>
      </c>
      <c r="L55" s="1216">
        <f t="shared" si="20"/>
        <v>9.9999999997635314E-4</v>
      </c>
      <c r="M55" s="1166"/>
      <c r="N55" s="1133"/>
      <c r="O55" s="982"/>
      <c r="P55" s="1013"/>
      <c r="Q55" s="1013"/>
      <c r="R55" s="1014"/>
      <c r="S55" s="955"/>
      <c r="V55" s="400"/>
      <c r="W55" s="1016"/>
      <c r="X55" s="1017"/>
      <c r="Y55" s="1018"/>
      <c r="Z55" s="661"/>
      <c r="AA55" s="1017"/>
      <c r="AB55" s="1017"/>
      <c r="AC55" s="1017"/>
      <c r="AD55" s="1019"/>
      <c r="AE55" s="1019"/>
      <c r="AF55" s="1017"/>
      <c r="AG55" s="1020"/>
      <c r="AH55" s="1017"/>
      <c r="AI55" s="1017"/>
      <c r="AJ55" s="1017"/>
      <c r="AK55" s="1017"/>
      <c r="AL55" s="1017"/>
      <c r="AM55" s="1017"/>
    </row>
    <row r="56" spans="1:39" s="1015" customFormat="1" ht="20.100000000000001" customHeight="1" x14ac:dyDescent="0.2">
      <c r="A56" s="1124" t="s">
        <v>163</v>
      </c>
      <c r="B56" s="1219" t="s">
        <v>416</v>
      </c>
      <c r="C56" s="1126"/>
      <c r="D56" s="1213"/>
      <c r="E56" s="1124"/>
      <c r="F56" s="1178">
        <f>SUM(F57:F59)</f>
        <v>15450</v>
      </c>
      <c r="G56" s="1178">
        <f t="shared" ref="G56:L56" si="21">SUM(G57:G59)</f>
        <v>8550.2910000000011</v>
      </c>
      <c r="H56" s="1178">
        <f t="shared" si="21"/>
        <v>15210.089</v>
      </c>
      <c r="I56" s="1178">
        <f t="shared" si="21"/>
        <v>1411.8989999999999</v>
      </c>
      <c r="J56" s="1178">
        <f t="shared" si="21"/>
        <v>7531.8649999999998</v>
      </c>
      <c r="K56" s="1178">
        <f t="shared" si="21"/>
        <v>7531.8649999999998</v>
      </c>
      <c r="L56" s="1178">
        <f t="shared" si="21"/>
        <v>1018.4259999999999</v>
      </c>
      <c r="M56" s="1215">
        <f>J56/G56*100</f>
        <v>88.088990187585409</v>
      </c>
      <c r="N56" s="1178"/>
      <c r="O56" s="982"/>
      <c r="P56" s="1013"/>
      <c r="Q56" s="1013"/>
      <c r="R56" s="1014"/>
      <c r="S56" s="955"/>
      <c r="V56" s="400"/>
      <c r="W56" s="1016"/>
      <c r="X56" s="1017"/>
      <c r="Y56" s="1018"/>
      <c r="Z56" s="661"/>
      <c r="AA56" s="1017"/>
      <c r="AB56" s="1017"/>
      <c r="AC56" s="1017"/>
      <c r="AD56" s="1019"/>
      <c r="AE56" s="1019"/>
      <c r="AF56" s="1017"/>
      <c r="AG56" s="1020"/>
      <c r="AH56" s="1017"/>
      <c r="AI56" s="1017"/>
      <c r="AJ56" s="1017"/>
      <c r="AK56" s="1017"/>
      <c r="AL56" s="1017"/>
      <c r="AM56" s="1017"/>
    </row>
    <row r="57" spans="1:39" s="1015" customFormat="1" ht="35.1" customHeight="1" x14ac:dyDescent="0.2">
      <c r="A57" s="1118">
        <v>1</v>
      </c>
      <c r="B57" s="1220" t="s">
        <v>65</v>
      </c>
      <c r="C57" s="1206" t="s">
        <v>149</v>
      </c>
      <c r="D57" s="1207">
        <v>2022</v>
      </c>
      <c r="E57" s="1118" t="s">
        <v>113</v>
      </c>
      <c r="F57" s="1132">
        <v>2500</v>
      </c>
      <c r="G57" s="1132">
        <v>1350.2909999999999</v>
      </c>
      <c r="H57" s="1132">
        <v>2310.0889999999999</v>
      </c>
      <c r="I57" s="1132">
        <v>1411.8989999999999</v>
      </c>
      <c r="J57" s="1133">
        <v>1098.068</v>
      </c>
      <c r="K57" s="1133">
        <v>1098.068</v>
      </c>
      <c r="L57" s="1217">
        <f t="shared" si="20"/>
        <v>252.22299999999996</v>
      </c>
      <c r="M57" s="1166"/>
      <c r="N57" s="1133"/>
      <c r="O57" s="982"/>
      <c r="P57" s="1013"/>
      <c r="Q57" s="1013"/>
      <c r="R57" s="1014"/>
      <c r="S57" s="955"/>
      <c r="V57" s="400"/>
      <c r="W57" s="1016"/>
      <c r="X57" s="1017"/>
      <c r="Y57" s="1018"/>
      <c r="Z57" s="661"/>
      <c r="AA57" s="1017"/>
      <c r="AB57" s="1017"/>
      <c r="AC57" s="1017"/>
      <c r="AD57" s="1019"/>
      <c r="AE57" s="1019"/>
      <c r="AF57" s="1017"/>
      <c r="AG57" s="1020"/>
      <c r="AH57" s="1017"/>
      <c r="AI57" s="1017"/>
      <c r="AJ57" s="1017"/>
      <c r="AK57" s="1017"/>
      <c r="AL57" s="1017"/>
      <c r="AM57" s="1017"/>
    </row>
    <row r="58" spans="1:39" s="1015" customFormat="1" ht="35.1" customHeight="1" x14ac:dyDescent="0.2">
      <c r="A58" s="1118">
        <v>2</v>
      </c>
      <c r="B58" s="1220" t="s">
        <v>66</v>
      </c>
      <c r="C58" s="1206" t="s">
        <v>140</v>
      </c>
      <c r="D58" s="1207">
        <v>2022</v>
      </c>
      <c r="E58" s="1118" t="s">
        <v>114</v>
      </c>
      <c r="F58" s="1132">
        <v>6950</v>
      </c>
      <c r="G58" s="1132">
        <v>3900</v>
      </c>
      <c r="H58" s="1132">
        <v>6900</v>
      </c>
      <c r="I58" s="1132"/>
      <c r="J58" s="1133">
        <v>3133.797</v>
      </c>
      <c r="K58" s="1133">
        <v>3133.797</v>
      </c>
      <c r="L58" s="1217">
        <f t="shared" si="20"/>
        <v>766.20299999999997</v>
      </c>
      <c r="M58" s="1166"/>
      <c r="N58" s="1133"/>
      <c r="O58" s="982"/>
      <c r="P58" s="1013"/>
      <c r="Q58" s="1013"/>
      <c r="R58" s="1014"/>
      <c r="S58" s="955"/>
      <c r="V58" s="400"/>
      <c r="W58" s="1016"/>
      <c r="X58" s="1017"/>
      <c r="Y58" s="1018"/>
      <c r="Z58" s="661"/>
      <c r="AA58" s="1017"/>
      <c r="AB58" s="1017"/>
      <c r="AC58" s="1017"/>
      <c r="AD58" s="1019"/>
      <c r="AE58" s="1019"/>
      <c r="AF58" s="1017"/>
      <c r="AG58" s="1020"/>
      <c r="AH58" s="1017"/>
      <c r="AI58" s="1017"/>
      <c r="AJ58" s="1017"/>
      <c r="AK58" s="1017"/>
      <c r="AL58" s="1017"/>
      <c r="AM58" s="1017"/>
    </row>
    <row r="59" spans="1:39" s="1015" customFormat="1" ht="35.1" customHeight="1" x14ac:dyDescent="0.2">
      <c r="A59" s="1118">
        <v>3</v>
      </c>
      <c r="B59" s="1220" t="s">
        <v>67</v>
      </c>
      <c r="C59" s="1206" t="s">
        <v>140</v>
      </c>
      <c r="D59" s="1207">
        <v>2022</v>
      </c>
      <c r="E59" s="1118" t="s">
        <v>115</v>
      </c>
      <c r="F59" s="1132">
        <v>6000</v>
      </c>
      <c r="G59" s="1132">
        <v>3300</v>
      </c>
      <c r="H59" s="1132">
        <v>6000</v>
      </c>
      <c r="I59" s="1132"/>
      <c r="J59" s="1133">
        <v>3300</v>
      </c>
      <c r="K59" s="1133">
        <v>3300</v>
      </c>
      <c r="L59" s="1217">
        <f t="shared" si="20"/>
        <v>0</v>
      </c>
      <c r="M59" s="1166"/>
      <c r="N59" s="1133"/>
      <c r="O59" s="982"/>
      <c r="P59" s="1013"/>
      <c r="Q59" s="1013"/>
      <c r="R59" s="1014"/>
      <c r="S59" s="955"/>
      <c r="V59" s="400"/>
      <c r="W59" s="1016"/>
      <c r="X59" s="1017"/>
      <c r="Y59" s="1018"/>
      <c r="Z59" s="661"/>
      <c r="AA59" s="1017"/>
      <c r="AB59" s="1017"/>
      <c r="AC59" s="1017"/>
      <c r="AD59" s="1019"/>
      <c r="AE59" s="1019"/>
      <c r="AF59" s="1017"/>
      <c r="AG59" s="1020"/>
      <c r="AH59" s="1017"/>
      <c r="AI59" s="1017"/>
      <c r="AJ59" s="1017"/>
      <c r="AK59" s="1017"/>
      <c r="AL59" s="1017"/>
      <c r="AM59" s="1017"/>
    </row>
    <row r="60" spans="1:39" s="1015" customFormat="1" ht="20.100000000000001" customHeight="1" x14ac:dyDescent="0.2">
      <c r="A60" s="1124" t="s">
        <v>585</v>
      </c>
      <c r="B60" s="1219" t="s">
        <v>417</v>
      </c>
      <c r="C60" s="1126"/>
      <c r="D60" s="1213"/>
      <c r="E60" s="1124"/>
      <c r="F60" s="1178">
        <f>SUM(F61:F64)</f>
        <v>27170</v>
      </c>
      <c r="G60" s="1178">
        <f t="shared" ref="G60:L60" si="22">SUM(G61:G64)</f>
        <v>11730</v>
      </c>
      <c r="H60" s="1178">
        <f t="shared" si="22"/>
        <v>14205.083000000001</v>
      </c>
      <c r="I60" s="1178">
        <f t="shared" si="22"/>
        <v>3727</v>
      </c>
      <c r="J60" s="1178">
        <f t="shared" si="22"/>
        <v>10130</v>
      </c>
      <c r="K60" s="1178">
        <f t="shared" si="22"/>
        <v>8580</v>
      </c>
      <c r="L60" s="1178">
        <f t="shared" si="22"/>
        <v>1600</v>
      </c>
      <c r="M60" s="1215">
        <f>J60/G60*100</f>
        <v>86.359761295822679</v>
      </c>
      <c r="N60" s="1178"/>
      <c r="O60" s="982"/>
      <c r="P60" s="1013"/>
      <c r="Q60" s="1013"/>
      <c r="R60" s="1014"/>
      <c r="S60" s="955"/>
      <c r="V60" s="400"/>
      <c r="W60" s="1016"/>
      <c r="X60" s="1017"/>
      <c r="Y60" s="1018"/>
      <c r="Z60" s="661"/>
      <c r="AA60" s="1017"/>
      <c r="AB60" s="1017"/>
      <c r="AC60" s="1017"/>
      <c r="AD60" s="1019"/>
      <c r="AE60" s="1019"/>
      <c r="AF60" s="1017"/>
      <c r="AG60" s="1020"/>
      <c r="AH60" s="1017"/>
      <c r="AI60" s="1017"/>
      <c r="AJ60" s="1017"/>
      <c r="AK60" s="1017"/>
      <c r="AL60" s="1017"/>
      <c r="AM60" s="1017"/>
    </row>
    <row r="61" spans="1:39" s="1015" customFormat="1" ht="35.1" customHeight="1" x14ac:dyDescent="0.2">
      <c r="A61" s="1118">
        <v>1</v>
      </c>
      <c r="B61" s="1220" t="s">
        <v>68</v>
      </c>
      <c r="C61" s="1206" t="s">
        <v>140</v>
      </c>
      <c r="D61" s="1207">
        <v>2022</v>
      </c>
      <c r="E61" s="1118" t="s">
        <v>116</v>
      </c>
      <c r="F61" s="1132">
        <v>20000</v>
      </c>
      <c r="G61" s="1132">
        <v>9000</v>
      </c>
      <c r="H61" s="1132">
        <v>11728</v>
      </c>
      <c r="I61" s="1132">
        <v>1728</v>
      </c>
      <c r="J61" s="1133">
        <v>9000</v>
      </c>
      <c r="K61" s="1133">
        <v>7450</v>
      </c>
      <c r="L61" s="1217">
        <f t="shared" si="20"/>
        <v>0</v>
      </c>
      <c r="M61" s="1166"/>
      <c r="N61" s="1133"/>
      <c r="O61" s="982"/>
      <c r="P61" s="1013"/>
      <c r="Q61" s="1013"/>
      <c r="R61" s="1014"/>
      <c r="S61" s="955"/>
      <c r="V61" s="400"/>
      <c r="W61" s="1016"/>
      <c r="X61" s="1017"/>
      <c r="Y61" s="1018"/>
      <c r="Z61" s="661"/>
      <c r="AA61" s="1017"/>
      <c r="AB61" s="1017"/>
      <c r="AC61" s="1017"/>
      <c r="AD61" s="1019"/>
      <c r="AE61" s="1019"/>
      <c r="AF61" s="1017"/>
      <c r="AG61" s="1020"/>
      <c r="AH61" s="1017"/>
      <c r="AI61" s="1017"/>
      <c r="AJ61" s="1017"/>
      <c r="AK61" s="1017"/>
      <c r="AL61" s="1017"/>
      <c r="AM61" s="1017"/>
    </row>
    <row r="62" spans="1:39" s="1015" customFormat="1" ht="35.1" customHeight="1" x14ac:dyDescent="0.2">
      <c r="A62" s="1118">
        <v>2</v>
      </c>
      <c r="B62" s="1220" t="s">
        <v>446</v>
      </c>
      <c r="C62" s="1206" t="s">
        <v>226</v>
      </c>
      <c r="D62" s="1207" t="s">
        <v>179</v>
      </c>
      <c r="E62" s="1118" t="s">
        <v>448</v>
      </c>
      <c r="F62" s="1132">
        <v>5000</v>
      </c>
      <c r="G62" s="1132">
        <v>1600</v>
      </c>
      <c r="H62" s="1132">
        <v>460</v>
      </c>
      <c r="I62" s="1132">
        <v>90</v>
      </c>
      <c r="J62" s="1133">
        <v>0</v>
      </c>
      <c r="K62" s="1133"/>
      <c r="L62" s="1217">
        <f t="shared" si="20"/>
        <v>1600</v>
      </c>
      <c r="M62" s="1166"/>
      <c r="N62" s="1133"/>
      <c r="O62" s="982"/>
      <c r="P62" s="1013"/>
      <c r="Q62" s="1013"/>
      <c r="R62" s="1014"/>
      <c r="S62" s="955"/>
      <c r="V62" s="400"/>
      <c r="W62" s="1016"/>
      <c r="X62" s="1017"/>
      <c r="Y62" s="1018"/>
      <c r="Z62" s="661"/>
      <c r="AA62" s="1017"/>
      <c r="AB62" s="1017"/>
      <c r="AC62" s="1017"/>
      <c r="AD62" s="1019"/>
      <c r="AE62" s="1019"/>
      <c r="AF62" s="1017"/>
      <c r="AG62" s="1020"/>
      <c r="AH62" s="1017"/>
      <c r="AI62" s="1017"/>
      <c r="AJ62" s="1017"/>
      <c r="AK62" s="1017"/>
      <c r="AL62" s="1017"/>
      <c r="AM62" s="1017"/>
    </row>
    <row r="63" spans="1:39" s="1015" customFormat="1" ht="35.1" customHeight="1" x14ac:dyDescent="0.2">
      <c r="A63" s="1118">
        <v>3</v>
      </c>
      <c r="B63" s="1220" t="s">
        <v>406</v>
      </c>
      <c r="C63" s="1206" t="s">
        <v>141</v>
      </c>
      <c r="D63" s="1207" t="s">
        <v>179</v>
      </c>
      <c r="E63" s="1118" t="s">
        <v>407</v>
      </c>
      <c r="F63" s="1132">
        <v>1800</v>
      </c>
      <c r="G63" s="1132">
        <v>900</v>
      </c>
      <c r="H63" s="1132">
        <v>1687.0829999999999</v>
      </c>
      <c r="I63" s="1132">
        <v>1579</v>
      </c>
      <c r="J63" s="1133">
        <v>900</v>
      </c>
      <c r="K63" s="1133">
        <v>900</v>
      </c>
      <c r="L63" s="1217">
        <f t="shared" si="20"/>
        <v>0</v>
      </c>
      <c r="M63" s="1166"/>
      <c r="N63" s="1133"/>
      <c r="O63" s="982"/>
      <c r="P63" s="1013"/>
      <c r="Q63" s="1013"/>
      <c r="R63" s="1014"/>
      <c r="S63" s="955"/>
      <c r="V63" s="400"/>
      <c r="W63" s="1016"/>
      <c r="X63" s="1017"/>
      <c r="Y63" s="1018"/>
      <c r="Z63" s="661"/>
      <c r="AA63" s="1017"/>
      <c r="AB63" s="1017"/>
      <c r="AC63" s="1017"/>
      <c r="AD63" s="1019"/>
      <c r="AE63" s="1019"/>
      <c r="AF63" s="1017"/>
      <c r="AG63" s="1020"/>
      <c r="AH63" s="1017"/>
      <c r="AI63" s="1017"/>
      <c r="AJ63" s="1017"/>
      <c r="AK63" s="1017"/>
      <c r="AL63" s="1017"/>
      <c r="AM63" s="1017"/>
    </row>
    <row r="64" spans="1:39" s="1015" customFormat="1" ht="50.1" customHeight="1" x14ac:dyDescent="0.2">
      <c r="A64" s="1118">
        <v>4</v>
      </c>
      <c r="B64" s="1220" t="s">
        <v>447</v>
      </c>
      <c r="C64" s="1206" t="s">
        <v>226</v>
      </c>
      <c r="D64" s="1207" t="s">
        <v>179</v>
      </c>
      <c r="E64" s="1118" t="s">
        <v>451</v>
      </c>
      <c r="F64" s="1132">
        <v>370</v>
      </c>
      <c r="G64" s="1132">
        <v>230</v>
      </c>
      <c r="H64" s="1132">
        <v>330</v>
      </c>
      <c r="I64" s="1132">
        <v>330</v>
      </c>
      <c r="J64" s="1133">
        <v>230</v>
      </c>
      <c r="K64" s="1133">
        <v>230</v>
      </c>
      <c r="L64" s="1217">
        <f t="shared" si="20"/>
        <v>0</v>
      </c>
      <c r="M64" s="1166"/>
      <c r="N64" s="1133"/>
      <c r="O64" s="982"/>
      <c r="P64" s="1013"/>
      <c r="Q64" s="1013"/>
      <c r="R64" s="1014"/>
      <c r="S64" s="955"/>
      <c r="V64" s="400"/>
      <c r="W64" s="1016"/>
      <c r="X64" s="1017"/>
      <c r="Y64" s="1018"/>
      <c r="Z64" s="661"/>
      <c r="AA64" s="1017"/>
      <c r="AB64" s="1017"/>
      <c r="AC64" s="1017"/>
      <c r="AD64" s="1019"/>
      <c r="AE64" s="1019"/>
      <c r="AF64" s="1017"/>
      <c r="AG64" s="1020"/>
      <c r="AH64" s="1017"/>
      <c r="AI64" s="1017"/>
      <c r="AJ64" s="1017"/>
      <c r="AK64" s="1017"/>
      <c r="AL64" s="1017"/>
      <c r="AM64" s="1017"/>
    </row>
    <row r="65" spans="1:39" s="1015" customFormat="1" ht="20.100000000000001" customHeight="1" x14ac:dyDescent="0.2">
      <c r="A65" s="1116" t="s">
        <v>669</v>
      </c>
      <c r="B65" s="1218" t="s">
        <v>453</v>
      </c>
      <c r="C65" s="1206"/>
      <c r="D65" s="1207"/>
      <c r="E65" s="1118"/>
      <c r="F65" s="1210">
        <f>F66+F68</f>
        <v>13952</v>
      </c>
      <c r="G65" s="1210">
        <f t="shared" ref="G65:L65" si="23">G66+G68</f>
        <v>6616</v>
      </c>
      <c r="H65" s="1210">
        <f t="shared" si="23"/>
        <v>6929</v>
      </c>
      <c r="I65" s="1210">
        <f t="shared" si="23"/>
        <v>3400</v>
      </c>
      <c r="J65" s="1210">
        <f t="shared" si="23"/>
        <v>5589.5409999999993</v>
      </c>
      <c r="K65" s="1210">
        <f t="shared" si="23"/>
        <v>4786.3500000000004</v>
      </c>
      <c r="L65" s="1210">
        <f t="shared" si="23"/>
        <v>1026.4590000000003</v>
      </c>
      <c r="M65" s="1212">
        <f>J65/G65*100</f>
        <v>84.485202539298655</v>
      </c>
      <c r="N65" s="1210"/>
      <c r="O65" s="982"/>
      <c r="P65" s="1013"/>
      <c r="Q65" s="1013"/>
      <c r="R65" s="1014"/>
      <c r="S65" s="955"/>
      <c r="V65" s="400"/>
      <c r="W65" s="1016"/>
      <c r="X65" s="1017"/>
      <c r="Y65" s="1018"/>
      <c r="Z65" s="661"/>
      <c r="AA65" s="1017"/>
      <c r="AB65" s="1017"/>
      <c r="AC65" s="1017"/>
      <c r="AD65" s="1019"/>
      <c r="AE65" s="1019"/>
      <c r="AF65" s="1017"/>
      <c r="AG65" s="1020"/>
      <c r="AH65" s="1017"/>
      <c r="AI65" s="1017"/>
      <c r="AJ65" s="1017"/>
      <c r="AK65" s="1017"/>
      <c r="AL65" s="1017"/>
      <c r="AM65" s="1017"/>
    </row>
    <row r="66" spans="1:39" s="1021" customFormat="1" ht="35.1" customHeight="1" x14ac:dyDescent="0.2">
      <c r="A66" s="1124"/>
      <c r="B66" s="1219" t="s">
        <v>430</v>
      </c>
      <c r="C66" s="1126"/>
      <c r="D66" s="1213"/>
      <c r="E66" s="1124"/>
      <c r="F66" s="1178">
        <f>SUM(F67)</f>
        <v>7752</v>
      </c>
      <c r="G66" s="1178">
        <f t="shared" ref="G66:L66" si="24">SUM(G67)</f>
        <v>3644</v>
      </c>
      <c r="H66" s="1178">
        <f t="shared" si="24"/>
        <v>4549</v>
      </c>
      <c r="I66" s="1178">
        <f t="shared" si="24"/>
        <v>1500</v>
      </c>
      <c r="J66" s="1178">
        <f t="shared" si="24"/>
        <v>3638.0739999999996</v>
      </c>
      <c r="K66" s="1178">
        <f t="shared" si="24"/>
        <v>3584.8829999999998</v>
      </c>
      <c r="L66" s="1178">
        <f t="shared" si="24"/>
        <v>5.9260000000003856</v>
      </c>
      <c r="M66" s="1145"/>
      <c r="N66" s="1128"/>
      <c r="O66" s="1125"/>
      <c r="R66" s="1022"/>
      <c r="S66" s="1023"/>
      <c r="V66" s="644"/>
      <c r="W66" s="1024"/>
      <c r="X66" s="1025"/>
      <c r="Y66" s="1026"/>
      <c r="Z66" s="1027"/>
      <c r="AA66" s="1025"/>
      <c r="AB66" s="1025"/>
      <c r="AC66" s="1025"/>
      <c r="AD66" s="1026"/>
      <c r="AE66" s="1026"/>
      <c r="AF66" s="1025"/>
      <c r="AG66" s="1025"/>
      <c r="AH66" s="1025"/>
      <c r="AI66" s="1025"/>
      <c r="AJ66" s="1025"/>
      <c r="AK66" s="1025"/>
      <c r="AL66" s="1025"/>
      <c r="AM66" s="1025"/>
    </row>
    <row r="67" spans="1:39" s="1015" customFormat="1" ht="60" x14ac:dyDescent="0.2">
      <c r="A67" s="1118">
        <v>1</v>
      </c>
      <c r="B67" s="1220" t="s">
        <v>246</v>
      </c>
      <c r="C67" s="1206" t="s">
        <v>429</v>
      </c>
      <c r="D67" s="1207" t="s">
        <v>179</v>
      </c>
      <c r="E67" s="1118" t="s">
        <v>251</v>
      </c>
      <c r="F67" s="1132">
        <v>7752</v>
      </c>
      <c r="G67" s="1132">
        <v>3644</v>
      </c>
      <c r="H67" s="1132">
        <v>4549</v>
      </c>
      <c r="I67" s="1132">
        <v>1500</v>
      </c>
      <c r="J67" s="1133">
        <v>3638.0739999999996</v>
      </c>
      <c r="K67" s="1133">
        <v>3584.8829999999998</v>
      </c>
      <c r="L67" s="1217">
        <f t="shared" ref="L67:L70" si="25">G67-J67</f>
        <v>5.9260000000003856</v>
      </c>
      <c r="M67" s="1166"/>
      <c r="N67" s="1133"/>
      <c r="O67" s="982"/>
      <c r="P67" s="1013"/>
      <c r="Q67" s="1013"/>
      <c r="R67" s="1014"/>
      <c r="S67" s="955"/>
      <c r="V67" s="400"/>
      <c r="W67" s="1016"/>
      <c r="X67" s="1017"/>
      <c r="Y67" s="1018"/>
      <c r="Z67" s="661"/>
      <c r="AA67" s="1017"/>
      <c r="AB67" s="1017"/>
      <c r="AC67" s="1017"/>
      <c r="AD67" s="1019"/>
      <c r="AE67" s="1019"/>
      <c r="AF67" s="1017"/>
      <c r="AG67" s="1020"/>
      <c r="AH67" s="1017"/>
      <c r="AI67" s="1017"/>
      <c r="AJ67" s="1017"/>
      <c r="AK67" s="1017"/>
      <c r="AL67" s="1017"/>
      <c r="AM67" s="1017"/>
    </row>
    <row r="68" spans="1:39" s="1021" customFormat="1" ht="35.1" customHeight="1" x14ac:dyDescent="0.2">
      <c r="A68" s="1124"/>
      <c r="B68" s="1219" t="s">
        <v>431</v>
      </c>
      <c r="C68" s="1126"/>
      <c r="D68" s="1213"/>
      <c r="E68" s="1124"/>
      <c r="F68" s="1178">
        <f>SUM(F69:F70)</f>
        <v>6200</v>
      </c>
      <c r="G68" s="1178">
        <f t="shared" ref="G68:L68" si="26">SUM(G69:G70)</f>
        <v>2972</v>
      </c>
      <c r="H68" s="1178">
        <f t="shared" si="26"/>
        <v>2380</v>
      </c>
      <c r="I68" s="1178">
        <f t="shared" si="26"/>
        <v>1900</v>
      </c>
      <c r="J68" s="1178">
        <f t="shared" si="26"/>
        <v>1951.4670000000001</v>
      </c>
      <c r="K68" s="1178">
        <f t="shared" si="26"/>
        <v>1201.4670000000001</v>
      </c>
      <c r="L68" s="1178">
        <f t="shared" si="26"/>
        <v>1020.533</v>
      </c>
      <c r="M68" s="1145"/>
      <c r="N68" s="1128"/>
      <c r="O68" s="1125"/>
      <c r="R68" s="1022"/>
      <c r="S68" s="1023"/>
      <c r="V68" s="644"/>
      <c r="W68" s="1024"/>
      <c r="X68" s="1025"/>
      <c r="Y68" s="1026"/>
      <c r="Z68" s="1027"/>
      <c r="AA68" s="1025"/>
      <c r="AB68" s="1025"/>
      <c r="AC68" s="1025"/>
      <c r="AD68" s="1026"/>
      <c r="AE68" s="1026"/>
      <c r="AF68" s="1025"/>
      <c r="AG68" s="1025"/>
      <c r="AH68" s="1025"/>
      <c r="AI68" s="1025"/>
      <c r="AJ68" s="1025"/>
      <c r="AK68" s="1025"/>
      <c r="AL68" s="1025"/>
      <c r="AM68" s="1025"/>
    </row>
    <row r="69" spans="1:39" s="1015" customFormat="1" ht="35.1" customHeight="1" x14ac:dyDescent="0.2">
      <c r="A69" s="1118">
        <v>1</v>
      </c>
      <c r="B69" s="1220" t="s">
        <v>244</v>
      </c>
      <c r="C69" s="1206" t="s">
        <v>145</v>
      </c>
      <c r="D69" s="1207" t="s">
        <v>179</v>
      </c>
      <c r="E69" s="1118" t="s">
        <v>249</v>
      </c>
      <c r="F69" s="1132">
        <v>4650</v>
      </c>
      <c r="G69" s="1132">
        <v>2229</v>
      </c>
      <c r="H69" s="1132">
        <v>1430</v>
      </c>
      <c r="I69" s="1132">
        <v>1100</v>
      </c>
      <c r="J69" s="1133">
        <v>1213.799</v>
      </c>
      <c r="K69" s="1133">
        <v>673.79899999999998</v>
      </c>
      <c r="L69" s="1217">
        <f t="shared" si="25"/>
        <v>1015.201</v>
      </c>
      <c r="M69" s="1166"/>
      <c r="N69" s="1133"/>
      <c r="O69" s="982"/>
      <c r="P69" s="1013"/>
      <c r="Q69" s="1013"/>
      <c r="R69" s="1014"/>
      <c r="S69" s="955"/>
      <c r="V69" s="400"/>
      <c r="W69" s="1016"/>
      <c r="X69" s="1017"/>
      <c r="Y69" s="1018"/>
      <c r="Z69" s="661"/>
      <c r="AA69" s="1017"/>
      <c r="AB69" s="1017"/>
      <c r="AC69" s="1017"/>
      <c r="AD69" s="1019"/>
      <c r="AE69" s="1019"/>
      <c r="AF69" s="1017"/>
      <c r="AG69" s="1020"/>
      <c r="AH69" s="1017"/>
      <c r="AI69" s="1017"/>
      <c r="AJ69" s="1017"/>
      <c r="AK69" s="1017"/>
      <c r="AL69" s="1017"/>
      <c r="AM69" s="1017"/>
    </row>
    <row r="70" spans="1:39" s="1015" customFormat="1" ht="35.1" customHeight="1" x14ac:dyDescent="0.2">
      <c r="A70" s="1118">
        <v>2</v>
      </c>
      <c r="B70" s="1220" t="s">
        <v>245</v>
      </c>
      <c r="C70" s="1206" t="s">
        <v>145</v>
      </c>
      <c r="D70" s="1207" t="s">
        <v>179</v>
      </c>
      <c r="E70" s="1118" t="s">
        <v>250</v>
      </c>
      <c r="F70" s="1132">
        <v>1550</v>
      </c>
      <c r="G70" s="1132">
        <v>743</v>
      </c>
      <c r="H70" s="1132">
        <v>950</v>
      </c>
      <c r="I70" s="1132">
        <v>800</v>
      </c>
      <c r="J70" s="1133">
        <v>737.66800000000001</v>
      </c>
      <c r="K70" s="1133">
        <v>527.66800000000001</v>
      </c>
      <c r="L70" s="1217">
        <f t="shared" si="25"/>
        <v>5.3319999999999936</v>
      </c>
      <c r="M70" s="1166"/>
      <c r="N70" s="1133"/>
      <c r="O70" s="982"/>
      <c r="P70" s="1013"/>
      <c r="Q70" s="1013"/>
      <c r="R70" s="1014"/>
      <c r="S70" s="955"/>
      <c r="V70" s="400"/>
      <c r="W70" s="1016"/>
      <c r="X70" s="1017"/>
      <c r="Y70" s="1018"/>
      <c r="Z70" s="661"/>
      <c r="AA70" s="1017"/>
      <c r="AB70" s="1017"/>
      <c r="AC70" s="1017"/>
      <c r="AD70" s="1019"/>
      <c r="AE70" s="1019"/>
      <c r="AF70" s="1017"/>
      <c r="AG70" s="1020"/>
      <c r="AH70" s="1017"/>
      <c r="AI70" s="1017"/>
      <c r="AJ70" s="1017"/>
      <c r="AK70" s="1017"/>
      <c r="AL70" s="1017"/>
      <c r="AM70" s="1017"/>
    </row>
    <row r="71" spans="1:39" s="1015" customFormat="1" ht="20.100000000000001" customHeight="1" x14ac:dyDescent="0.2">
      <c r="A71" s="1116" t="s">
        <v>76</v>
      </c>
      <c r="B71" s="1218" t="s">
        <v>69</v>
      </c>
      <c r="C71" s="1206"/>
      <c r="D71" s="1207"/>
      <c r="E71" s="1118"/>
      <c r="F71" s="1119">
        <f>F72+F75</f>
        <v>34330</v>
      </c>
      <c r="G71" s="1119">
        <f t="shared" ref="G71:L71" si="27">G72+G75</f>
        <v>12800</v>
      </c>
      <c r="H71" s="1119">
        <f t="shared" si="27"/>
        <v>19269</v>
      </c>
      <c r="I71" s="1119">
        <f t="shared" si="27"/>
        <v>2200</v>
      </c>
      <c r="J71" s="1119">
        <f t="shared" si="27"/>
        <v>1200</v>
      </c>
      <c r="K71" s="1119">
        <f t="shared" si="27"/>
        <v>1200</v>
      </c>
      <c r="L71" s="1119">
        <f t="shared" si="27"/>
        <v>11543</v>
      </c>
      <c r="M71" s="1212">
        <f>J71/G71*100</f>
        <v>9.375</v>
      </c>
      <c r="N71" s="1210"/>
      <c r="O71" s="982"/>
      <c r="P71" s="1013"/>
      <c r="Q71" s="1013"/>
      <c r="R71" s="1014"/>
      <c r="S71" s="955"/>
      <c r="V71" s="400"/>
      <c r="W71" s="1016"/>
      <c r="X71" s="1017"/>
      <c r="Y71" s="1018"/>
      <c r="Z71" s="661"/>
      <c r="AA71" s="1017"/>
      <c r="AB71" s="1017"/>
      <c r="AC71" s="1017"/>
      <c r="AD71" s="1019"/>
      <c r="AE71" s="1019"/>
      <c r="AF71" s="1017"/>
      <c r="AG71" s="1020"/>
      <c r="AH71" s="1017"/>
      <c r="AI71" s="1017"/>
      <c r="AJ71" s="1017"/>
      <c r="AK71" s="1017"/>
      <c r="AL71" s="1017"/>
      <c r="AM71" s="1017"/>
    </row>
    <row r="72" spans="1:39" s="1021" customFormat="1" ht="35.1" customHeight="1" x14ac:dyDescent="0.2">
      <c r="A72" s="1124" t="s">
        <v>670</v>
      </c>
      <c r="B72" s="1219" t="s">
        <v>454</v>
      </c>
      <c r="C72" s="1126"/>
      <c r="D72" s="1213"/>
      <c r="E72" s="1124"/>
      <c r="F72" s="1127">
        <f>F73</f>
        <v>28000</v>
      </c>
      <c r="G72" s="1127">
        <f t="shared" ref="G72:L72" si="28">G73</f>
        <v>10543</v>
      </c>
      <c r="H72" s="1127">
        <f t="shared" si="28"/>
        <v>15119</v>
      </c>
      <c r="I72" s="1127">
        <f t="shared" si="28"/>
        <v>0</v>
      </c>
      <c r="J72" s="1127">
        <f t="shared" si="28"/>
        <v>0</v>
      </c>
      <c r="K72" s="1127">
        <f t="shared" si="28"/>
        <v>0</v>
      </c>
      <c r="L72" s="1127">
        <f t="shared" si="28"/>
        <v>10543</v>
      </c>
      <c r="M72" s="1145"/>
      <c r="N72" s="1128"/>
      <c r="O72" s="1125"/>
      <c r="R72" s="1022"/>
      <c r="S72" s="1023"/>
      <c r="V72" s="644"/>
      <c r="W72" s="1024"/>
      <c r="X72" s="1025"/>
      <c r="Y72" s="1026"/>
      <c r="Z72" s="1027"/>
      <c r="AA72" s="1025"/>
      <c r="AB72" s="1025"/>
      <c r="AC72" s="1025"/>
      <c r="AD72" s="1026"/>
      <c r="AE72" s="1026"/>
      <c r="AF72" s="1025"/>
      <c r="AG72" s="1025"/>
      <c r="AH72" s="1025"/>
      <c r="AI72" s="1025"/>
      <c r="AJ72" s="1025"/>
      <c r="AK72" s="1025"/>
      <c r="AL72" s="1025"/>
      <c r="AM72" s="1025"/>
    </row>
    <row r="73" spans="1:39" s="1015" customFormat="1" ht="20.100000000000001" customHeight="1" x14ac:dyDescent="0.2">
      <c r="A73" s="1116"/>
      <c r="B73" s="1218" t="s">
        <v>455</v>
      </c>
      <c r="C73" s="1122"/>
      <c r="D73" s="1211"/>
      <c r="E73" s="1116"/>
      <c r="F73" s="1119">
        <f>SUM(F74)</f>
        <v>28000</v>
      </c>
      <c r="G73" s="1119">
        <f t="shared" ref="G73:L73" si="29">SUM(G74)</f>
        <v>10543</v>
      </c>
      <c r="H73" s="1119">
        <f t="shared" si="29"/>
        <v>15119</v>
      </c>
      <c r="I73" s="1119">
        <f t="shared" si="29"/>
        <v>0</v>
      </c>
      <c r="J73" s="1119">
        <f t="shared" si="29"/>
        <v>0</v>
      </c>
      <c r="K73" s="1119">
        <f t="shared" si="29"/>
        <v>0</v>
      </c>
      <c r="L73" s="1119">
        <f t="shared" si="29"/>
        <v>10543</v>
      </c>
      <c r="M73" s="1123"/>
      <c r="N73" s="1185"/>
      <c r="O73" s="990"/>
      <c r="R73" s="1028"/>
      <c r="S73" s="1029"/>
      <c r="V73" s="638"/>
      <c r="W73" s="1030"/>
      <c r="X73" s="1017"/>
      <c r="Y73" s="1018"/>
      <c r="Z73" s="1031"/>
      <c r="AA73" s="1017"/>
      <c r="AB73" s="1017"/>
      <c r="AC73" s="1017"/>
      <c r="AD73" s="1018"/>
      <c r="AE73" s="1018"/>
      <c r="AF73" s="1017"/>
      <c r="AG73" s="1017"/>
      <c r="AH73" s="1017"/>
      <c r="AI73" s="1017"/>
      <c r="AJ73" s="1017"/>
      <c r="AK73" s="1017"/>
      <c r="AL73" s="1017"/>
      <c r="AM73" s="1017"/>
    </row>
    <row r="74" spans="1:39" s="1015" customFormat="1" ht="35.1" customHeight="1" x14ac:dyDescent="0.2">
      <c r="A74" s="1118">
        <v>1</v>
      </c>
      <c r="B74" s="1220" t="s">
        <v>80</v>
      </c>
      <c r="C74" s="1206" t="s">
        <v>140</v>
      </c>
      <c r="D74" s="1207">
        <v>2022</v>
      </c>
      <c r="E74" s="1118" t="s">
        <v>81</v>
      </c>
      <c r="F74" s="1132">
        <v>28000</v>
      </c>
      <c r="G74" s="1132">
        <v>10543</v>
      </c>
      <c r="H74" s="1132">
        <v>15119</v>
      </c>
      <c r="I74" s="1132"/>
      <c r="J74" s="1133"/>
      <c r="K74" s="1133"/>
      <c r="L74" s="1168">
        <f t="shared" ref="L74" si="30">G74-J74</f>
        <v>10543</v>
      </c>
      <c r="M74" s="1166"/>
      <c r="N74" s="1133"/>
      <c r="O74" s="982"/>
      <c r="P74" s="1013"/>
      <c r="Q74" s="1013"/>
      <c r="R74" s="1014"/>
      <c r="S74" s="955"/>
      <c r="V74" s="400"/>
      <c r="W74" s="1016"/>
      <c r="X74" s="1017"/>
      <c r="Y74" s="1018"/>
      <c r="Z74" s="661"/>
      <c r="AA74" s="1017"/>
      <c r="AB74" s="1017"/>
      <c r="AC74" s="1017"/>
      <c r="AD74" s="1019"/>
      <c r="AE74" s="1019"/>
      <c r="AF74" s="1017"/>
      <c r="AG74" s="1020"/>
      <c r="AH74" s="1017"/>
      <c r="AI74" s="1017"/>
      <c r="AJ74" s="1017"/>
      <c r="AK74" s="1017"/>
      <c r="AL74" s="1017"/>
      <c r="AM74" s="1017"/>
    </row>
    <row r="75" spans="1:39" s="1021" customFormat="1" ht="20.100000000000001" customHeight="1" x14ac:dyDescent="0.2">
      <c r="A75" s="1124" t="s">
        <v>671</v>
      </c>
      <c r="B75" s="1219" t="s">
        <v>456</v>
      </c>
      <c r="C75" s="1126"/>
      <c r="D75" s="1213"/>
      <c r="E75" s="1124"/>
      <c r="F75" s="1127">
        <f>F76+F78</f>
        <v>6330</v>
      </c>
      <c r="G75" s="1127">
        <f t="shared" ref="G75:L75" si="31">G76+G78</f>
        <v>2257</v>
      </c>
      <c r="H75" s="1127">
        <f t="shared" si="31"/>
        <v>4150</v>
      </c>
      <c r="I75" s="1127">
        <f t="shared" si="31"/>
        <v>2200</v>
      </c>
      <c r="J75" s="1127">
        <f t="shared" si="31"/>
        <v>1200</v>
      </c>
      <c r="K75" s="1127">
        <f t="shared" si="31"/>
        <v>1200</v>
      </c>
      <c r="L75" s="1127">
        <f t="shared" si="31"/>
        <v>1000</v>
      </c>
      <c r="M75" s="1145"/>
      <c r="N75" s="1128"/>
      <c r="O75" s="1125"/>
      <c r="R75" s="1022"/>
      <c r="S75" s="1023"/>
      <c r="V75" s="644"/>
      <c r="W75" s="1024"/>
      <c r="X75" s="1025"/>
      <c r="Y75" s="1026"/>
      <c r="Z75" s="1027"/>
      <c r="AA75" s="1025"/>
      <c r="AB75" s="1025"/>
      <c r="AC75" s="1025"/>
      <c r="AD75" s="1026"/>
      <c r="AE75" s="1026"/>
      <c r="AF75" s="1025"/>
      <c r="AG75" s="1025"/>
      <c r="AH75" s="1025"/>
      <c r="AI75" s="1025"/>
      <c r="AJ75" s="1025"/>
      <c r="AK75" s="1025"/>
      <c r="AL75" s="1025"/>
      <c r="AM75" s="1025"/>
    </row>
    <row r="76" spans="1:39" s="1015" customFormat="1" ht="20.100000000000001" customHeight="1" x14ac:dyDescent="0.2">
      <c r="A76" s="1116" t="s">
        <v>28</v>
      </c>
      <c r="B76" s="1218" t="s">
        <v>457</v>
      </c>
      <c r="C76" s="1122"/>
      <c r="D76" s="1211"/>
      <c r="E76" s="1116"/>
      <c r="F76" s="1210">
        <f>SUM(F77)</f>
        <v>830</v>
      </c>
      <c r="G76" s="1210">
        <f t="shared" ref="G76:K76" si="32">SUM(G77)</f>
        <v>57</v>
      </c>
      <c r="H76" s="1210">
        <f t="shared" si="32"/>
        <v>0</v>
      </c>
      <c r="I76" s="1210">
        <f t="shared" si="32"/>
        <v>0</v>
      </c>
      <c r="J76" s="1210">
        <f t="shared" si="32"/>
        <v>0</v>
      </c>
      <c r="K76" s="1210">
        <f t="shared" si="32"/>
        <v>0</v>
      </c>
      <c r="L76" s="1210"/>
      <c r="M76" s="1123"/>
      <c r="N76" s="1185"/>
      <c r="O76" s="990"/>
      <c r="R76" s="1028"/>
      <c r="S76" s="1029"/>
      <c r="V76" s="638"/>
      <c r="W76" s="1030"/>
      <c r="X76" s="1017"/>
      <c r="Y76" s="1018"/>
      <c r="Z76" s="1031"/>
      <c r="AA76" s="1017"/>
      <c r="AB76" s="1017"/>
      <c r="AC76" s="1017"/>
      <c r="AD76" s="1018"/>
      <c r="AE76" s="1018"/>
      <c r="AF76" s="1017"/>
      <c r="AG76" s="1017"/>
      <c r="AH76" s="1017"/>
      <c r="AI76" s="1017"/>
      <c r="AJ76" s="1017"/>
      <c r="AK76" s="1017"/>
      <c r="AL76" s="1017"/>
      <c r="AM76" s="1017"/>
    </row>
    <row r="77" spans="1:39" s="1015" customFormat="1" ht="35.1" customHeight="1" x14ac:dyDescent="0.2">
      <c r="A77" s="1118" t="s">
        <v>458</v>
      </c>
      <c r="B77" s="1220" t="s">
        <v>459</v>
      </c>
      <c r="C77" s="1206" t="s">
        <v>139</v>
      </c>
      <c r="D77" s="1207"/>
      <c r="E77" s="1118" t="s">
        <v>460</v>
      </c>
      <c r="F77" s="1132">
        <v>830</v>
      </c>
      <c r="G77" s="1132">
        <v>57</v>
      </c>
      <c r="H77" s="1132"/>
      <c r="I77" s="1132"/>
      <c r="J77" s="1133"/>
      <c r="K77" s="1133"/>
      <c r="L77" s="1217">
        <f t="shared" ref="L77:L80" si="33">G77-J77</f>
        <v>57</v>
      </c>
      <c r="M77" s="1166"/>
      <c r="N77" s="1133"/>
      <c r="O77" s="982"/>
      <c r="P77" s="1013"/>
      <c r="Q77" s="1013"/>
      <c r="R77" s="1014"/>
      <c r="S77" s="955"/>
      <c r="V77" s="400"/>
      <c r="W77" s="1016"/>
      <c r="X77" s="1017"/>
      <c r="Y77" s="1018"/>
      <c r="Z77" s="661"/>
      <c r="AA77" s="1017"/>
      <c r="AB77" s="1017"/>
      <c r="AC77" s="1017"/>
      <c r="AD77" s="1019"/>
      <c r="AE77" s="1019"/>
      <c r="AF77" s="1017"/>
      <c r="AG77" s="1020"/>
      <c r="AH77" s="1017"/>
      <c r="AI77" s="1017"/>
      <c r="AJ77" s="1017"/>
      <c r="AK77" s="1017"/>
      <c r="AL77" s="1017"/>
      <c r="AM77" s="1017"/>
    </row>
    <row r="78" spans="1:39" s="1015" customFormat="1" ht="20.100000000000001" customHeight="1" x14ac:dyDescent="0.2">
      <c r="A78" s="1116" t="s">
        <v>30</v>
      </c>
      <c r="B78" s="1218" t="s">
        <v>37</v>
      </c>
      <c r="C78" s="1122"/>
      <c r="D78" s="1211"/>
      <c r="E78" s="1116"/>
      <c r="F78" s="1119">
        <f>SUM(F79:F80)</f>
        <v>5500</v>
      </c>
      <c r="G78" s="1119">
        <f t="shared" ref="G78:L78" si="34">SUM(G79:G80)</f>
        <v>2200</v>
      </c>
      <c r="H78" s="1119">
        <f t="shared" si="34"/>
        <v>4150</v>
      </c>
      <c r="I78" s="1119">
        <f t="shared" si="34"/>
        <v>2200</v>
      </c>
      <c r="J78" s="1119">
        <f t="shared" si="34"/>
        <v>1200</v>
      </c>
      <c r="K78" s="1119">
        <f t="shared" si="34"/>
        <v>1200</v>
      </c>
      <c r="L78" s="1119">
        <f t="shared" si="34"/>
        <v>1000</v>
      </c>
      <c r="M78" s="1212">
        <f>J78/G78*100</f>
        <v>54.54545454545454</v>
      </c>
      <c r="N78" s="1133"/>
      <c r="O78" s="990"/>
      <c r="R78" s="1028"/>
      <c r="S78" s="1029"/>
      <c r="V78" s="638"/>
      <c r="W78" s="1030"/>
      <c r="X78" s="1017"/>
      <c r="Y78" s="1018"/>
      <c r="Z78" s="1031"/>
      <c r="AA78" s="1017"/>
      <c r="AB78" s="1017"/>
      <c r="AC78" s="1017"/>
      <c r="AD78" s="1018"/>
      <c r="AE78" s="1018"/>
      <c r="AF78" s="1017"/>
      <c r="AG78" s="1017"/>
      <c r="AH78" s="1017"/>
      <c r="AI78" s="1017"/>
      <c r="AJ78" s="1017"/>
      <c r="AK78" s="1017"/>
      <c r="AL78" s="1017"/>
      <c r="AM78" s="1017"/>
    </row>
    <row r="79" spans="1:39" s="1015" customFormat="1" ht="35.1" customHeight="1" x14ac:dyDescent="0.2">
      <c r="A79" s="1118">
        <v>1</v>
      </c>
      <c r="B79" s="1220" t="s">
        <v>252</v>
      </c>
      <c r="C79" s="1206" t="s">
        <v>146</v>
      </c>
      <c r="D79" s="1207" t="s">
        <v>179</v>
      </c>
      <c r="E79" s="1118" t="s">
        <v>264</v>
      </c>
      <c r="F79" s="1132">
        <v>3000</v>
      </c>
      <c r="G79" s="1132">
        <v>1400</v>
      </c>
      <c r="H79" s="1132">
        <v>2450</v>
      </c>
      <c r="I79" s="1132">
        <v>1100</v>
      </c>
      <c r="J79" s="1133">
        <v>1200</v>
      </c>
      <c r="K79" s="1133">
        <v>1200</v>
      </c>
      <c r="L79" s="1217">
        <f t="shared" si="33"/>
        <v>200</v>
      </c>
      <c r="M79" s="1166"/>
      <c r="N79" s="1133"/>
      <c r="O79" s="982"/>
      <c r="P79" s="1013"/>
      <c r="Q79" s="1013"/>
      <c r="R79" s="1014"/>
      <c r="S79" s="955"/>
      <c r="V79" s="400"/>
      <c r="W79" s="1016"/>
      <c r="X79" s="1017"/>
      <c r="Y79" s="1018"/>
      <c r="Z79" s="661"/>
      <c r="AA79" s="1017"/>
      <c r="AB79" s="1017"/>
      <c r="AC79" s="1017"/>
      <c r="AD79" s="1019"/>
      <c r="AE79" s="1019"/>
      <c r="AF79" s="1017"/>
      <c r="AG79" s="1020"/>
      <c r="AH79" s="1017"/>
      <c r="AI79" s="1017"/>
      <c r="AJ79" s="1017"/>
      <c r="AK79" s="1017"/>
      <c r="AL79" s="1017"/>
      <c r="AM79" s="1017"/>
    </row>
    <row r="80" spans="1:39" s="1015" customFormat="1" ht="35.1" customHeight="1" x14ac:dyDescent="0.2">
      <c r="A80" s="1118">
        <v>2</v>
      </c>
      <c r="B80" s="1220" t="s">
        <v>253</v>
      </c>
      <c r="C80" s="1206" t="s">
        <v>146</v>
      </c>
      <c r="D80" s="1207" t="s">
        <v>179</v>
      </c>
      <c r="E80" s="1118" t="s">
        <v>265</v>
      </c>
      <c r="F80" s="1132">
        <v>2500</v>
      </c>
      <c r="G80" s="1132">
        <v>800</v>
      </c>
      <c r="H80" s="1132">
        <v>1700</v>
      </c>
      <c r="I80" s="1132">
        <v>1100</v>
      </c>
      <c r="J80" s="1133"/>
      <c r="K80" s="1133"/>
      <c r="L80" s="1217">
        <f t="shared" si="33"/>
        <v>800</v>
      </c>
      <c r="M80" s="1166"/>
      <c r="N80" s="1133"/>
      <c r="O80" s="982"/>
      <c r="P80" s="1013"/>
      <c r="Q80" s="1013"/>
      <c r="R80" s="1014"/>
      <c r="S80" s="955"/>
      <c r="V80" s="400"/>
      <c r="W80" s="1016"/>
      <c r="X80" s="1017"/>
      <c r="Y80" s="1018"/>
      <c r="Z80" s="661"/>
      <c r="AA80" s="1017"/>
      <c r="AB80" s="1017"/>
      <c r="AC80" s="1017"/>
      <c r="AD80" s="1019"/>
      <c r="AE80" s="1019"/>
      <c r="AF80" s="1017"/>
      <c r="AG80" s="1020"/>
      <c r="AH80" s="1017"/>
      <c r="AI80" s="1017"/>
      <c r="AJ80" s="1017"/>
      <c r="AK80" s="1017"/>
      <c r="AL80" s="1017"/>
      <c r="AM80" s="1017"/>
    </row>
    <row r="81" spans="1:46" s="939" customFormat="1" ht="15" x14ac:dyDescent="0.2">
      <c r="A81" s="941"/>
      <c r="B81" s="916"/>
      <c r="C81" s="1032"/>
      <c r="D81" s="1033"/>
      <c r="E81" s="941"/>
      <c r="F81" s="126"/>
      <c r="G81" s="126"/>
      <c r="H81" s="126"/>
      <c r="I81" s="126"/>
      <c r="J81" s="741"/>
      <c r="K81" s="741"/>
      <c r="L81" s="741"/>
      <c r="M81" s="741"/>
      <c r="N81" s="741"/>
      <c r="O81" s="916"/>
      <c r="P81" s="1001"/>
      <c r="Q81" s="1001"/>
      <c r="R81" s="912"/>
      <c r="S81" s="955"/>
      <c r="V81" s="137"/>
      <c r="W81" s="944"/>
      <c r="X81" s="938"/>
      <c r="Y81" s="1008"/>
      <c r="Z81" s="661"/>
      <c r="AA81" s="938"/>
      <c r="AB81" s="938"/>
      <c r="AC81" s="938"/>
      <c r="AD81" s="915"/>
      <c r="AE81" s="915"/>
      <c r="AF81" s="938"/>
      <c r="AG81" s="914"/>
      <c r="AH81" s="938"/>
      <c r="AI81" s="938"/>
      <c r="AJ81" s="938"/>
      <c r="AK81" s="938"/>
      <c r="AL81" s="938"/>
      <c r="AM81" s="938"/>
    </row>
    <row r="82" spans="1:46" ht="13.5" hidden="1" x14ac:dyDescent="0.2">
      <c r="A82" s="1034"/>
      <c r="B82" s="1034"/>
      <c r="C82" s="1035"/>
      <c r="D82" s="1035"/>
      <c r="J82" s="942"/>
      <c r="K82" s="942"/>
      <c r="L82" s="942"/>
      <c r="P82" s="1001"/>
      <c r="Q82" s="1001"/>
    </row>
    <row r="83" spans="1:46" hidden="1" x14ac:dyDescent="0.2">
      <c r="A83" s="1036"/>
      <c r="B83" s="1037" t="s">
        <v>405</v>
      </c>
      <c r="C83" s="1037"/>
      <c r="D83" s="1037"/>
      <c r="E83" s="1037"/>
      <c r="F83" s="1038">
        <f>SUM(F84:F101)</f>
        <v>519000</v>
      </c>
      <c r="G83" s="1038"/>
      <c r="H83" s="1038"/>
      <c r="I83" s="1038"/>
      <c r="J83" s="1038">
        <f t="shared" ref="J83" si="35">SUM(J84:K101)</f>
        <v>75244.322</v>
      </c>
      <c r="K83" s="1038">
        <f>SUM(K84:K101)</f>
        <v>37622.161</v>
      </c>
      <c r="L83" s="1038"/>
      <c r="M83" s="1039" t="e">
        <f>J83/#REF!*100</f>
        <v>#REF!</v>
      </c>
      <c r="N83" s="1039"/>
      <c r="O83" s="1037"/>
      <c r="P83" s="1040"/>
      <c r="Q83" s="1041"/>
      <c r="R83" s="1042"/>
      <c r="S83" s="1038">
        <f>SUM(S84:S101)</f>
        <v>4</v>
      </c>
    </row>
    <row r="84" spans="1:46" hidden="1" x14ac:dyDescent="0.2">
      <c r="A84" s="1043">
        <v>1</v>
      </c>
      <c r="B84" s="1044" t="s">
        <v>268</v>
      </c>
      <c r="C84" s="1045"/>
      <c r="D84" s="1045"/>
      <c r="E84" s="1046"/>
      <c r="F84" s="101">
        <f t="shared" ref="F84:F101" si="36">SUMIF($S$10:$S$17,B84,$F$10:$F$17)</f>
        <v>519000</v>
      </c>
      <c r="G84" s="101"/>
      <c r="H84" s="101"/>
      <c r="I84" s="101"/>
      <c r="J84" s="101">
        <f t="shared" ref="J84:J101" si="37">SUMIF($S$10:$S$17,B84,$J$10:$J$17)</f>
        <v>37622.161</v>
      </c>
      <c r="K84" s="101">
        <f t="shared" ref="K84:K101" si="38">SUMIF($S$10:$S$17,B84,$K$10:$K$17)</f>
        <v>37622.161</v>
      </c>
      <c r="L84" s="101"/>
      <c r="M84" s="1047" t="e">
        <f>J84/#REF!*100</f>
        <v>#REF!</v>
      </c>
      <c r="N84" s="1047"/>
      <c r="O84" s="1046"/>
      <c r="P84" s="1048"/>
      <c r="R84" s="1049"/>
      <c r="S84" s="169">
        <f t="shared" ref="S84:S101" si="39">COUNTIF($S$9:$S$17,B84)</f>
        <v>4</v>
      </c>
    </row>
    <row r="85" spans="1:46" hidden="1" x14ac:dyDescent="0.2">
      <c r="A85" s="1043">
        <v>2</v>
      </c>
      <c r="B85" s="1046" t="s">
        <v>404</v>
      </c>
      <c r="C85" s="1045"/>
      <c r="D85" s="1045"/>
      <c r="E85" s="1046"/>
      <c r="F85" s="101">
        <f t="shared" si="36"/>
        <v>0</v>
      </c>
      <c r="G85" s="101"/>
      <c r="H85" s="101"/>
      <c r="I85" s="101"/>
      <c r="J85" s="101">
        <f t="shared" si="37"/>
        <v>0</v>
      </c>
      <c r="K85" s="101">
        <f t="shared" si="38"/>
        <v>0</v>
      </c>
      <c r="L85" s="101"/>
      <c r="M85" s="1047" t="e">
        <f>J85/#REF!*100</f>
        <v>#REF!</v>
      </c>
      <c r="N85" s="1047"/>
      <c r="O85" s="1046"/>
      <c r="P85" s="1048"/>
      <c r="R85" s="1049"/>
      <c r="S85" s="169">
        <f t="shared" si="39"/>
        <v>0</v>
      </c>
    </row>
    <row r="86" spans="1:46" hidden="1" x14ac:dyDescent="0.2">
      <c r="A86" s="1043">
        <v>3</v>
      </c>
      <c r="B86" s="916" t="s">
        <v>403</v>
      </c>
      <c r="C86" s="1045"/>
      <c r="D86" s="1045"/>
      <c r="E86" s="1046"/>
      <c r="F86" s="101">
        <f t="shared" si="36"/>
        <v>0</v>
      </c>
      <c r="G86" s="101"/>
      <c r="H86" s="101"/>
      <c r="I86" s="101"/>
      <c r="J86" s="101">
        <f t="shared" si="37"/>
        <v>0</v>
      </c>
      <c r="K86" s="101">
        <f t="shared" si="38"/>
        <v>0</v>
      </c>
      <c r="L86" s="101"/>
      <c r="M86" s="1047" t="e">
        <f>J86/#REF!*100</f>
        <v>#REF!</v>
      </c>
      <c r="N86" s="1047"/>
      <c r="O86" s="1046"/>
      <c r="P86" s="1048"/>
      <c r="R86" s="1049"/>
      <c r="S86" s="169">
        <f t="shared" si="39"/>
        <v>0</v>
      </c>
    </row>
    <row r="87" spans="1:46" hidden="1" x14ac:dyDescent="0.2">
      <c r="A87" s="1043">
        <v>4</v>
      </c>
      <c r="B87" s="91" t="s">
        <v>353</v>
      </c>
      <c r="C87" s="1045"/>
      <c r="D87" s="1045"/>
      <c r="E87" s="1046"/>
      <c r="F87" s="101">
        <f t="shared" si="36"/>
        <v>0</v>
      </c>
      <c r="G87" s="101"/>
      <c r="H87" s="101"/>
      <c r="I87" s="101"/>
      <c r="J87" s="101">
        <f t="shared" si="37"/>
        <v>0</v>
      </c>
      <c r="K87" s="101">
        <f t="shared" si="38"/>
        <v>0</v>
      </c>
      <c r="L87" s="101"/>
      <c r="M87" s="1047" t="e">
        <f>J87/#REF!*100</f>
        <v>#REF!</v>
      </c>
      <c r="N87" s="1047"/>
      <c r="O87" s="1046"/>
      <c r="P87" s="1048"/>
      <c r="R87" s="1049"/>
      <c r="S87" s="169">
        <f t="shared" si="39"/>
        <v>0</v>
      </c>
    </row>
    <row r="88" spans="1:46" hidden="1" x14ac:dyDescent="0.2">
      <c r="A88" s="1043">
        <v>5</v>
      </c>
      <c r="B88" s="91" t="s">
        <v>274</v>
      </c>
      <c r="C88" s="1045"/>
      <c r="D88" s="1045"/>
      <c r="E88" s="1046"/>
      <c r="F88" s="101">
        <f t="shared" si="36"/>
        <v>0</v>
      </c>
      <c r="G88" s="101"/>
      <c r="H88" s="101"/>
      <c r="I88" s="101"/>
      <c r="J88" s="101">
        <f t="shared" si="37"/>
        <v>0</v>
      </c>
      <c r="K88" s="101">
        <f t="shared" si="38"/>
        <v>0</v>
      </c>
      <c r="L88" s="101"/>
      <c r="M88" s="1047" t="e">
        <f>J88/#REF!*100</f>
        <v>#REF!</v>
      </c>
      <c r="N88" s="1047"/>
      <c r="O88" s="1046"/>
      <c r="P88" s="1048"/>
      <c r="R88" s="1049"/>
      <c r="S88" s="169">
        <f t="shared" si="39"/>
        <v>0</v>
      </c>
    </row>
    <row r="89" spans="1:46" s="914" customFormat="1" hidden="1" x14ac:dyDescent="0.2">
      <c r="A89" s="1043">
        <v>6</v>
      </c>
      <c r="B89" s="91" t="s">
        <v>279</v>
      </c>
      <c r="C89" s="1045"/>
      <c r="D89" s="1045"/>
      <c r="E89" s="1046"/>
      <c r="F89" s="101">
        <f t="shared" si="36"/>
        <v>0</v>
      </c>
      <c r="G89" s="101"/>
      <c r="H89" s="101"/>
      <c r="I89" s="101"/>
      <c r="J89" s="101">
        <f t="shared" si="37"/>
        <v>0</v>
      </c>
      <c r="K89" s="101">
        <f t="shared" si="38"/>
        <v>0</v>
      </c>
      <c r="L89" s="101"/>
      <c r="M89" s="1047" t="e">
        <f>J89/#REF!*100</f>
        <v>#REF!</v>
      </c>
      <c r="N89" s="1047"/>
      <c r="O89" s="1046"/>
      <c r="P89" s="1048"/>
      <c r="Q89" s="916"/>
      <c r="R89" s="1049"/>
      <c r="S89" s="169">
        <f t="shared" si="39"/>
        <v>0</v>
      </c>
      <c r="T89" s="916"/>
      <c r="U89" s="916"/>
      <c r="V89" s="916"/>
      <c r="W89" s="916"/>
      <c r="AN89" s="916"/>
      <c r="AO89" s="916"/>
      <c r="AP89" s="916"/>
      <c r="AQ89" s="916"/>
      <c r="AR89" s="916"/>
      <c r="AS89" s="916"/>
      <c r="AT89" s="916"/>
    </row>
    <row r="90" spans="1:46" s="914" customFormat="1" hidden="1" x14ac:dyDescent="0.2">
      <c r="A90" s="1043">
        <v>7</v>
      </c>
      <c r="B90" s="91" t="s">
        <v>277</v>
      </c>
      <c r="C90" s="1045"/>
      <c r="D90" s="1045"/>
      <c r="E90" s="1046"/>
      <c r="F90" s="101">
        <f t="shared" si="36"/>
        <v>0</v>
      </c>
      <c r="G90" s="101"/>
      <c r="H90" s="101"/>
      <c r="I90" s="101"/>
      <c r="J90" s="101">
        <f t="shared" si="37"/>
        <v>0</v>
      </c>
      <c r="K90" s="101">
        <f t="shared" si="38"/>
        <v>0</v>
      </c>
      <c r="L90" s="101"/>
      <c r="M90" s="1047" t="e">
        <f>J90/#REF!*100</f>
        <v>#REF!</v>
      </c>
      <c r="N90" s="1047"/>
      <c r="O90" s="1046"/>
      <c r="P90" s="1048"/>
      <c r="Q90" s="916"/>
      <c r="R90" s="1049"/>
      <c r="S90" s="169">
        <f t="shared" si="39"/>
        <v>0</v>
      </c>
      <c r="T90" s="916"/>
      <c r="U90" s="916"/>
      <c r="V90" s="916">
        <v>7</v>
      </c>
      <c r="W90" s="944" t="e">
        <f>#REF!</f>
        <v>#REF!</v>
      </c>
      <c r="AN90" s="916"/>
      <c r="AO90" s="916"/>
      <c r="AP90" s="916"/>
      <c r="AQ90" s="916"/>
      <c r="AR90" s="916"/>
      <c r="AS90" s="916"/>
      <c r="AT90" s="916"/>
    </row>
    <row r="91" spans="1:46" s="914" customFormat="1" hidden="1" x14ac:dyDescent="0.2">
      <c r="A91" s="1043">
        <v>8</v>
      </c>
      <c r="B91" s="91" t="s">
        <v>270</v>
      </c>
      <c r="C91" s="1045"/>
      <c r="D91" s="1045"/>
      <c r="E91" s="1046"/>
      <c r="F91" s="101">
        <f t="shared" si="36"/>
        <v>0</v>
      </c>
      <c r="G91" s="101"/>
      <c r="H91" s="101"/>
      <c r="I91" s="101"/>
      <c r="J91" s="101">
        <f t="shared" si="37"/>
        <v>0</v>
      </c>
      <c r="K91" s="101">
        <f t="shared" si="38"/>
        <v>0</v>
      </c>
      <c r="L91" s="101"/>
      <c r="M91" s="1047" t="e">
        <f>J91/#REF!*100</f>
        <v>#REF!</v>
      </c>
      <c r="N91" s="1047"/>
      <c r="O91" s="1046"/>
      <c r="P91" s="1048"/>
      <c r="Q91" s="916"/>
      <c r="R91" s="1049"/>
      <c r="S91" s="169">
        <f t="shared" si="39"/>
        <v>0</v>
      </c>
      <c r="T91" s="916"/>
      <c r="U91" s="916"/>
      <c r="V91" s="916"/>
      <c r="W91" s="944"/>
      <c r="AN91" s="916"/>
      <c r="AO91" s="916"/>
      <c r="AP91" s="916"/>
      <c r="AQ91" s="916"/>
      <c r="AR91" s="916"/>
      <c r="AS91" s="916"/>
      <c r="AT91" s="916"/>
    </row>
    <row r="92" spans="1:46" s="914" customFormat="1" hidden="1" x14ac:dyDescent="0.2">
      <c r="A92" s="1043">
        <v>9</v>
      </c>
      <c r="B92" s="93" t="s">
        <v>276</v>
      </c>
      <c r="C92" s="1045"/>
      <c r="D92" s="1045"/>
      <c r="E92" s="1046"/>
      <c r="F92" s="101">
        <f t="shared" si="36"/>
        <v>0</v>
      </c>
      <c r="G92" s="101"/>
      <c r="H92" s="101"/>
      <c r="I92" s="101"/>
      <c r="J92" s="101">
        <f t="shared" si="37"/>
        <v>0</v>
      </c>
      <c r="K92" s="101">
        <f t="shared" si="38"/>
        <v>0</v>
      </c>
      <c r="L92" s="101"/>
      <c r="M92" s="1047" t="e">
        <f>J92/#REF!*100</f>
        <v>#REF!</v>
      </c>
      <c r="N92" s="1047"/>
      <c r="O92" s="1046"/>
      <c r="P92" s="1048"/>
      <c r="Q92" s="916"/>
      <c r="R92" s="1049"/>
      <c r="S92" s="169">
        <f t="shared" si="39"/>
        <v>0</v>
      </c>
      <c r="T92" s="916"/>
      <c r="U92" s="916"/>
      <c r="V92" s="916"/>
      <c r="W92" s="916"/>
      <c r="AN92" s="916"/>
      <c r="AO92" s="916"/>
      <c r="AP92" s="916"/>
      <c r="AQ92" s="916"/>
      <c r="AR92" s="916"/>
      <c r="AS92" s="916"/>
      <c r="AT92" s="916"/>
    </row>
    <row r="93" spans="1:46" s="914" customFormat="1" hidden="1" x14ac:dyDescent="0.2">
      <c r="A93" s="1043">
        <v>10</v>
      </c>
      <c r="B93" s="91" t="s">
        <v>352</v>
      </c>
      <c r="C93" s="1045"/>
      <c r="D93" s="1045"/>
      <c r="E93" s="1046"/>
      <c r="F93" s="101">
        <f t="shared" si="36"/>
        <v>0</v>
      </c>
      <c r="G93" s="101"/>
      <c r="H93" s="101"/>
      <c r="I93" s="101"/>
      <c r="J93" s="101">
        <f t="shared" si="37"/>
        <v>0</v>
      </c>
      <c r="K93" s="101">
        <f t="shared" si="38"/>
        <v>0</v>
      </c>
      <c r="L93" s="101"/>
      <c r="M93" s="1047" t="e">
        <f>J93/#REF!*100</f>
        <v>#REF!</v>
      </c>
      <c r="N93" s="1047"/>
      <c r="O93" s="1046"/>
      <c r="P93" s="1048"/>
      <c r="Q93" s="916"/>
      <c r="R93" s="1049"/>
      <c r="S93" s="169">
        <f t="shared" si="39"/>
        <v>0</v>
      </c>
      <c r="T93" s="916"/>
      <c r="U93" s="916"/>
      <c r="V93" s="916"/>
      <c r="W93" s="916"/>
      <c r="AN93" s="916"/>
      <c r="AO93" s="916"/>
      <c r="AP93" s="916"/>
      <c r="AQ93" s="916"/>
      <c r="AR93" s="916"/>
      <c r="AS93" s="916"/>
      <c r="AT93" s="916"/>
    </row>
    <row r="94" spans="1:46" s="914" customFormat="1" hidden="1" x14ac:dyDescent="0.2">
      <c r="A94" s="1043">
        <v>11</v>
      </c>
      <c r="B94" s="91" t="s">
        <v>280</v>
      </c>
      <c r="C94" s="1045"/>
      <c r="D94" s="1045"/>
      <c r="E94" s="1046"/>
      <c r="F94" s="101">
        <f t="shared" si="36"/>
        <v>0</v>
      </c>
      <c r="G94" s="101"/>
      <c r="H94" s="101"/>
      <c r="I94" s="101"/>
      <c r="J94" s="101">
        <f t="shared" si="37"/>
        <v>0</v>
      </c>
      <c r="K94" s="101">
        <f t="shared" si="38"/>
        <v>0</v>
      </c>
      <c r="L94" s="101"/>
      <c r="M94" s="1047" t="e">
        <f>J94/#REF!*100</f>
        <v>#REF!</v>
      </c>
      <c r="N94" s="1047"/>
      <c r="O94" s="1046"/>
      <c r="P94" s="1048"/>
      <c r="Q94" s="916"/>
      <c r="R94" s="1049"/>
      <c r="S94" s="169">
        <f t="shared" si="39"/>
        <v>0</v>
      </c>
      <c r="T94" s="916"/>
      <c r="U94" s="916"/>
      <c r="V94" s="916"/>
      <c r="W94" s="916"/>
      <c r="AN94" s="916"/>
      <c r="AO94" s="916"/>
      <c r="AP94" s="916"/>
      <c r="AQ94" s="916"/>
      <c r="AR94" s="916"/>
      <c r="AS94" s="916"/>
      <c r="AT94" s="916"/>
    </row>
    <row r="95" spans="1:46" s="914" customFormat="1" hidden="1" x14ac:dyDescent="0.2">
      <c r="A95" s="1043">
        <v>12</v>
      </c>
      <c r="B95" s="91" t="s">
        <v>272</v>
      </c>
      <c r="C95" s="1045"/>
      <c r="D95" s="1045"/>
      <c r="E95" s="1046"/>
      <c r="F95" s="101">
        <f t="shared" si="36"/>
        <v>0</v>
      </c>
      <c r="G95" s="101"/>
      <c r="H95" s="101"/>
      <c r="I95" s="101"/>
      <c r="J95" s="101">
        <f t="shared" si="37"/>
        <v>0</v>
      </c>
      <c r="K95" s="101">
        <f t="shared" si="38"/>
        <v>0</v>
      </c>
      <c r="L95" s="101"/>
      <c r="M95" s="1047" t="e">
        <f>J95/#REF!*100</f>
        <v>#REF!</v>
      </c>
      <c r="N95" s="1047"/>
      <c r="O95" s="1046"/>
      <c r="P95" s="1048"/>
      <c r="Q95" s="916"/>
      <c r="R95" s="1049"/>
      <c r="S95" s="169">
        <f t="shared" si="39"/>
        <v>0</v>
      </c>
      <c r="T95" s="916"/>
      <c r="U95" s="916"/>
      <c r="V95" s="916">
        <v>3</v>
      </c>
      <c r="W95" s="944" t="e">
        <f>#REF!</f>
        <v>#REF!</v>
      </c>
      <c r="AN95" s="916"/>
      <c r="AO95" s="916"/>
      <c r="AP95" s="916"/>
      <c r="AQ95" s="916"/>
      <c r="AR95" s="916"/>
      <c r="AS95" s="916"/>
      <c r="AT95" s="916"/>
    </row>
    <row r="96" spans="1:46" s="914" customFormat="1" hidden="1" x14ac:dyDescent="0.2">
      <c r="A96" s="1043">
        <v>13</v>
      </c>
      <c r="B96" s="91" t="s">
        <v>278</v>
      </c>
      <c r="C96" s="1045"/>
      <c r="D96" s="1045"/>
      <c r="E96" s="1046"/>
      <c r="F96" s="101">
        <f t="shared" si="36"/>
        <v>0</v>
      </c>
      <c r="G96" s="101"/>
      <c r="H96" s="101"/>
      <c r="I96" s="101"/>
      <c r="J96" s="101">
        <f t="shared" si="37"/>
        <v>0</v>
      </c>
      <c r="K96" s="101">
        <f t="shared" si="38"/>
        <v>0</v>
      </c>
      <c r="L96" s="101"/>
      <c r="M96" s="1047" t="e">
        <f>J96/#REF!*100</f>
        <v>#REF!</v>
      </c>
      <c r="N96" s="1047"/>
      <c r="O96" s="1046"/>
      <c r="P96" s="1048"/>
      <c r="Q96" s="916"/>
      <c r="R96" s="1049"/>
      <c r="S96" s="169">
        <f t="shared" si="39"/>
        <v>0</v>
      </c>
      <c r="T96" s="916"/>
      <c r="U96" s="916"/>
      <c r="V96" s="916"/>
      <c r="W96" s="916"/>
      <c r="AN96" s="916"/>
      <c r="AO96" s="916"/>
      <c r="AP96" s="916"/>
      <c r="AQ96" s="916"/>
      <c r="AR96" s="916"/>
      <c r="AS96" s="916"/>
      <c r="AT96" s="916"/>
    </row>
    <row r="97" spans="1:46" s="914" customFormat="1" hidden="1" x14ac:dyDescent="0.2">
      <c r="A97" s="1043">
        <v>14</v>
      </c>
      <c r="B97" s="91" t="s">
        <v>271</v>
      </c>
      <c r="C97" s="1045"/>
      <c r="D97" s="1045"/>
      <c r="E97" s="1046"/>
      <c r="F97" s="101">
        <f t="shared" si="36"/>
        <v>0</v>
      </c>
      <c r="G97" s="101"/>
      <c r="H97" s="101"/>
      <c r="I97" s="101"/>
      <c r="J97" s="101">
        <f t="shared" si="37"/>
        <v>0</v>
      </c>
      <c r="K97" s="101">
        <f t="shared" si="38"/>
        <v>0</v>
      </c>
      <c r="L97" s="101"/>
      <c r="M97" s="1047" t="e">
        <f>J97/#REF!*100</f>
        <v>#REF!</v>
      </c>
      <c r="N97" s="1047"/>
      <c r="O97" s="1046"/>
      <c r="P97" s="1048"/>
      <c r="Q97" s="916"/>
      <c r="R97" s="1049"/>
      <c r="S97" s="169">
        <f t="shared" si="39"/>
        <v>0</v>
      </c>
      <c r="T97" s="916"/>
      <c r="U97" s="916"/>
      <c r="V97" s="916">
        <v>5</v>
      </c>
      <c r="W97" s="944" t="e">
        <f>#REF!</f>
        <v>#REF!</v>
      </c>
      <c r="AN97" s="916"/>
      <c r="AO97" s="916"/>
      <c r="AP97" s="916"/>
      <c r="AQ97" s="916"/>
      <c r="AR97" s="916"/>
      <c r="AS97" s="916"/>
      <c r="AT97" s="916"/>
    </row>
    <row r="98" spans="1:46" s="914" customFormat="1" hidden="1" x14ac:dyDescent="0.2">
      <c r="A98" s="1043">
        <v>15</v>
      </c>
      <c r="B98" s="91" t="s">
        <v>269</v>
      </c>
      <c r="C98" s="1045"/>
      <c r="D98" s="1045"/>
      <c r="E98" s="1046"/>
      <c r="F98" s="101">
        <f t="shared" si="36"/>
        <v>0</v>
      </c>
      <c r="G98" s="101"/>
      <c r="H98" s="101"/>
      <c r="I98" s="101"/>
      <c r="J98" s="101">
        <f t="shared" si="37"/>
        <v>0</v>
      </c>
      <c r="K98" s="101">
        <f t="shared" si="38"/>
        <v>0</v>
      </c>
      <c r="L98" s="101"/>
      <c r="M98" s="1047" t="e">
        <f>J98/#REF!*100</f>
        <v>#REF!</v>
      </c>
      <c r="N98" s="1047"/>
      <c r="O98" s="1046"/>
      <c r="P98" s="1048"/>
      <c r="Q98" s="916"/>
      <c r="R98" s="1049"/>
      <c r="S98" s="169">
        <f t="shared" si="39"/>
        <v>0</v>
      </c>
      <c r="T98" s="916"/>
      <c r="U98" s="916"/>
      <c r="V98" s="916">
        <v>6</v>
      </c>
      <c r="W98" s="944" t="e">
        <f>#REF!</f>
        <v>#REF!</v>
      </c>
      <c r="AN98" s="916"/>
      <c r="AO98" s="916"/>
      <c r="AP98" s="916"/>
      <c r="AQ98" s="916"/>
      <c r="AR98" s="916"/>
      <c r="AS98" s="916"/>
      <c r="AT98" s="916"/>
    </row>
    <row r="99" spans="1:46" s="914" customFormat="1" hidden="1" x14ac:dyDescent="0.2">
      <c r="A99" s="1043">
        <v>16</v>
      </c>
      <c r="B99" s="91" t="s">
        <v>275</v>
      </c>
      <c r="C99" s="1045"/>
      <c r="D99" s="1045"/>
      <c r="E99" s="1046"/>
      <c r="F99" s="101">
        <f t="shared" si="36"/>
        <v>0</v>
      </c>
      <c r="G99" s="101"/>
      <c r="H99" s="101"/>
      <c r="I99" s="101"/>
      <c r="J99" s="101">
        <f t="shared" si="37"/>
        <v>0</v>
      </c>
      <c r="K99" s="101">
        <f t="shared" si="38"/>
        <v>0</v>
      </c>
      <c r="L99" s="101"/>
      <c r="M99" s="1047" t="e">
        <f>J99/#REF!*100</f>
        <v>#REF!</v>
      </c>
      <c r="N99" s="1047"/>
      <c r="O99" s="1046"/>
      <c r="P99" s="1048"/>
      <c r="Q99" s="916"/>
      <c r="R99" s="1049"/>
      <c r="S99" s="169">
        <f t="shared" si="39"/>
        <v>0</v>
      </c>
      <c r="T99" s="916"/>
      <c r="U99" s="916"/>
      <c r="V99" s="916">
        <v>3</v>
      </c>
      <c r="W99" s="944" t="e">
        <f>#REF!</f>
        <v>#REF!</v>
      </c>
      <c r="AN99" s="916"/>
      <c r="AO99" s="916"/>
      <c r="AP99" s="916"/>
      <c r="AQ99" s="916"/>
      <c r="AR99" s="916"/>
      <c r="AS99" s="916"/>
      <c r="AT99" s="916"/>
    </row>
    <row r="100" spans="1:46" s="914" customFormat="1" hidden="1" x14ac:dyDescent="0.2">
      <c r="A100" s="1043">
        <v>17</v>
      </c>
      <c r="B100" s="91" t="s">
        <v>273</v>
      </c>
      <c r="C100" s="1045"/>
      <c r="D100" s="1045"/>
      <c r="E100" s="1046"/>
      <c r="F100" s="101">
        <f t="shared" si="36"/>
        <v>0</v>
      </c>
      <c r="G100" s="101"/>
      <c r="H100" s="101"/>
      <c r="I100" s="101"/>
      <c r="J100" s="101">
        <f t="shared" si="37"/>
        <v>0</v>
      </c>
      <c r="K100" s="101">
        <f t="shared" si="38"/>
        <v>0</v>
      </c>
      <c r="L100" s="101"/>
      <c r="M100" s="1047" t="e">
        <f>J100/#REF!*100</f>
        <v>#REF!</v>
      </c>
      <c r="N100" s="1047"/>
      <c r="O100" s="1046"/>
      <c r="P100" s="1048"/>
      <c r="Q100" s="916"/>
      <c r="R100" s="1049"/>
      <c r="S100" s="169">
        <f t="shared" si="39"/>
        <v>0</v>
      </c>
      <c r="T100" s="916"/>
      <c r="U100" s="916"/>
      <c r="V100" s="916">
        <v>4</v>
      </c>
      <c r="W100" s="944" t="e">
        <f>#REF!</f>
        <v>#REF!</v>
      </c>
      <c r="AN100" s="916"/>
      <c r="AO100" s="916"/>
      <c r="AP100" s="916"/>
      <c r="AQ100" s="916"/>
      <c r="AR100" s="916"/>
      <c r="AS100" s="916"/>
      <c r="AT100" s="916"/>
    </row>
    <row r="101" spans="1:46" s="914" customFormat="1" hidden="1" x14ac:dyDescent="0.2">
      <c r="A101" s="941"/>
      <c r="B101" s="116" t="s">
        <v>536</v>
      </c>
      <c r="C101" s="1001"/>
      <c r="D101" s="1001"/>
      <c r="E101" s="916"/>
      <c r="F101" s="101">
        <f t="shared" si="36"/>
        <v>0</v>
      </c>
      <c r="G101" s="101"/>
      <c r="H101" s="101"/>
      <c r="I101" s="101"/>
      <c r="J101" s="101">
        <f t="shared" si="37"/>
        <v>0</v>
      </c>
      <c r="K101" s="101">
        <f t="shared" si="38"/>
        <v>0</v>
      </c>
      <c r="L101" s="101"/>
      <c r="M101" s="1047" t="e">
        <f>J101/#REF!*100</f>
        <v>#REF!</v>
      </c>
      <c r="N101" s="946"/>
      <c r="O101" s="916"/>
      <c r="P101" s="916"/>
      <c r="Q101" s="916"/>
      <c r="R101" s="912"/>
      <c r="S101" s="169">
        <f t="shared" si="39"/>
        <v>0</v>
      </c>
      <c r="T101" s="916"/>
      <c r="U101" s="916"/>
      <c r="V101" s="916">
        <f>SUM(V90:V100)</f>
        <v>28</v>
      </c>
      <c r="W101" s="916"/>
      <c r="AN101" s="916"/>
      <c r="AO101" s="916"/>
      <c r="AP101" s="916"/>
      <c r="AQ101" s="916"/>
      <c r="AR101" s="916"/>
      <c r="AS101" s="916"/>
      <c r="AT101" s="916"/>
    </row>
    <row r="102" spans="1:46" s="914" customFormat="1" hidden="1" x14ac:dyDescent="0.2">
      <c r="A102" s="941"/>
      <c r="B102" s="916"/>
      <c r="C102" s="1001"/>
      <c r="D102" s="1001"/>
      <c r="E102" s="916"/>
      <c r="F102" s="916"/>
      <c r="G102" s="916"/>
      <c r="H102" s="916"/>
      <c r="I102" s="916"/>
      <c r="J102" s="943"/>
      <c r="K102" s="943"/>
      <c r="L102" s="943"/>
      <c r="M102" s="942"/>
      <c r="N102" s="942"/>
      <c r="O102" s="916"/>
      <c r="P102" s="916"/>
      <c r="Q102" s="916"/>
      <c r="R102" s="912"/>
      <c r="S102" s="916"/>
      <c r="T102" s="916"/>
      <c r="U102" s="916"/>
      <c r="V102" s="916"/>
      <c r="W102" s="916"/>
      <c r="AN102" s="916"/>
      <c r="AO102" s="916"/>
      <c r="AP102" s="916"/>
      <c r="AQ102" s="916"/>
      <c r="AR102" s="916"/>
      <c r="AS102" s="916"/>
      <c r="AT102" s="916"/>
    </row>
    <row r="103" spans="1:46" hidden="1" x14ac:dyDescent="0.2"/>
    <row r="107" spans="1:46" s="942" customFormat="1" x14ac:dyDescent="0.2">
      <c r="A107" s="916"/>
      <c r="B107" s="916"/>
      <c r="C107" s="1001"/>
      <c r="D107" s="1001"/>
      <c r="E107" s="916"/>
      <c r="F107" s="944"/>
      <c r="G107" s="944"/>
      <c r="H107" s="944"/>
      <c r="I107" s="944"/>
      <c r="J107" s="1050"/>
      <c r="K107" s="1050"/>
      <c r="L107" s="1050"/>
      <c r="O107" s="916"/>
      <c r="P107" s="916"/>
      <c r="Q107" s="916"/>
      <c r="R107" s="912"/>
      <c r="S107" s="916"/>
      <c r="T107" s="916"/>
      <c r="U107" s="916"/>
      <c r="V107" s="916"/>
      <c r="W107" s="916"/>
      <c r="X107" s="914"/>
      <c r="Y107" s="914"/>
      <c r="Z107" s="914"/>
      <c r="AA107" s="914"/>
      <c r="AB107" s="914"/>
      <c r="AC107" s="914"/>
      <c r="AD107" s="914"/>
      <c r="AE107" s="914"/>
      <c r="AF107" s="914"/>
      <c r="AG107" s="914"/>
      <c r="AH107" s="914"/>
      <c r="AI107" s="914"/>
      <c r="AJ107" s="914"/>
      <c r="AK107" s="914"/>
      <c r="AL107" s="914"/>
      <c r="AM107" s="914"/>
      <c r="AN107" s="916"/>
      <c r="AO107" s="916"/>
      <c r="AP107" s="916"/>
      <c r="AQ107" s="916"/>
      <c r="AR107" s="916"/>
      <c r="AS107" s="916"/>
      <c r="AT107" s="916"/>
    </row>
    <row r="146" spans="1:46" s="942" customFormat="1" x14ac:dyDescent="0.2">
      <c r="A146" s="916"/>
      <c r="B146" s="916"/>
      <c r="C146" s="1001"/>
      <c r="D146" s="1001"/>
      <c r="E146" s="916"/>
      <c r="F146" s="916"/>
      <c r="G146" s="944"/>
      <c r="H146" s="944"/>
      <c r="I146" s="944"/>
      <c r="J146" s="943"/>
      <c r="K146" s="943"/>
      <c r="L146" s="943"/>
      <c r="O146" s="916"/>
      <c r="P146" s="916"/>
      <c r="Q146" s="916"/>
      <c r="R146" s="912"/>
      <c r="S146" s="916"/>
      <c r="T146" s="916"/>
      <c r="U146" s="916"/>
      <c r="V146" s="916"/>
      <c r="W146" s="916"/>
      <c r="X146" s="914"/>
      <c r="Y146" s="914"/>
      <c r="Z146" s="914"/>
      <c r="AA146" s="914"/>
      <c r="AB146" s="914"/>
      <c r="AC146" s="914"/>
      <c r="AD146" s="914"/>
      <c r="AE146" s="914"/>
      <c r="AF146" s="914"/>
      <c r="AG146" s="914"/>
      <c r="AH146" s="914"/>
      <c r="AI146" s="914"/>
      <c r="AJ146" s="914"/>
      <c r="AK146" s="914"/>
      <c r="AL146" s="914"/>
      <c r="AM146" s="914"/>
      <c r="AN146" s="916"/>
      <c r="AO146" s="916"/>
      <c r="AP146" s="916"/>
      <c r="AQ146" s="916"/>
      <c r="AR146" s="916"/>
      <c r="AS146" s="916"/>
      <c r="AT146" s="916"/>
    </row>
    <row r="147" spans="1:46" s="942" customFormat="1" x14ac:dyDescent="0.2">
      <c r="A147" s="916"/>
      <c r="B147" s="916"/>
      <c r="C147" s="1001"/>
      <c r="D147" s="1001"/>
      <c r="E147" s="916"/>
      <c r="F147" s="916"/>
      <c r="G147" s="944"/>
      <c r="H147" s="944"/>
      <c r="I147" s="944"/>
      <c r="J147" s="943"/>
      <c r="K147" s="943"/>
      <c r="L147" s="943"/>
      <c r="O147" s="916"/>
      <c r="P147" s="916"/>
      <c r="Q147" s="916"/>
      <c r="R147" s="912"/>
      <c r="S147" s="916"/>
      <c r="T147" s="916"/>
      <c r="U147" s="916"/>
      <c r="V147" s="916"/>
      <c r="W147" s="916"/>
      <c r="X147" s="914"/>
      <c r="Y147" s="914"/>
      <c r="Z147" s="914"/>
      <c r="AA147" s="914"/>
      <c r="AB147" s="914"/>
      <c r="AC147" s="914"/>
      <c r="AD147" s="914"/>
      <c r="AE147" s="914"/>
      <c r="AF147" s="914"/>
      <c r="AG147" s="914"/>
      <c r="AH147" s="914"/>
      <c r="AI147" s="914"/>
      <c r="AJ147" s="914"/>
      <c r="AK147" s="914"/>
      <c r="AL147" s="914"/>
      <c r="AM147" s="914"/>
      <c r="AN147" s="916"/>
      <c r="AO147" s="916"/>
      <c r="AP147" s="916"/>
      <c r="AQ147" s="916"/>
      <c r="AR147" s="916"/>
      <c r="AS147" s="916"/>
      <c r="AT147" s="916"/>
    </row>
    <row r="148" spans="1:46" s="942" customFormat="1" x14ac:dyDescent="0.2">
      <c r="A148" s="916"/>
      <c r="B148" s="916"/>
      <c r="C148" s="1001"/>
      <c r="D148" s="1001"/>
      <c r="E148" s="916"/>
      <c r="F148" s="916"/>
      <c r="G148" s="944"/>
      <c r="H148" s="944"/>
      <c r="I148" s="944"/>
      <c r="J148" s="943">
        <v>41722</v>
      </c>
      <c r="K148" s="1051" t="e">
        <f>J148/#REF!*100</f>
        <v>#REF!</v>
      </c>
      <c r="L148" s="1051"/>
      <c r="O148" s="916"/>
      <c r="P148" s="916"/>
      <c r="Q148" s="916"/>
      <c r="R148" s="912"/>
      <c r="S148" s="916"/>
      <c r="T148" s="916"/>
      <c r="U148" s="916"/>
      <c r="V148" s="916"/>
      <c r="W148" s="916"/>
      <c r="X148" s="914"/>
      <c r="Y148" s="914"/>
      <c r="Z148" s="914"/>
      <c r="AA148" s="914"/>
      <c r="AB148" s="914"/>
      <c r="AC148" s="914"/>
      <c r="AD148" s="914"/>
      <c r="AE148" s="914"/>
      <c r="AF148" s="914"/>
      <c r="AG148" s="914"/>
      <c r="AH148" s="914"/>
      <c r="AI148" s="914"/>
      <c r="AJ148" s="914"/>
      <c r="AK148" s="914"/>
      <c r="AL148" s="914"/>
      <c r="AM148" s="914"/>
      <c r="AN148" s="916"/>
      <c r="AO148" s="916"/>
      <c r="AP148" s="916"/>
      <c r="AQ148" s="916"/>
      <c r="AR148" s="916"/>
      <c r="AS148" s="916"/>
      <c r="AT148" s="916"/>
    </row>
    <row r="150" spans="1:46" s="942" customFormat="1" x14ac:dyDescent="0.2">
      <c r="A150" s="916"/>
      <c r="B150" s="916"/>
      <c r="C150" s="1001"/>
      <c r="D150" s="1001"/>
      <c r="E150" s="916"/>
      <c r="F150" s="916"/>
      <c r="G150" s="916"/>
      <c r="H150" s="916"/>
      <c r="I150" s="916"/>
      <c r="J150" s="943"/>
      <c r="K150" s="943"/>
      <c r="L150" s="943"/>
      <c r="O150" s="916"/>
      <c r="P150" s="916"/>
      <c r="Q150" s="916"/>
      <c r="R150" s="912"/>
      <c r="S150" s="916"/>
      <c r="T150" s="916"/>
      <c r="U150" s="916"/>
      <c r="V150" s="916"/>
      <c r="W150" s="916"/>
      <c r="X150" s="914"/>
      <c r="Y150" s="914"/>
      <c r="Z150" s="914"/>
      <c r="AA150" s="914"/>
      <c r="AB150" s="914"/>
      <c r="AC150" s="914"/>
      <c r="AD150" s="914"/>
      <c r="AE150" s="914"/>
      <c r="AF150" s="914"/>
      <c r="AG150" s="914"/>
      <c r="AH150" s="914"/>
      <c r="AI150" s="914"/>
      <c r="AJ150" s="914"/>
      <c r="AK150" s="914"/>
      <c r="AL150" s="914"/>
      <c r="AM150" s="914"/>
      <c r="AN150" s="916"/>
      <c r="AO150" s="916"/>
      <c r="AP150" s="916"/>
      <c r="AQ150" s="916"/>
      <c r="AR150" s="916"/>
      <c r="AS150" s="916"/>
      <c r="AT150" s="916"/>
    </row>
  </sheetData>
  <mergeCells count="29">
    <mergeCell ref="AU7:AV7"/>
    <mergeCell ref="AL12:AM12"/>
    <mergeCell ref="A82:B82"/>
    <mergeCell ref="G5:G7"/>
    <mergeCell ref="J5:K5"/>
    <mergeCell ref="J6:J7"/>
    <mergeCell ref="M5:M7"/>
    <mergeCell ref="O5:O7"/>
    <mergeCell ref="S5:S7"/>
    <mergeCell ref="U5:U7"/>
    <mergeCell ref="E6:E7"/>
    <mergeCell ref="F6:F7"/>
    <mergeCell ref="K6:K7"/>
    <mergeCell ref="A5:A7"/>
    <mergeCell ref="B5:B7"/>
    <mergeCell ref="C5:C7"/>
    <mergeCell ref="L5:L7"/>
    <mergeCell ref="N5:N7"/>
    <mergeCell ref="N1:O1"/>
    <mergeCell ref="AP7:AQ7"/>
    <mergeCell ref="AS7:AT7"/>
    <mergeCell ref="A2:O2"/>
    <mergeCell ref="A3:O3"/>
    <mergeCell ref="D5:D7"/>
    <mergeCell ref="E5:F5"/>
    <mergeCell ref="M4:O4"/>
    <mergeCell ref="H5:I5"/>
    <mergeCell ref="H6:H7"/>
    <mergeCell ref="I6:I7"/>
  </mergeCells>
  <printOptions horizontalCentered="1"/>
  <pageMargins left="0.19685039370078741" right="0.19685039370078741" top="0.59055118110236227" bottom="0.45" header="0.31496062992125984" footer="0.27"/>
  <pageSetup paperSize="9" scale="75" orientation="landscape" r:id="rId1"/>
  <headerFoot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S212"/>
  <sheetViews>
    <sheetView zoomScale="85" zoomScaleNormal="85" zoomScaleSheetLayoutView="130" workbookViewId="0">
      <pane ySplit="7" topLeftCell="A140" activePane="bottomLeft" state="frozen"/>
      <selection pane="bottomLeft" activeCell="U143" sqref="U143"/>
    </sheetView>
  </sheetViews>
  <sheetFormatPr defaultColWidth="9.33203125" defaultRowHeight="12.75" x14ac:dyDescent="0.2"/>
  <cols>
    <col min="1" max="1" width="6.1640625" style="916" customWidth="1"/>
    <col min="2" max="2" width="50.83203125" style="916" customWidth="1"/>
    <col min="3" max="3" width="10" style="1001" customWidth="1"/>
    <col min="4" max="4" width="7.33203125" style="1001" customWidth="1"/>
    <col min="5" max="5" width="10.5" style="916" customWidth="1"/>
    <col min="6" max="8" width="10.1640625" style="916" customWidth="1"/>
    <col min="9" max="9" width="8" style="916" customWidth="1"/>
    <col min="10" max="10" width="10.83203125" style="916" customWidth="1"/>
    <col min="11" max="11" width="10.5" style="916" customWidth="1"/>
    <col min="12" max="12" width="10.83203125" style="916" customWidth="1"/>
    <col min="13" max="13" width="9.83203125" style="916" customWidth="1"/>
    <col min="14" max="14" width="9.33203125" style="916" customWidth="1"/>
    <col min="15" max="15" width="9.83203125" style="916" customWidth="1"/>
    <col min="16" max="16" width="8" style="916" customWidth="1"/>
    <col min="17" max="18" width="9" style="916" customWidth="1"/>
    <col min="19" max="19" width="7.6640625" style="916" customWidth="1"/>
    <col min="20" max="20" width="10.6640625" style="942" customWidth="1"/>
    <col min="21" max="21" width="6.33203125" style="916" customWidth="1"/>
    <col min="22" max="22" width="6.1640625" style="916" customWidth="1"/>
    <col min="23" max="23" width="20.33203125" style="916" customWidth="1"/>
    <col min="24" max="24" width="8.33203125" style="912" hidden="1" customWidth="1"/>
    <col min="25" max="25" width="17.33203125" style="916" hidden="1" customWidth="1"/>
    <col min="26" max="26" width="10.5" style="916" hidden="1" customWidth="1"/>
    <col min="27" max="27" width="23.5" style="916" customWidth="1"/>
    <col min="28" max="28" width="12" style="916" customWidth="1"/>
    <col min="29" max="29" width="11.5" style="916" customWidth="1"/>
    <col min="30" max="30" width="11.6640625" style="914" customWidth="1"/>
    <col min="31" max="32" width="9.33203125" style="914" customWidth="1"/>
    <col min="33" max="33" width="9.83203125" style="914" customWidth="1"/>
    <col min="34" max="34" width="9.33203125" style="914" customWidth="1"/>
    <col min="35" max="35" width="9.33203125" style="914"/>
    <col min="36" max="36" width="11.6640625" style="914" bestFit="1" customWidth="1"/>
    <col min="37" max="37" width="12.33203125" style="914" customWidth="1"/>
    <col min="38" max="38" width="11.1640625" style="914" bestFit="1" customWidth="1"/>
    <col min="39" max="45" width="9.33203125" style="914"/>
    <col min="46" max="16384" width="9.33203125" style="916"/>
  </cols>
  <sheetData>
    <row r="1" spans="1:45" ht="15.75" customHeight="1" x14ac:dyDescent="0.2">
      <c r="A1" s="909"/>
      <c r="B1" s="909"/>
      <c r="C1" s="909"/>
      <c r="D1" s="909"/>
      <c r="E1" s="909"/>
      <c r="F1" s="909"/>
      <c r="G1" s="909"/>
      <c r="H1" s="909"/>
      <c r="I1" s="909"/>
      <c r="J1" s="909"/>
      <c r="K1" s="909"/>
      <c r="L1" s="909"/>
      <c r="M1" s="909"/>
      <c r="N1" s="909"/>
      <c r="O1" s="909"/>
      <c r="P1" s="909"/>
      <c r="Q1" s="909"/>
      <c r="R1" s="909"/>
      <c r="S1" s="909"/>
      <c r="T1" s="1113" t="s">
        <v>887</v>
      </c>
      <c r="U1" s="1113"/>
      <c r="V1" s="911"/>
      <c r="W1" s="911"/>
      <c r="AA1" s="944"/>
    </row>
    <row r="2" spans="1:45" ht="18.600000000000001" customHeight="1" x14ac:dyDescent="0.2">
      <c r="A2" s="917" t="s">
        <v>883</v>
      </c>
      <c r="B2" s="917"/>
      <c r="C2" s="917"/>
      <c r="D2" s="917"/>
      <c r="E2" s="917"/>
      <c r="F2" s="917"/>
      <c r="G2" s="917"/>
      <c r="H2" s="917"/>
      <c r="I2" s="917"/>
      <c r="J2" s="917"/>
      <c r="K2" s="917"/>
      <c r="L2" s="917"/>
      <c r="M2" s="917"/>
      <c r="N2" s="917"/>
      <c r="O2" s="917"/>
      <c r="P2" s="917"/>
      <c r="Q2" s="917"/>
      <c r="R2" s="917"/>
      <c r="S2" s="917"/>
      <c r="T2" s="917"/>
      <c r="U2" s="917"/>
      <c r="V2" s="919"/>
      <c r="W2" s="919"/>
    </row>
    <row r="3" spans="1:45" ht="17.25" customHeight="1" x14ac:dyDescent="0.2">
      <c r="A3" s="920" t="s">
        <v>892</v>
      </c>
      <c r="B3" s="920"/>
      <c r="C3" s="920"/>
      <c r="D3" s="920"/>
      <c r="E3" s="920"/>
      <c r="F3" s="920"/>
      <c r="G3" s="920"/>
      <c r="H3" s="920"/>
      <c r="I3" s="920"/>
      <c r="J3" s="920"/>
      <c r="K3" s="920"/>
      <c r="L3" s="920"/>
      <c r="M3" s="920"/>
      <c r="N3" s="920"/>
      <c r="O3" s="920"/>
      <c r="P3" s="920"/>
      <c r="Q3" s="920"/>
      <c r="R3" s="920"/>
      <c r="S3" s="920"/>
      <c r="T3" s="920"/>
      <c r="U3" s="920"/>
      <c r="V3" s="922"/>
      <c r="W3" s="922"/>
      <c r="X3" s="923"/>
    </row>
    <row r="4" spans="1:45" ht="21.75" customHeight="1" x14ac:dyDescent="0.2">
      <c r="A4" s="924"/>
      <c r="B4" s="924"/>
      <c r="C4" s="924"/>
      <c r="D4" s="924"/>
      <c r="E4" s="924"/>
      <c r="F4" s="924"/>
      <c r="G4" s="924"/>
      <c r="H4" s="924"/>
      <c r="I4" s="924"/>
      <c r="J4" s="924"/>
      <c r="K4" s="924"/>
      <c r="L4" s="924"/>
      <c r="M4" s="924"/>
      <c r="N4" s="924"/>
      <c r="O4" s="924"/>
      <c r="P4" s="924"/>
      <c r="Q4" s="924"/>
      <c r="R4" s="924"/>
      <c r="S4" s="1204" t="s">
        <v>104</v>
      </c>
      <c r="T4" s="1204"/>
      <c r="U4" s="1204"/>
      <c r="V4" s="927"/>
      <c r="W4" s="1062" t="e">
        <f>#REF!-W6</f>
        <v>#REF!</v>
      </c>
      <c r="X4" s="923"/>
    </row>
    <row r="5" spans="1:45" ht="20.25" customHeight="1" x14ac:dyDescent="0.2">
      <c r="A5" s="1114" t="s">
        <v>890</v>
      </c>
      <c r="B5" s="1114" t="s">
        <v>85</v>
      </c>
      <c r="C5" s="1114" t="s">
        <v>133</v>
      </c>
      <c r="D5" s="1114" t="s">
        <v>135</v>
      </c>
      <c r="E5" s="1114" t="s">
        <v>86</v>
      </c>
      <c r="F5" s="1114"/>
      <c r="G5" s="1114"/>
      <c r="H5" s="1114"/>
      <c r="I5" s="1114"/>
      <c r="J5" s="1114" t="s">
        <v>676</v>
      </c>
      <c r="K5" s="1114" t="s">
        <v>414</v>
      </c>
      <c r="L5" s="1115" t="s">
        <v>731</v>
      </c>
      <c r="M5" s="1115"/>
      <c r="N5" s="1115"/>
      <c r="O5" s="1115"/>
      <c r="P5" s="1115"/>
      <c r="Q5" s="1115"/>
      <c r="R5" s="1115"/>
      <c r="S5" s="1115"/>
      <c r="T5" s="1115" t="s">
        <v>730</v>
      </c>
      <c r="U5" s="1114" t="s">
        <v>88</v>
      </c>
      <c r="V5" s="929"/>
      <c r="W5" s="859">
        <v>133704</v>
      </c>
      <c r="Y5" s="951" t="s">
        <v>267</v>
      </c>
      <c r="Z5" s="122">
        <f>92/173%</f>
        <v>53.179190751445084</v>
      </c>
      <c r="AA5" s="952" t="s">
        <v>106</v>
      </c>
    </row>
    <row r="6" spans="1:45" ht="28.5" customHeight="1" x14ac:dyDescent="0.2">
      <c r="A6" s="1114"/>
      <c r="B6" s="1114"/>
      <c r="C6" s="1114"/>
      <c r="D6" s="1114"/>
      <c r="E6" s="1114" t="s">
        <v>89</v>
      </c>
      <c r="F6" s="1114" t="s">
        <v>672</v>
      </c>
      <c r="G6" s="1114" t="s">
        <v>665</v>
      </c>
      <c r="H6" s="1114"/>
      <c r="I6" s="1114"/>
      <c r="J6" s="1114"/>
      <c r="K6" s="1114"/>
      <c r="L6" s="1115" t="s">
        <v>876</v>
      </c>
      <c r="M6" s="1115"/>
      <c r="N6" s="1115" t="s">
        <v>875</v>
      </c>
      <c r="O6" s="1115"/>
      <c r="P6" s="1115"/>
      <c r="Q6" s="1115" t="s">
        <v>729</v>
      </c>
      <c r="R6" s="1115"/>
      <c r="S6" s="1115"/>
      <c r="T6" s="1115"/>
      <c r="U6" s="1114"/>
      <c r="V6" s="929"/>
      <c r="W6" s="1063" t="e">
        <f>#REF!-W5</f>
        <v>#REF!</v>
      </c>
      <c r="Y6" s="951"/>
      <c r="AA6" s="952"/>
    </row>
    <row r="7" spans="1:45" ht="85.5" x14ac:dyDescent="0.2">
      <c r="A7" s="1114"/>
      <c r="B7" s="1114"/>
      <c r="C7" s="1114"/>
      <c r="D7" s="1114"/>
      <c r="E7" s="1114"/>
      <c r="F7" s="1114"/>
      <c r="G7" s="1116" t="s">
        <v>673</v>
      </c>
      <c r="H7" s="1116" t="s">
        <v>674</v>
      </c>
      <c r="I7" s="1116" t="s">
        <v>675</v>
      </c>
      <c r="J7" s="1114"/>
      <c r="K7" s="1114"/>
      <c r="L7" s="1117" t="s">
        <v>108</v>
      </c>
      <c r="M7" s="1117" t="s">
        <v>415</v>
      </c>
      <c r="N7" s="1117" t="s">
        <v>23</v>
      </c>
      <c r="O7" s="1117" t="s">
        <v>688</v>
      </c>
      <c r="P7" s="1116" t="s">
        <v>117</v>
      </c>
      <c r="Q7" s="1117" t="s">
        <v>23</v>
      </c>
      <c r="R7" s="1117" t="s">
        <v>688</v>
      </c>
      <c r="S7" s="1116" t="s">
        <v>117</v>
      </c>
      <c r="T7" s="1115"/>
      <c r="U7" s="1114"/>
      <c r="V7" s="929"/>
      <c r="W7" s="929"/>
      <c r="X7" s="931" t="e">
        <f>#REF!+1813</f>
        <v>#REF!</v>
      </c>
      <c r="Y7" s="951"/>
      <c r="AA7" s="952"/>
    </row>
    <row r="8" spans="1:45" s="913" customFormat="1" ht="20.100000000000001" customHeight="1" x14ac:dyDescent="0.2">
      <c r="A8" s="1116"/>
      <c r="B8" s="1116" t="s">
        <v>672</v>
      </c>
      <c r="C8" s="990"/>
      <c r="D8" s="990"/>
      <c r="E8" s="1118"/>
      <c r="F8" s="1185">
        <f t="shared" ref="F8:R8" si="0">F9+F32+F58</f>
        <v>480830.79599999997</v>
      </c>
      <c r="G8" s="1185">
        <f t="shared" si="0"/>
        <v>453825</v>
      </c>
      <c r="H8" s="1185">
        <f t="shared" si="0"/>
        <v>24643.13</v>
      </c>
      <c r="I8" s="1185">
        <f t="shared" si="0"/>
        <v>2362.6660000000002</v>
      </c>
      <c r="J8" s="1185">
        <f t="shared" ref="J8:K8" si="1">J9+J32+J58</f>
        <v>23046.078000000001</v>
      </c>
      <c r="K8" s="1185">
        <f t="shared" si="1"/>
        <v>137639</v>
      </c>
      <c r="L8" s="1185">
        <f t="shared" si="0"/>
        <v>219710.12900000002</v>
      </c>
      <c r="M8" s="1185">
        <f t="shared" si="0"/>
        <v>125975.109</v>
      </c>
      <c r="N8" s="1185">
        <f t="shared" ref="N8:O8" si="2">N9+N32+N58</f>
        <v>82595.844000000012</v>
      </c>
      <c r="O8" s="1185">
        <f t="shared" si="2"/>
        <v>65200.317000000003</v>
      </c>
      <c r="P8" s="1123">
        <f>N8/K8*100</f>
        <v>60.009041042146492</v>
      </c>
      <c r="Q8" s="1185">
        <f t="shared" si="0"/>
        <v>13990.492999999999</v>
      </c>
      <c r="R8" s="1185">
        <f t="shared" si="0"/>
        <v>13949.002</v>
      </c>
      <c r="S8" s="1123">
        <f>Q8/J8*100</f>
        <v>60.706611337512605</v>
      </c>
      <c r="T8" s="1120"/>
      <c r="U8" s="1121"/>
      <c r="V8" s="1001" t="e">
        <f>Q8/#REF!%</f>
        <v>#REF!</v>
      </c>
      <c r="W8" s="1001" t="e">
        <f>#REF!/#REF!%</f>
        <v>#REF!</v>
      </c>
      <c r="X8" s="931"/>
      <c r="Y8" s="916"/>
      <c r="Z8" s="148"/>
      <c r="AA8" s="916"/>
      <c r="AB8" s="953"/>
      <c r="AC8" s="916"/>
      <c r="AD8" s="914"/>
      <c r="AE8" s="914"/>
      <c r="AF8" s="914"/>
      <c r="AG8" s="914"/>
      <c r="AH8" s="914"/>
      <c r="AI8" s="914"/>
      <c r="AJ8" s="915"/>
      <c r="AK8" s="915"/>
      <c r="AL8" s="914"/>
      <c r="AM8" s="914"/>
      <c r="AN8" s="914"/>
      <c r="AO8" s="914"/>
      <c r="AP8" s="914"/>
      <c r="AQ8" s="914"/>
      <c r="AR8" s="914"/>
      <c r="AS8" s="914"/>
    </row>
    <row r="9" spans="1:45" ht="20.100000000000001" customHeight="1" x14ac:dyDescent="0.2">
      <c r="A9" s="1116" t="s">
        <v>15</v>
      </c>
      <c r="B9" s="990" t="s">
        <v>165</v>
      </c>
      <c r="C9" s="1122"/>
      <c r="D9" s="1116"/>
      <c r="E9" s="1116"/>
      <c r="F9" s="1185">
        <f t="shared" ref="F9:R9" si="3">F10+F28</f>
        <v>31413.796000000002</v>
      </c>
      <c r="G9" s="1185">
        <f t="shared" si="3"/>
        <v>25845</v>
      </c>
      <c r="H9" s="1185">
        <f t="shared" si="3"/>
        <v>3811.13</v>
      </c>
      <c r="I9" s="1185">
        <f t="shared" si="3"/>
        <v>1757.6660000000002</v>
      </c>
      <c r="J9" s="1185">
        <f t="shared" ref="J9:K9" si="4">J10+J28</f>
        <v>6570.9709999999995</v>
      </c>
      <c r="K9" s="1185">
        <f t="shared" si="4"/>
        <v>2433</v>
      </c>
      <c r="L9" s="1185">
        <f t="shared" si="3"/>
        <v>11176.02</v>
      </c>
      <c r="M9" s="1185">
        <f t="shared" si="3"/>
        <v>1618</v>
      </c>
      <c r="N9" s="1185">
        <f t="shared" ref="N9:O9" si="5">N10+N28</f>
        <v>1078.673</v>
      </c>
      <c r="O9" s="1185">
        <f t="shared" si="5"/>
        <v>448.673</v>
      </c>
      <c r="P9" s="1123">
        <f>N9/K9*100</f>
        <v>44.335100698725853</v>
      </c>
      <c r="Q9" s="1185">
        <f t="shared" si="3"/>
        <v>3196.4489999999996</v>
      </c>
      <c r="R9" s="1185">
        <f t="shared" si="3"/>
        <v>3196.4489999999996</v>
      </c>
      <c r="S9" s="1123">
        <f>Q9/J9*100</f>
        <v>48.645002390057726</v>
      </c>
      <c r="T9" s="1123"/>
      <c r="U9" s="990"/>
      <c r="V9" s="1064"/>
      <c r="W9" s="1064"/>
      <c r="Z9" s="148"/>
      <c r="AB9" s="953"/>
      <c r="AC9" s="126" t="e">
        <f>#REF!*60%</f>
        <v>#REF!</v>
      </c>
      <c r="AJ9" s="915"/>
      <c r="AK9" s="915"/>
    </row>
    <row r="10" spans="1:45" s="936" customFormat="1" ht="20.100000000000001" customHeight="1" x14ac:dyDescent="0.2">
      <c r="A10" s="1124" t="s">
        <v>28</v>
      </c>
      <c r="B10" s="1125" t="s">
        <v>416</v>
      </c>
      <c r="C10" s="1126"/>
      <c r="D10" s="1124"/>
      <c r="E10" s="1124"/>
      <c r="F10" s="1128">
        <f>SUM(F11:F27)</f>
        <v>26573.796000000002</v>
      </c>
      <c r="G10" s="1128">
        <f t="shared" ref="G10:R10" si="6">SUM(G11:G27)</f>
        <v>21305</v>
      </c>
      <c r="H10" s="1128">
        <f t="shared" si="6"/>
        <v>3811.13</v>
      </c>
      <c r="I10" s="1128">
        <f t="shared" si="6"/>
        <v>1457.6660000000002</v>
      </c>
      <c r="J10" s="1128">
        <f t="shared" ref="J10:K10" si="7">SUM(J11:J27)</f>
        <v>6570.9709999999995</v>
      </c>
      <c r="K10" s="1128">
        <f t="shared" si="7"/>
        <v>511</v>
      </c>
      <c r="L10" s="1128">
        <f t="shared" si="6"/>
        <v>9988.02</v>
      </c>
      <c r="M10" s="1128">
        <f t="shared" si="6"/>
        <v>430</v>
      </c>
      <c r="N10" s="1128">
        <f t="shared" ref="N10:O10" si="8">SUM(N11:N27)</f>
        <v>0</v>
      </c>
      <c r="O10" s="1128">
        <f t="shared" si="8"/>
        <v>0</v>
      </c>
      <c r="P10" s="1128"/>
      <c r="Q10" s="1128">
        <f t="shared" si="6"/>
        <v>3196.4489999999996</v>
      </c>
      <c r="R10" s="1128">
        <f t="shared" si="6"/>
        <v>3196.4489999999996</v>
      </c>
      <c r="S10" s="1128">
        <f>Q10/J10*100</f>
        <v>48.645002390057726</v>
      </c>
      <c r="T10" s="1128"/>
      <c r="U10" s="1125"/>
      <c r="V10" s="1003"/>
      <c r="W10" s="1003"/>
      <c r="X10" s="923"/>
      <c r="Z10" s="160"/>
      <c r="AB10" s="1065"/>
      <c r="AD10" s="935"/>
      <c r="AE10" s="935"/>
      <c r="AF10" s="935"/>
      <c r="AG10" s="935"/>
      <c r="AH10" s="935"/>
      <c r="AI10" s="935"/>
      <c r="AJ10" s="915"/>
      <c r="AK10" s="915"/>
      <c r="AL10" s="935"/>
      <c r="AM10" s="935"/>
      <c r="AN10" s="935"/>
      <c r="AO10" s="935"/>
      <c r="AP10" s="935"/>
      <c r="AQ10" s="935"/>
      <c r="AR10" s="935"/>
      <c r="AS10" s="935"/>
    </row>
    <row r="11" spans="1:45" ht="54.95" customHeight="1" x14ac:dyDescent="0.2">
      <c r="A11" s="1129">
        <v>1</v>
      </c>
      <c r="B11" s="1130" t="s">
        <v>606</v>
      </c>
      <c r="C11" s="1131" t="s">
        <v>166</v>
      </c>
      <c r="D11" s="1131" t="s">
        <v>167</v>
      </c>
      <c r="E11" s="1131" t="s">
        <v>243</v>
      </c>
      <c r="F11" s="1186">
        <f>G11+H11+I11</f>
        <v>1000</v>
      </c>
      <c r="G11" s="1186">
        <v>950</v>
      </c>
      <c r="H11" s="1186">
        <v>50</v>
      </c>
      <c r="I11" s="1186">
        <v>0</v>
      </c>
      <c r="J11" s="1187">
        <v>0</v>
      </c>
      <c r="K11" s="1187"/>
      <c r="L11" s="1188">
        <v>1000</v>
      </c>
      <c r="M11" s="1188"/>
      <c r="N11" s="1187"/>
      <c r="O11" s="1187"/>
      <c r="P11" s="1188"/>
      <c r="Q11" s="1187"/>
      <c r="R11" s="1187"/>
      <c r="S11" s="1133"/>
      <c r="T11" s="1133"/>
      <c r="U11" s="982"/>
      <c r="V11" s="1001"/>
      <c r="W11" s="1001"/>
      <c r="Y11" s="147"/>
      <c r="Z11" s="148"/>
      <c r="AB11" s="953"/>
      <c r="AJ11" s="915"/>
      <c r="AK11" s="915"/>
    </row>
    <row r="12" spans="1:45" ht="35.1" customHeight="1" x14ac:dyDescent="0.2">
      <c r="A12" s="1129">
        <v>2</v>
      </c>
      <c r="B12" s="1130" t="s">
        <v>252</v>
      </c>
      <c r="C12" s="1131" t="s">
        <v>255</v>
      </c>
      <c r="D12" s="1131" t="s">
        <v>167</v>
      </c>
      <c r="E12" s="1131" t="s">
        <v>264</v>
      </c>
      <c r="F12" s="1186">
        <f>G12+H12+I12</f>
        <v>2999.9960000000001</v>
      </c>
      <c r="G12" s="1186">
        <v>736</v>
      </c>
      <c r="H12" s="1186">
        <v>2211.13</v>
      </c>
      <c r="I12" s="1186">
        <v>52.866</v>
      </c>
      <c r="J12" s="1187">
        <v>0</v>
      </c>
      <c r="K12" s="1187"/>
      <c r="L12" s="1188">
        <v>700</v>
      </c>
      <c r="M12" s="1188"/>
      <c r="N12" s="1187"/>
      <c r="O12" s="1187"/>
      <c r="P12" s="1188"/>
      <c r="Q12" s="1187"/>
      <c r="R12" s="1187"/>
      <c r="S12" s="1133"/>
      <c r="T12" s="1133"/>
      <c r="U12" s="982"/>
      <c r="V12" s="1001"/>
      <c r="W12" s="1001"/>
      <c r="Y12" s="147"/>
      <c r="Z12" s="148"/>
      <c r="AB12" s="953"/>
      <c r="AJ12" s="915"/>
      <c r="AK12" s="915"/>
    </row>
    <row r="13" spans="1:45" ht="35.1" customHeight="1" x14ac:dyDescent="0.2">
      <c r="A13" s="1129">
        <v>3</v>
      </c>
      <c r="B13" s="1130" t="s">
        <v>538</v>
      </c>
      <c r="C13" s="1131" t="s">
        <v>256</v>
      </c>
      <c r="D13" s="1131" t="s">
        <v>167</v>
      </c>
      <c r="E13" s="1131" t="s">
        <v>548</v>
      </c>
      <c r="F13" s="1186">
        <f t="shared" ref="F13:F27" si="9">G13+H13+I13</f>
        <v>950</v>
      </c>
      <c r="G13" s="1186">
        <v>900</v>
      </c>
      <c r="H13" s="1186"/>
      <c r="I13" s="1186">
        <v>50</v>
      </c>
      <c r="J13" s="1187">
        <v>96.797000000000025</v>
      </c>
      <c r="K13" s="1187"/>
      <c r="L13" s="1188">
        <v>855</v>
      </c>
      <c r="M13" s="1188"/>
      <c r="N13" s="1187"/>
      <c r="O13" s="1187"/>
      <c r="P13" s="1188"/>
      <c r="Q13" s="1187">
        <v>94.796999999999997</v>
      </c>
      <c r="R13" s="1187">
        <v>94.796999999999997</v>
      </c>
      <c r="S13" s="1133">
        <f t="shared" ref="S13:S55" si="10">Q13/J13*100</f>
        <v>97.933820263024657</v>
      </c>
      <c r="T13" s="1133"/>
      <c r="U13" s="982"/>
      <c r="V13" s="1001"/>
      <c r="W13" s="1001"/>
      <c r="Y13" s="147"/>
      <c r="Z13" s="148"/>
      <c r="AB13" s="953"/>
      <c r="AJ13" s="915"/>
      <c r="AK13" s="915"/>
    </row>
    <row r="14" spans="1:45" ht="35.1" customHeight="1" x14ac:dyDescent="0.2">
      <c r="A14" s="1129">
        <v>4</v>
      </c>
      <c r="B14" s="1130" t="s">
        <v>607</v>
      </c>
      <c r="C14" s="1131" t="s">
        <v>256</v>
      </c>
      <c r="D14" s="1131" t="s">
        <v>167</v>
      </c>
      <c r="E14" s="1131" t="s">
        <v>610</v>
      </c>
      <c r="F14" s="1186">
        <f t="shared" si="9"/>
        <v>926</v>
      </c>
      <c r="G14" s="1186">
        <v>836</v>
      </c>
      <c r="H14" s="1186"/>
      <c r="I14" s="1186">
        <v>90</v>
      </c>
      <c r="J14" s="1187">
        <v>0</v>
      </c>
      <c r="K14" s="1187"/>
      <c r="L14" s="1188">
        <v>648</v>
      </c>
      <c r="M14" s="1188"/>
      <c r="N14" s="1187"/>
      <c r="O14" s="1187"/>
      <c r="P14" s="1188"/>
      <c r="Q14" s="1187"/>
      <c r="R14" s="1187"/>
      <c r="S14" s="1133"/>
      <c r="T14" s="1133"/>
      <c r="U14" s="982"/>
      <c r="V14" s="1001"/>
      <c r="W14" s="1001"/>
      <c r="Y14" s="147"/>
      <c r="Z14" s="148"/>
      <c r="AB14" s="953"/>
      <c r="AJ14" s="915"/>
      <c r="AK14" s="915"/>
    </row>
    <row r="15" spans="1:45" ht="35.1" customHeight="1" x14ac:dyDescent="0.2">
      <c r="A15" s="1129">
        <v>5</v>
      </c>
      <c r="B15" s="1130" t="s">
        <v>253</v>
      </c>
      <c r="C15" s="1131" t="s">
        <v>255</v>
      </c>
      <c r="D15" s="1131" t="s">
        <v>167</v>
      </c>
      <c r="E15" s="1131" t="s">
        <v>265</v>
      </c>
      <c r="F15" s="1186">
        <f t="shared" si="9"/>
        <v>2500</v>
      </c>
      <c r="G15" s="1186">
        <v>1000</v>
      </c>
      <c r="H15" s="1186">
        <v>1500</v>
      </c>
      <c r="I15" s="1186"/>
      <c r="J15" s="1187">
        <v>0</v>
      </c>
      <c r="K15" s="1187"/>
      <c r="L15" s="1188">
        <v>1500</v>
      </c>
      <c r="M15" s="1188"/>
      <c r="N15" s="1187"/>
      <c r="O15" s="1187"/>
      <c r="P15" s="1188"/>
      <c r="Q15" s="1187"/>
      <c r="R15" s="1187"/>
      <c r="S15" s="1133"/>
      <c r="T15" s="1133"/>
      <c r="U15" s="982"/>
      <c r="V15" s="1001"/>
      <c r="W15" s="1001"/>
      <c r="Y15" s="147"/>
      <c r="Z15" s="148"/>
      <c r="AB15" s="953"/>
      <c r="AJ15" s="915"/>
      <c r="AK15" s="915"/>
    </row>
    <row r="16" spans="1:45" ht="35.1" customHeight="1" x14ac:dyDescent="0.2">
      <c r="A16" s="1129">
        <v>6</v>
      </c>
      <c r="B16" s="1130" t="s">
        <v>539</v>
      </c>
      <c r="C16" s="1131" t="s">
        <v>257</v>
      </c>
      <c r="D16" s="1131" t="s">
        <v>167</v>
      </c>
      <c r="E16" s="1131" t="s">
        <v>549</v>
      </c>
      <c r="F16" s="1186">
        <f t="shared" si="9"/>
        <v>1800</v>
      </c>
      <c r="G16" s="1186">
        <v>1736</v>
      </c>
      <c r="H16" s="1186"/>
      <c r="I16" s="1186">
        <v>64</v>
      </c>
      <c r="J16" s="1187">
        <v>142.03400000000011</v>
      </c>
      <c r="K16" s="1189"/>
      <c r="L16" s="1188">
        <v>126</v>
      </c>
      <c r="M16" s="1188"/>
      <c r="N16" s="1187"/>
      <c r="O16" s="1187"/>
      <c r="P16" s="1188"/>
      <c r="Q16" s="1187">
        <v>142.03399999999999</v>
      </c>
      <c r="R16" s="1187">
        <v>142.03399999999999</v>
      </c>
      <c r="S16" s="1133">
        <f t="shared" si="10"/>
        <v>99.999999999999929</v>
      </c>
      <c r="T16" s="1133"/>
      <c r="U16" s="982"/>
      <c r="V16" s="1001"/>
      <c r="W16" s="1001"/>
      <c r="Y16" s="147"/>
      <c r="Z16" s="148"/>
      <c r="AB16" s="953"/>
      <c r="AJ16" s="915"/>
      <c r="AK16" s="915"/>
    </row>
    <row r="17" spans="1:37" ht="35.1" customHeight="1" x14ac:dyDescent="0.2">
      <c r="A17" s="1129">
        <v>7</v>
      </c>
      <c r="B17" s="1130" t="s">
        <v>540</v>
      </c>
      <c r="C17" s="1131" t="s">
        <v>258</v>
      </c>
      <c r="D17" s="1131" t="s">
        <v>167</v>
      </c>
      <c r="E17" s="1131" t="s">
        <v>550</v>
      </c>
      <c r="F17" s="1186">
        <f t="shared" si="9"/>
        <v>1786</v>
      </c>
      <c r="G17" s="1186">
        <v>1736</v>
      </c>
      <c r="H17" s="1186">
        <v>50</v>
      </c>
      <c r="I17" s="1186"/>
      <c r="J17" s="1187">
        <v>1431.4059999999999</v>
      </c>
      <c r="K17" s="1187"/>
      <c r="L17" s="1188">
        <v>125.02000000000001</v>
      </c>
      <c r="M17" s="1188"/>
      <c r="N17" s="1187"/>
      <c r="O17" s="1187"/>
      <c r="P17" s="1188"/>
      <c r="Q17" s="1187">
        <v>1428.1189999999999</v>
      </c>
      <c r="R17" s="1187">
        <v>1428.1189999999999</v>
      </c>
      <c r="S17" s="1133">
        <f t="shared" si="10"/>
        <v>99.770365640496124</v>
      </c>
      <c r="T17" s="1133"/>
      <c r="U17" s="982"/>
      <c r="V17" s="1001"/>
      <c r="W17" s="1001"/>
      <c r="Y17" s="147"/>
      <c r="Z17" s="148"/>
      <c r="AB17" s="953"/>
      <c r="AJ17" s="915"/>
      <c r="AK17" s="915"/>
    </row>
    <row r="18" spans="1:37" ht="35.1" customHeight="1" x14ac:dyDescent="0.2">
      <c r="A18" s="1129">
        <v>8</v>
      </c>
      <c r="B18" s="1130" t="s">
        <v>254</v>
      </c>
      <c r="C18" s="1131" t="s">
        <v>259</v>
      </c>
      <c r="D18" s="1131" t="s">
        <v>167</v>
      </c>
      <c r="E18" s="1131" t="s">
        <v>266</v>
      </c>
      <c r="F18" s="1186">
        <f t="shared" si="9"/>
        <v>2800</v>
      </c>
      <c r="G18" s="1190">
        <v>2611</v>
      </c>
      <c r="H18" s="1186"/>
      <c r="I18" s="1186">
        <v>189</v>
      </c>
      <c r="J18" s="1187">
        <v>0</v>
      </c>
      <c r="K18" s="1187">
        <v>511</v>
      </c>
      <c r="L18" s="1188">
        <v>1270</v>
      </c>
      <c r="M18" s="1188">
        <v>430</v>
      </c>
      <c r="N18" s="1187"/>
      <c r="O18" s="1187"/>
      <c r="P18" s="1188"/>
      <c r="Q18" s="1187"/>
      <c r="R18" s="1187"/>
      <c r="S18" s="1133"/>
      <c r="T18" s="1133"/>
      <c r="U18" s="982"/>
      <c r="V18" s="1001"/>
      <c r="W18" s="1001"/>
      <c r="Y18" s="147"/>
      <c r="Z18" s="148"/>
      <c r="AB18" s="953"/>
      <c r="AJ18" s="915"/>
      <c r="AK18" s="915"/>
    </row>
    <row r="19" spans="1:37" ht="35.1" customHeight="1" x14ac:dyDescent="0.2">
      <c r="A19" s="1129">
        <v>9</v>
      </c>
      <c r="B19" s="1130" t="s">
        <v>608</v>
      </c>
      <c r="C19" s="1131" t="s">
        <v>677</v>
      </c>
      <c r="D19" s="1131" t="s">
        <v>167</v>
      </c>
      <c r="E19" s="1131" t="s">
        <v>611</v>
      </c>
      <c r="F19" s="1186">
        <f t="shared" si="9"/>
        <v>765.2</v>
      </c>
      <c r="G19" s="1186">
        <v>620</v>
      </c>
      <c r="H19" s="1186"/>
      <c r="I19" s="1186">
        <v>145.19999999999999</v>
      </c>
      <c r="J19" s="1187">
        <v>0</v>
      </c>
      <c r="K19" s="1187"/>
      <c r="L19" s="1188">
        <v>230</v>
      </c>
      <c r="M19" s="1188"/>
      <c r="N19" s="1187"/>
      <c r="O19" s="1187"/>
      <c r="P19" s="1188"/>
      <c r="Q19" s="1187"/>
      <c r="R19" s="1187"/>
      <c r="S19" s="1133"/>
      <c r="T19" s="1133"/>
      <c r="U19" s="982"/>
      <c r="V19" s="1001"/>
      <c r="W19" s="1001"/>
      <c r="Y19" s="147"/>
      <c r="Z19" s="148"/>
      <c r="AB19" s="953"/>
      <c r="AJ19" s="915"/>
      <c r="AK19" s="915"/>
    </row>
    <row r="20" spans="1:37" ht="35.1" customHeight="1" x14ac:dyDescent="0.2">
      <c r="A20" s="1129">
        <v>10</v>
      </c>
      <c r="B20" s="1130" t="s">
        <v>541</v>
      </c>
      <c r="C20" s="1131" t="s">
        <v>678</v>
      </c>
      <c r="D20" s="1131" t="s">
        <v>167</v>
      </c>
      <c r="E20" s="1131" t="s">
        <v>551</v>
      </c>
      <c r="F20" s="1186">
        <f t="shared" si="9"/>
        <v>1300</v>
      </c>
      <c r="G20" s="1186">
        <v>1200</v>
      </c>
      <c r="H20" s="1186"/>
      <c r="I20" s="1186">
        <v>100</v>
      </c>
      <c r="J20" s="1187">
        <v>624.53</v>
      </c>
      <c r="K20" s="1187"/>
      <c r="L20" s="1188">
        <v>390</v>
      </c>
      <c r="M20" s="1188"/>
      <c r="N20" s="1187"/>
      <c r="O20" s="1187"/>
      <c r="P20" s="1188"/>
      <c r="Q20" s="1187"/>
      <c r="R20" s="1187"/>
      <c r="S20" s="1133">
        <f t="shared" si="10"/>
        <v>0</v>
      </c>
      <c r="T20" s="1133"/>
      <c r="U20" s="982"/>
      <c r="V20" s="1001"/>
      <c r="W20" s="1001"/>
      <c r="Y20" s="147"/>
      <c r="Z20" s="148"/>
      <c r="AB20" s="953"/>
      <c r="AJ20" s="915"/>
      <c r="AK20" s="915"/>
    </row>
    <row r="21" spans="1:37" ht="35.1" customHeight="1" x14ac:dyDescent="0.2">
      <c r="A21" s="1129">
        <v>11</v>
      </c>
      <c r="B21" s="1130" t="s">
        <v>609</v>
      </c>
      <c r="C21" s="1131" t="s">
        <v>678</v>
      </c>
      <c r="D21" s="1131" t="s">
        <v>167</v>
      </c>
      <c r="E21" s="1131" t="s">
        <v>612</v>
      </c>
      <c r="F21" s="1186">
        <f t="shared" si="9"/>
        <v>636.6</v>
      </c>
      <c r="G21" s="1186">
        <v>536</v>
      </c>
      <c r="H21" s="1186"/>
      <c r="I21" s="1186">
        <v>100.6</v>
      </c>
      <c r="J21" s="1187">
        <v>0</v>
      </c>
      <c r="K21" s="1187"/>
      <c r="L21" s="1188">
        <v>255</v>
      </c>
      <c r="M21" s="1188"/>
      <c r="N21" s="1187"/>
      <c r="O21" s="1187"/>
      <c r="P21" s="1188"/>
      <c r="Q21" s="1187"/>
      <c r="R21" s="1187"/>
      <c r="S21" s="1133"/>
      <c r="T21" s="1133"/>
      <c r="U21" s="982"/>
      <c r="V21" s="1001"/>
      <c r="W21" s="1001"/>
      <c r="Y21" s="147"/>
      <c r="Z21" s="148"/>
      <c r="AB21" s="953"/>
      <c r="AJ21" s="915"/>
      <c r="AK21" s="915"/>
    </row>
    <row r="22" spans="1:37" ht="35.1" customHeight="1" x14ac:dyDescent="0.2">
      <c r="A22" s="1129">
        <v>12</v>
      </c>
      <c r="B22" s="1130" t="s">
        <v>542</v>
      </c>
      <c r="C22" s="1131" t="s">
        <v>679</v>
      </c>
      <c r="D22" s="1131" t="s">
        <v>167</v>
      </c>
      <c r="E22" s="1131" t="s">
        <v>552</v>
      </c>
      <c r="F22" s="1186">
        <f t="shared" si="9"/>
        <v>1800</v>
      </c>
      <c r="G22" s="1186">
        <v>1736</v>
      </c>
      <c r="H22" s="1186"/>
      <c r="I22" s="1186">
        <v>64</v>
      </c>
      <c r="J22" s="1187">
        <v>297.25099999999998</v>
      </c>
      <c r="K22" s="1187"/>
      <c r="L22" s="1188">
        <v>126.00000000000001</v>
      </c>
      <c r="M22" s="1188"/>
      <c r="N22" s="1187"/>
      <c r="O22" s="1187"/>
      <c r="P22" s="1188"/>
      <c r="Q22" s="1187">
        <v>294.29999999999995</v>
      </c>
      <c r="R22" s="1187">
        <v>294.29999999999995</v>
      </c>
      <c r="S22" s="1133">
        <f t="shared" si="10"/>
        <v>99.007236308708784</v>
      </c>
      <c r="T22" s="1133"/>
      <c r="U22" s="982"/>
      <c r="V22" s="1001"/>
      <c r="W22" s="1001"/>
      <c r="Y22" s="147"/>
      <c r="Z22" s="148"/>
      <c r="AB22" s="953"/>
      <c r="AJ22" s="915"/>
      <c r="AK22" s="915"/>
    </row>
    <row r="23" spans="1:37" ht="35.1" customHeight="1" x14ac:dyDescent="0.2">
      <c r="A23" s="1129">
        <v>13</v>
      </c>
      <c r="B23" s="1130" t="s">
        <v>543</v>
      </c>
      <c r="C23" s="1131" t="s">
        <v>680</v>
      </c>
      <c r="D23" s="1131" t="s">
        <v>167</v>
      </c>
      <c r="E23" s="1131" t="s">
        <v>553</v>
      </c>
      <c r="F23" s="1186">
        <f t="shared" si="9"/>
        <v>934.2</v>
      </c>
      <c r="G23" s="1186">
        <v>876</v>
      </c>
      <c r="H23" s="1186"/>
      <c r="I23" s="1186">
        <v>58.2</v>
      </c>
      <c r="J23" s="1187">
        <v>820</v>
      </c>
      <c r="K23" s="1187"/>
      <c r="L23" s="1188">
        <v>280</v>
      </c>
      <c r="M23" s="1188"/>
      <c r="N23" s="1187"/>
      <c r="O23" s="1187"/>
      <c r="P23" s="1188"/>
      <c r="Q23" s="1187"/>
      <c r="R23" s="1187"/>
      <c r="S23" s="1133">
        <f t="shared" si="10"/>
        <v>0</v>
      </c>
      <c r="T23" s="1133"/>
      <c r="U23" s="982"/>
      <c r="V23" s="1001"/>
      <c r="W23" s="1001"/>
      <c r="Y23" s="147"/>
      <c r="Z23" s="148"/>
      <c r="AB23" s="953"/>
      <c r="AJ23" s="915"/>
      <c r="AK23" s="915"/>
    </row>
    <row r="24" spans="1:37" ht="35.1" customHeight="1" x14ac:dyDescent="0.2">
      <c r="A24" s="1129">
        <v>14</v>
      </c>
      <c r="B24" s="1130" t="s">
        <v>544</v>
      </c>
      <c r="C24" s="1131" t="s">
        <v>680</v>
      </c>
      <c r="D24" s="1131" t="s">
        <v>167</v>
      </c>
      <c r="E24" s="1131" t="s">
        <v>554</v>
      </c>
      <c r="F24" s="1186">
        <f t="shared" si="9"/>
        <v>981.9</v>
      </c>
      <c r="G24" s="1186">
        <v>860</v>
      </c>
      <c r="H24" s="1186"/>
      <c r="I24" s="1186">
        <v>121.9</v>
      </c>
      <c r="J24" s="1187">
        <v>170.20100000000002</v>
      </c>
      <c r="K24" s="1187"/>
      <c r="L24" s="1188">
        <v>295</v>
      </c>
      <c r="M24" s="1188"/>
      <c r="N24" s="1187"/>
      <c r="O24" s="1187"/>
      <c r="P24" s="1188"/>
      <c r="Q24" s="1187">
        <v>92.191999999999993</v>
      </c>
      <c r="R24" s="1187">
        <v>92.191999999999993</v>
      </c>
      <c r="S24" s="1133">
        <f t="shared" si="10"/>
        <v>54.166544262372128</v>
      </c>
      <c r="T24" s="1133"/>
      <c r="U24" s="982"/>
      <c r="V24" s="1001"/>
      <c r="W24" s="1001"/>
      <c r="Y24" s="147"/>
      <c r="Z24" s="148"/>
      <c r="AB24" s="953"/>
      <c r="AJ24" s="915"/>
      <c r="AK24" s="915"/>
    </row>
    <row r="25" spans="1:37" ht="35.1" customHeight="1" x14ac:dyDescent="0.2">
      <c r="A25" s="1129">
        <v>15</v>
      </c>
      <c r="B25" s="1130" t="s">
        <v>545</v>
      </c>
      <c r="C25" s="1131" t="s">
        <v>681</v>
      </c>
      <c r="D25" s="1131" t="s">
        <v>167</v>
      </c>
      <c r="E25" s="1131" t="s">
        <v>555</v>
      </c>
      <c r="F25" s="1186">
        <f t="shared" si="9"/>
        <v>1650</v>
      </c>
      <c r="G25" s="1186">
        <v>1500</v>
      </c>
      <c r="H25" s="1186"/>
      <c r="I25" s="1186">
        <v>150</v>
      </c>
      <c r="J25" s="1187">
        <v>352.43100000000004</v>
      </c>
      <c r="K25" s="1187"/>
      <c r="L25" s="1188">
        <v>495</v>
      </c>
      <c r="M25" s="1188"/>
      <c r="N25" s="1187"/>
      <c r="O25" s="1187"/>
      <c r="P25" s="1188"/>
      <c r="Q25" s="1187"/>
      <c r="R25" s="1187"/>
      <c r="S25" s="1133">
        <f t="shared" si="10"/>
        <v>0</v>
      </c>
      <c r="T25" s="1133"/>
      <c r="U25" s="982"/>
      <c r="V25" s="1001"/>
      <c r="W25" s="1001"/>
      <c r="Y25" s="147"/>
      <c r="Z25" s="148"/>
      <c r="AB25" s="953"/>
      <c r="AJ25" s="915"/>
      <c r="AK25" s="915"/>
    </row>
    <row r="26" spans="1:37" ht="35.1" customHeight="1" x14ac:dyDescent="0.2">
      <c r="A26" s="1129">
        <v>16</v>
      </c>
      <c r="B26" s="1130" t="s">
        <v>546</v>
      </c>
      <c r="C26" s="1131" t="s">
        <v>260</v>
      </c>
      <c r="D26" s="1131" t="s">
        <v>167</v>
      </c>
      <c r="E26" s="1131" t="s">
        <v>556</v>
      </c>
      <c r="F26" s="1186">
        <f t="shared" si="9"/>
        <v>1843.9</v>
      </c>
      <c r="G26" s="1186">
        <v>1736</v>
      </c>
      <c r="H26" s="1186"/>
      <c r="I26" s="1186">
        <v>107.9</v>
      </c>
      <c r="J26" s="1187">
        <v>1600</v>
      </c>
      <c r="K26" s="1187"/>
      <c r="L26" s="1188">
        <v>553</v>
      </c>
      <c r="M26" s="1188"/>
      <c r="N26" s="1187"/>
      <c r="O26" s="1187"/>
      <c r="P26" s="1188"/>
      <c r="Q26" s="1187">
        <v>1145.0070000000001</v>
      </c>
      <c r="R26" s="1187">
        <v>1145.0070000000001</v>
      </c>
      <c r="S26" s="1133">
        <f t="shared" si="10"/>
        <v>71.562937500000004</v>
      </c>
      <c r="T26" s="1133"/>
      <c r="U26" s="982"/>
      <c r="V26" s="1001"/>
      <c r="W26" s="1001"/>
      <c r="Y26" s="147"/>
      <c r="Z26" s="148"/>
      <c r="AB26" s="953"/>
      <c r="AJ26" s="915"/>
      <c r="AK26" s="915"/>
    </row>
    <row r="27" spans="1:37" ht="35.1" customHeight="1" x14ac:dyDescent="0.2">
      <c r="A27" s="1129">
        <v>17</v>
      </c>
      <c r="B27" s="1130" t="s">
        <v>547</v>
      </c>
      <c r="C27" s="1131" t="s">
        <v>568</v>
      </c>
      <c r="D27" s="1131" t="s">
        <v>167</v>
      </c>
      <c r="E27" s="1131" t="s">
        <v>557</v>
      </c>
      <c r="F27" s="1186">
        <f t="shared" si="9"/>
        <v>1900</v>
      </c>
      <c r="G27" s="1186">
        <v>1736</v>
      </c>
      <c r="H27" s="1186"/>
      <c r="I27" s="1186">
        <v>164</v>
      </c>
      <c r="J27" s="1187">
        <v>1036.3209999999999</v>
      </c>
      <c r="K27" s="1187"/>
      <c r="L27" s="1188">
        <v>1140</v>
      </c>
      <c r="M27" s="1188"/>
      <c r="N27" s="1187"/>
      <c r="O27" s="1187"/>
      <c r="P27" s="1188"/>
      <c r="Q27" s="1187"/>
      <c r="R27" s="1187"/>
      <c r="S27" s="1133">
        <f t="shared" si="10"/>
        <v>0</v>
      </c>
      <c r="T27" s="1133"/>
      <c r="U27" s="982"/>
      <c r="V27" s="1001"/>
      <c r="W27" s="1001"/>
      <c r="Y27" s="147"/>
      <c r="Z27" s="148"/>
      <c r="AB27" s="953"/>
      <c r="AJ27" s="915"/>
      <c r="AK27" s="915"/>
    </row>
    <row r="28" spans="1:37" ht="20.100000000000001" customHeight="1" x14ac:dyDescent="0.2">
      <c r="A28" s="1134" t="s">
        <v>30</v>
      </c>
      <c r="B28" s="1135" t="s">
        <v>463</v>
      </c>
      <c r="C28" s="1136"/>
      <c r="D28" s="1137"/>
      <c r="E28" s="1137"/>
      <c r="F28" s="1191">
        <f>SUM(F29:F31)</f>
        <v>4840</v>
      </c>
      <c r="G28" s="1191">
        <f t="shared" ref="G28:R28" si="11">SUM(G29:G31)</f>
        <v>4540</v>
      </c>
      <c r="H28" s="1191">
        <f t="shared" si="11"/>
        <v>0</v>
      </c>
      <c r="I28" s="1191">
        <f t="shared" si="11"/>
        <v>300</v>
      </c>
      <c r="J28" s="1192">
        <f t="shared" ref="J28:K28" si="12">SUM(J29:J31)</f>
        <v>0</v>
      </c>
      <c r="K28" s="1191">
        <f t="shared" si="12"/>
        <v>1922</v>
      </c>
      <c r="L28" s="1191">
        <f t="shared" si="11"/>
        <v>1188</v>
      </c>
      <c r="M28" s="1191">
        <f t="shared" si="11"/>
        <v>1188</v>
      </c>
      <c r="N28" s="1191">
        <f t="shared" ref="N28:O28" si="13">SUM(N29:N31)</f>
        <v>1078.673</v>
      </c>
      <c r="O28" s="1191">
        <f t="shared" si="13"/>
        <v>448.673</v>
      </c>
      <c r="P28" s="1191"/>
      <c r="Q28" s="1192">
        <f t="shared" si="11"/>
        <v>0</v>
      </c>
      <c r="R28" s="1192">
        <f t="shared" si="11"/>
        <v>0</v>
      </c>
      <c r="S28" s="1128"/>
      <c r="T28" s="1138"/>
      <c r="U28" s="982"/>
      <c r="V28" s="1001"/>
      <c r="W28" s="1001"/>
      <c r="Y28" s="147"/>
      <c r="Z28" s="148"/>
      <c r="AB28" s="953"/>
      <c r="AJ28" s="915"/>
      <c r="AK28" s="915"/>
    </row>
    <row r="29" spans="1:37" ht="35.1" customHeight="1" x14ac:dyDescent="0.2">
      <c r="A29" s="1118" t="s">
        <v>458</v>
      </c>
      <c r="B29" s="1139" t="s">
        <v>464</v>
      </c>
      <c r="C29" s="1136" t="s">
        <v>143</v>
      </c>
      <c r="D29" s="1137" t="s">
        <v>466</v>
      </c>
      <c r="E29" s="1137" t="s">
        <v>467</v>
      </c>
      <c r="F29" s="1188">
        <f>G29+H29+I29</f>
        <v>670</v>
      </c>
      <c r="G29" s="1193">
        <v>620</v>
      </c>
      <c r="H29" s="1193"/>
      <c r="I29" s="1188">
        <v>50</v>
      </c>
      <c r="J29" s="1187"/>
      <c r="K29" s="1187">
        <v>300</v>
      </c>
      <c r="L29" s="1188">
        <v>165</v>
      </c>
      <c r="M29" s="1188">
        <v>165</v>
      </c>
      <c r="N29" s="1187">
        <v>299.33999999999997</v>
      </c>
      <c r="O29" s="1187">
        <v>299.33999999999997</v>
      </c>
      <c r="P29" s="1188">
        <f t="shared" ref="P29:P57" si="14">N29/K29*100</f>
        <v>99.779999999999987</v>
      </c>
      <c r="Q29" s="1187"/>
      <c r="R29" s="1187"/>
      <c r="S29" s="1133"/>
      <c r="T29" s="1133"/>
      <c r="U29" s="982"/>
      <c r="V29" s="1001"/>
      <c r="W29" s="1001"/>
      <c r="X29" s="912" t="s">
        <v>123</v>
      </c>
      <c r="Y29" s="147" t="s">
        <v>273</v>
      </c>
      <c r="Z29" s="148"/>
      <c r="AB29" s="953"/>
      <c r="AJ29" s="915"/>
      <c r="AK29" s="915"/>
    </row>
    <row r="30" spans="1:37" ht="35.1" customHeight="1" x14ac:dyDescent="0.2">
      <c r="A30" s="1118" t="s">
        <v>468</v>
      </c>
      <c r="B30" s="1139" t="s">
        <v>469</v>
      </c>
      <c r="C30" s="1136" t="s">
        <v>147</v>
      </c>
      <c r="D30" s="1137" t="s">
        <v>466</v>
      </c>
      <c r="E30" s="1137" t="s">
        <v>471</v>
      </c>
      <c r="F30" s="1188">
        <f>G30+H30+I30</f>
        <v>2500</v>
      </c>
      <c r="G30" s="1193">
        <v>2400</v>
      </c>
      <c r="H30" s="1193"/>
      <c r="I30" s="1188">
        <v>100</v>
      </c>
      <c r="J30" s="1187"/>
      <c r="K30" s="1187">
        <v>811</v>
      </c>
      <c r="L30" s="1188">
        <v>918</v>
      </c>
      <c r="M30" s="1188">
        <v>918</v>
      </c>
      <c r="N30" s="1187">
        <v>779.33299999999997</v>
      </c>
      <c r="O30" s="1187">
        <v>149.333</v>
      </c>
      <c r="P30" s="1188">
        <f t="shared" si="14"/>
        <v>96.095314426633777</v>
      </c>
      <c r="Q30" s="1187"/>
      <c r="R30" s="1187"/>
      <c r="S30" s="1133"/>
      <c r="T30" s="1133"/>
      <c r="U30" s="982"/>
      <c r="V30" s="1001"/>
      <c r="W30" s="1001"/>
      <c r="X30" s="912" t="s">
        <v>123</v>
      </c>
      <c r="Y30" s="955" t="s">
        <v>268</v>
      </c>
      <c r="Z30" s="148"/>
      <c r="AB30" s="953"/>
      <c r="AJ30" s="915"/>
      <c r="AK30" s="915"/>
    </row>
    <row r="31" spans="1:37" ht="35.1" customHeight="1" x14ac:dyDescent="0.2">
      <c r="A31" s="1118" t="s">
        <v>472</v>
      </c>
      <c r="B31" s="1139" t="s">
        <v>473</v>
      </c>
      <c r="C31" s="1136" t="s">
        <v>139</v>
      </c>
      <c r="D31" s="1137" t="s">
        <v>466</v>
      </c>
      <c r="E31" s="1137" t="s">
        <v>475</v>
      </c>
      <c r="F31" s="1188">
        <f>G31+H31+I31</f>
        <v>1670</v>
      </c>
      <c r="G31" s="1193">
        <v>1520</v>
      </c>
      <c r="H31" s="1193"/>
      <c r="I31" s="1188">
        <v>150</v>
      </c>
      <c r="J31" s="1187"/>
      <c r="K31" s="1187">
        <v>811</v>
      </c>
      <c r="L31" s="1188">
        <v>105</v>
      </c>
      <c r="M31" s="1188">
        <v>105</v>
      </c>
      <c r="N31" s="1187"/>
      <c r="O31" s="1187"/>
      <c r="P31" s="1188">
        <f t="shared" si="14"/>
        <v>0</v>
      </c>
      <c r="Q31" s="1187"/>
      <c r="R31" s="1187"/>
      <c r="S31" s="1133"/>
      <c r="T31" s="1133"/>
      <c r="U31" s="982"/>
      <c r="V31" s="1001"/>
      <c r="W31" s="1001"/>
      <c r="X31" s="912" t="s">
        <v>123</v>
      </c>
      <c r="Y31" s="152" t="s">
        <v>278</v>
      </c>
      <c r="Z31" s="148"/>
      <c r="AB31" s="953"/>
      <c r="AJ31" s="915"/>
      <c r="AK31" s="915"/>
    </row>
    <row r="32" spans="1:37" ht="20.100000000000001" customHeight="1" x14ac:dyDescent="0.2">
      <c r="A32" s="1116" t="s">
        <v>25</v>
      </c>
      <c r="B32" s="990" t="s">
        <v>402</v>
      </c>
      <c r="C32" s="1140"/>
      <c r="D32" s="1141"/>
      <c r="E32" s="1141"/>
      <c r="F32" s="1185">
        <f>F33+F56</f>
        <v>195447</v>
      </c>
      <c r="G32" s="1185">
        <f t="shared" ref="G32:R32" si="15">G33+G56</f>
        <v>184897</v>
      </c>
      <c r="H32" s="1185">
        <f t="shared" si="15"/>
        <v>10520</v>
      </c>
      <c r="I32" s="1185">
        <f t="shared" si="15"/>
        <v>30</v>
      </c>
      <c r="J32" s="1185">
        <f t="shared" ref="J32:K32" si="16">J33+J56</f>
        <v>7638.8810000000012</v>
      </c>
      <c r="K32" s="1185">
        <f t="shared" si="16"/>
        <v>43931</v>
      </c>
      <c r="L32" s="1185">
        <f t="shared" si="15"/>
        <v>102716</v>
      </c>
      <c r="M32" s="1185">
        <f t="shared" si="15"/>
        <v>64138</v>
      </c>
      <c r="N32" s="1185">
        <f t="shared" ref="N32:O32" si="17">N33+N56</f>
        <v>30026.666000000001</v>
      </c>
      <c r="O32" s="1185">
        <f t="shared" si="17"/>
        <v>29921.666000000001</v>
      </c>
      <c r="P32" s="1185">
        <f>N32/K32*100</f>
        <v>68.349607338781269</v>
      </c>
      <c r="Q32" s="1185">
        <f t="shared" si="15"/>
        <v>6315.9210000000003</v>
      </c>
      <c r="R32" s="1185">
        <f t="shared" si="15"/>
        <v>6315.9210000000003</v>
      </c>
      <c r="S32" s="1185">
        <f>Q32/J32*100</f>
        <v>82.681233023527909</v>
      </c>
      <c r="T32" s="1123"/>
      <c r="U32" s="990"/>
      <c r="V32" s="1064"/>
      <c r="W32" s="1064"/>
      <c r="Z32" s="148"/>
      <c r="AB32" s="953"/>
      <c r="AC32" s="126" t="e">
        <f>#REF!*60%</f>
        <v>#REF!</v>
      </c>
      <c r="AJ32" s="915"/>
      <c r="AK32" s="915"/>
    </row>
    <row r="33" spans="1:45" s="936" customFormat="1" ht="20.100000000000001" customHeight="1" x14ac:dyDescent="0.2">
      <c r="A33" s="1124"/>
      <c r="B33" s="1125" t="s">
        <v>462</v>
      </c>
      <c r="C33" s="1142"/>
      <c r="D33" s="1143"/>
      <c r="E33" s="1143"/>
      <c r="F33" s="1128">
        <f>SUM(F34:F55)</f>
        <v>194447</v>
      </c>
      <c r="G33" s="1128">
        <f t="shared" ref="G33:R33" si="18">SUM(G34:G55)</f>
        <v>183897</v>
      </c>
      <c r="H33" s="1128">
        <f t="shared" si="18"/>
        <v>10520</v>
      </c>
      <c r="I33" s="1128">
        <f t="shared" si="18"/>
        <v>30</v>
      </c>
      <c r="J33" s="1128">
        <f t="shared" ref="J33:K33" si="19">SUM(J34:J55)</f>
        <v>7638.8810000000012</v>
      </c>
      <c r="K33" s="1128">
        <f t="shared" si="19"/>
        <v>43731</v>
      </c>
      <c r="L33" s="1128">
        <f t="shared" si="18"/>
        <v>102274</v>
      </c>
      <c r="M33" s="1128">
        <f t="shared" si="18"/>
        <v>63696</v>
      </c>
      <c r="N33" s="1128">
        <f t="shared" ref="N33:O33" si="20">SUM(N34:N55)</f>
        <v>29826.666000000001</v>
      </c>
      <c r="O33" s="1128">
        <f t="shared" si="20"/>
        <v>29721.666000000001</v>
      </c>
      <c r="P33" s="1191">
        <f t="shared" si="14"/>
        <v>68.204856966454003</v>
      </c>
      <c r="Q33" s="1128">
        <f t="shared" si="18"/>
        <v>6315.9210000000003</v>
      </c>
      <c r="R33" s="1128">
        <f t="shared" si="18"/>
        <v>6315.9210000000003</v>
      </c>
      <c r="S33" s="1174">
        <f t="shared" si="10"/>
        <v>82.681233023527909</v>
      </c>
      <c r="T33" s="1145"/>
      <c r="U33" s="1125"/>
      <c r="V33" s="1003"/>
      <c r="W33" s="1003"/>
      <c r="X33" s="923"/>
      <c r="Z33" s="160"/>
      <c r="AB33" s="1065"/>
      <c r="AD33" s="935"/>
      <c r="AE33" s="935"/>
      <c r="AF33" s="935"/>
      <c r="AG33" s="935"/>
      <c r="AH33" s="935"/>
      <c r="AI33" s="935"/>
      <c r="AJ33" s="915"/>
      <c r="AK33" s="915"/>
      <c r="AL33" s="935"/>
      <c r="AM33" s="935"/>
      <c r="AN33" s="935"/>
      <c r="AO33" s="935"/>
      <c r="AP33" s="935"/>
      <c r="AQ33" s="935"/>
      <c r="AR33" s="935"/>
      <c r="AS33" s="935"/>
    </row>
    <row r="34" spans="1:45" ht="35.1" customHeight="1" x14ac:dyDescent="0.2">
      <c r="A34" s="1118">
        <v>1</v>
      </c>
      <c r="B34" s="1139" t="s">
        <v>168</v>
      </c>
      <c r="C34" s="1136" t="s">
        <v>144</v>
      </c>
      <c r="D34" s="1146" t="s">
        <v>179</v>
      </c>
      <c r="E34" s="1137" t="s">
        <v>184</v>
      </c>
      <c r="F34" s="1193">
        <v>20000</v>
      </c>
      <c r="G34" s="1193">
        <v>20000</v>
      </c>
      <c r="H34" s="1193"/>
      <c r="I34" s="1188"/>
      <c r="J34" s="1187">
        <v>1394.0879999999997</v>
      </c>
      <c r="K34" s="1133">
        <v>4000</v>
      </c>
      <c r="L34" s="1188">
        <v>12270</v>
      </c>
      <c r="M34" s="1188">
        <v>9400</v>
      </c>
      <c r="N34" s="1133">
        <v>4000</v>
      </c>
      <c r="O34" s="1133">
        <v>4000</v>
      </c>
      <c r="P34" s="1188">
        <f t="shared" si="14"/>
        <v>100</v>
      </c>
      <c r="Q34" s="1187">
        <v>1394.088</v>
      </c>
      <c r="R34" s="1187">
        <v>1394.088</v>
      </c>
      <c r="S34" s="1133">
        <f t="shared" si="10"/>
        <v>100.00000000000003</v>
      </c>
      <c r="T34" s="1133"/>
      <c r="U34" s="982"/>
      <c r="V34" s="1001"/>
      <c r="W34" s="1001"/>
      <c r="X34" s="912" t="s">
        <v>122</v>
      </c>
      <c r="Y34" s="955" t="s">
        <v>268</v>
      </c>
      <c r="Z34" s="148"/>
      <c r="AB34" s="953"/>
      <c r="AJ34" s="915" t="e">
        <f>#REF!-#REF!</f>
        <v>#REF!</v>
      </c>
      <c r="AK34" s="915" t="e">
        <f>#REF!-#REF!</f>
        <v>#REF!</v>
      </c>
    </row>
    <row r="35" spans="1:45" ht="54.95" customHeight="1" x14ac:dyDescent="0.2">
      <c r="A35" s="1118">
        <v>2</v>
      </c>
      <c r="B35" s="1139" t="s">
        <v>169</v>
      </c>
      <c r="C35" s="1136" t="s">
        <v>180</v>
      </c>
      <c r="D35" s="1146" t="s">
        <v>179</v>
      </c>
      <c r="E35" s="1137" t="s">
        <v>185</v>
      </c>
      <c r="F35" s="1193">
        <v>35000</v>
      </c>
      <c r="G35" s="1193">
        <v>35000</v>
      </c>
      <c r="H35" s="1193"/>
      <c r="I35" s="1188"/>
      <c r="J35" s="1187">
        <v>0</v>
      </c>
      <c r="K35" s="1133">
        <v>6251</v>
      </c>
      <c r="L35" s="1188">
        <v>15700</v>
      </c>
      <c r="M35" s="1188">
        <v>13655</v>
      </c>
      <c r="N35" s="1133">
        <v>6251</v>
      </c>
      <c r="O35" s="1133">
        <v>6186</v>
      </c>
      <c r="P35" s="1188">
        <f t="shared" si="14"/>
        <v>100</v>
      </c>
      <c r="Q35" s="1187"/>
      <c r="R35" s="1187"/>
      <c r="S35" s="1133"/>
      <c r="T35" s="1133"/>
      <c r="U35" s="982"/>
      <c r="V35" s="1001"/>
      <c r="W35" s="1001"/>
      <c r="X35" s="912" t="s">
        <v>122</v>
      </c>
      <c r="Y35" s="955" t="s">
        <v>268</v>
      </c>
      <c r="Z35" s="148"/>
      <c r="AB35" s="953"/>
      <c r="AJ35" s="915" t="e">
        <f>#REF!-#REF!</f>
        <v>#REF!</v>
      </c>
      <c r="AK35" s="915" t="e">
        <f>#REF!-#REF!</f>
        <v>#REF!</v>
      </c>
    </row>
    <row r="36" spans="1:45" ht="54.95" customHeight="1" x14ac:dyDescent="0.2">
      <c r="A36" s="1118">
        <v>3</v>
      </c>
      <c r="B36" s="1139" t="s">
        <v>170</v>
      </c>
      <c r="C36" s="1136" t="s">
        <v>181</v>
      </c>
      <c r="D36" s="1146" t="s">
        <v>179</v>
      </c>
      <c r="E36" s="1137" t="s">
        <v>186</v>
      </c>
      <c r="F36" s="1193">
        <v>35000</v>
      </c>
      <c r="G36" s="1193">
        <v>35000</v>
      </c>
      <c r="H36" s="1193"/>
      <c r="I36" s="1188"/>
      <c r="J36" s="1187">
        <v>0</v>
      </c>
      <c r="K36" s="1133">
        <v>8000</v>
      </c>
      <c r="L36" s="1188">
        <v>3461</v>
      </c>
      <c r="M36" s="1188">
        <v>530</v>
      </c>
      <c r="N36" s="1133">
        <v>0</v>
      </c>
      <c r="O36" s="1133"/>
      <c r="P36" s="1188">
        <f t="shared" si="14"/>
        <v>0</v>
      </c>
      <c r="Q36" s="1187"/>
      <c r="R36" s="1187"/>
      <c r="S36" s="1133"/>
      <c r="T36" s="1133"/>
      <c r="U36" s="982"/>
      <c r="V36" s="1001"/>
      <c r="W36" s="1001"/>
      <c r="X36" s="912" t="s">
        <v>122</v>
      </c>
      <c r="Y36" s="955" t="s">
        <v>268</v>
      </c>
      <c r="Z36" s="148"/>
      <c r="AB36" s="953"/>
      <c r="AJ36" s="915" t="e">
        <f>#REF!-#REF!</f>
        <v>#REF!</v>
      </c>
      <c r="AK36" s="915" t="e">
        <f>#REF!-#REF!</f>
        <v>#REF!</v>
      </c>
    </row>
    <row r="37" spans="1:45" ht="35.1" customHeight="1" x14ac:dyDescent="0.2">
      <c r="A37" s="1118">
        <v>4</v>
      </c>
      <c r="B37" s="1139" t="s">
        <v>171</v>
      </c>
      <c r="C37" s="1136" t="s">
        <v>182</v>
      </c>
      <c r="D37" s="1146" t="s">
        <v>179</v>
      </c>
      <c r="E37" s="1137" t="s">
        <v>187</v>
      </c>
      <c r="F37" s="1193">
        <v>4556</v>
      </c>
      <c r="G37" s="1193">
        <v>4556</v>
      </c>
      <c r="H37" s="1193"/>
      <c r="I37" s="1188"/>
      <c r="J37" s="1187">
        <v>0</v>
      </c>
      <c r="K37" s="1133">
        <v>1300</v>
      </c>
      <c r="L37" s="1188">
        <v>4185</v>
      </c>
      <c r="M37" s="1188">
        <v>2436</v>
      </c>
      <c r="N37" s="1133">
        <v>1300</v>
      </c>
      <c r="O37" s="1133">
        <v>1300</v>
      </c>
      <c r="P37" s="1188">
        <f t="shared" si="14"/>
        <v>100</v>
      </c>
      <c r="Q37" s="1187"/>
      <c r="R37" s="1187"/>
      <c r="S37" s="1133"/>
      <c r="T37" s="1133"/>
      <c r="U37" s="982"/>
      <c r="V37" s="1001"/>
      <c r="W37" s="1001"/>
      <c r="X37" s="912" t="s">
        <v>122</v>
      </c>
      <c r="Y37" s="955" t="s">
        <v>268</v>
      </c>
      <c r="Z37" s="148"/>
      <c r="AB37" s="953"/>
      <c r="AJ37" s="915" t="e">
        <f>#REF!-#REF!</f>
        <v>#REF!</v>
      </c>
      <c r="AK37" s="915" t="e">
        <f>#REF!-#REF!</f>
        <v>#REF!</v>
      </c>
    </row>
    <row r="38" spans="1:45" ht="35.1" customHeight="1" x14ac:dyDescent="0.2">
      <c r="A38" s="1118">
        <v>5</v>
      </c>
      <c r="B38" s="1139" t="s">
        <v>172</v>
      </c>
      <c r="C38" s="1136" t="s">
        <v>182</v>
      </c>
      <c r="D38" s="1146" t="s">
        <v>179</v>
      </c>
      <c r="E38" s="1137" t="s">
        <v>188</v>
      </c>
      <c r="F38" s="1193">
        <v>4000</v>
      </c>
      <c r="G38" s="1193">
        <v>4000</v>
      </c>
      <c r="H38" s="1193"/>
      <c r="I38" s="1188"/>
      <c r="J38" s="1187">
        <v>0</v>
      </c>
      <c r="K38" s="1133">
        <v>1200</v>
      </c>
      <c r="L38" s="1188">
        <v>3731</v>
      </c>
      <c r="M38" s="1188">
        <v>2534</v>
      </c>
      <c r="N38" s="1133">
        <v>1071.4670000000001</v>
      </c>
      <c r="O38" s="1133">
        <v>1071.4670000000001</v>
      </c>
      <c r="P38" s="1188">
        <f t="shared" si="14"/>
        <v>89.28891666666668</v>
      </c>
      <c r="Q38" s="1187"/>
      <c r="R38" s="1187"/>
      <c r="S38" s="1133"/>
      <c r="T38" s="1133"/>
      <c r="U38" s="982"/>
      <c r="V38" s="1001"/>
      <c r="W38" s="1001"/>
      <c r="X38" s="912" t="s">
        <v>122</v>
      </c>
      <c r="Y38" s="955" t="s">
        <v>268</v>
      </c>
      <c r="Z38" s="148"/>
      <c r="AB38" s="953"/>
      <c r="AJ38" s="915" t="e">
        <f>#REF!-#REF!</f>
        <v>#REF!</v>
      </c>
      <c r="AK38" s="915" t="e">
        <f>#REF!-#REF!</f>
        <v>#REF!</v>
      </c>
    </row>
    <row r="39" spans="1:45" ht="35.1" customHeight="1" x14ac:dyDescent="0.2">
      <c r="A39" s="1118">
        <v>6</v>
      </c>
      <c r="B39" s="1139" t="s">
        <v>173</v>
      </c>
      <c r="C39" s="1136" t="s">
        <v>143</v>
      </c>
      <c r="D39" s="1146" t="s">
        <v>179</v>
      </c>
      <c r="E39" s="1137" t="s">
        <v>189</v>
      </c>
      <c r="F39" s="1193">
        <v>5400</v>
      </c>
      <c r="G39" s="1193">
        <v>5400</v>
      </c>
      <c r="H39" s="1193"/>
      <c r="I39" s="1188"/>
      <c r="J39" s="1187">
        <v>0</v>
      </c>
      <c r="K39" s="1133">
        <v>1600</v>
      </c>
      <c r="L39" s="1188">
        <v>4876</v>
      </c>
      <c r="M39" s="1188">
        <v>3347</v>
      </c>
      <c r="N39" s="1133">
        <v>1589.6179999999999</v>
      </c>
      <c r="O39" s="1133">
        <v>1589.6179999999999</v>
      </c>
      <c r="P39" s="1188">
        <f t="shared" si="14"/>
        <v>99.351124999999996</v>
      </c>
      <c r="Q39" s="1187"/>
      <c r="R39" s="1187"/>
      <c r="S39" s="1133"/>
      <c r="T39" s="1133"/>
      <c r="U39" s="982"/>
      <c r="V39" s="1001"/>
      <c r="W39" s="1001"/>
      <c r="X39" s="912" t="s">
        <v>122</v>
      </c>
      <c r="Y39" s="955" t="s">
        <v>268</v>
      </c>
      <c r="Z39" s="148"/>
      <c r="AB39" s="953"/>
      <c r="AJ39" s="915" t="e">
        <f>#REF!-#REF!</f>
        <v>#REF!</v>
      </c>
      <c r="AK39" s="915" t="e">
        <f>#REF!-#REF!</f>
        <v>#REF!</v>
      </c>
    </row>
    <row r="40" spans="1:45" ht="35.1" customHeight="1" x14ac:dyDescent="0.2">
      <c r="A40" s="1118">
        <v>7</v>
      </c>
      <c r="B40" s="1139" t="s">
        <v>174</v>
      </c>
      <c r="C40" s="1136" t="s">
        <v>182</v>
      </c>
      <c r="D40" s="1146" t="s">
        <v>179</v>
      </c>
      <c r="E40" s="1137" t="s">
        <v>190</v>
      </c>
      <c r="F40" s="1193">
        <v>5000</v>
      </c>
      <c r="G40" s="1193">
        <v>5000</v>
      </c>
      <c r="H40" s="1193"/>
      <c r="I40" s="1188"/>
      <c r="J40" s="1187">
        <v>0</v>
      </c>
      <c r="K40" s="1133">
        <v>1500</v>
      </c>
      <c r="L40" s="1188">
        <v>4234</v>
      </c>
      <c r="M40" s="1188">
        <v>2514</v>
      </c>
      <c r="N40" s="1133">
        <v>1500</v>
      </c>
      <c r="O40" s="1133">
        <v>1500</v>
      </c>
      <c r="P40" s="1188">
        <f t="shared" si="14"/>
        <v>100</v>
      </c>
      <c r="Q40" s="1187"/>
      <c r="R40" s="1187"/>
      <c r="S40" s="1133"/>
      <c r="T40" s="1133"/>
      <c r="U40" s="982"/>
      <c r="V40" s="1001"/>
      <c r="W40" s="1001"/>
      <c r="X40" s="912" t="s">
        <v>122</v>
      </c>
      <c r="Y40" s="955" t="s">
        <v>268</v>
      </c>
      <c r="Z40" s="148"/>
      <c r="AB40" s="953"/>
      <c r="AJ40" s="915" t="e">
        <f>#REF!-#REF!</f>
        <v>#REF!</v>
      </c>
      <c r="AK40" s="915" t="e">
        <f>#REF!-#REF!</f>
        <v>#REF!</v>
      </c>
    </row>
    <row r="41" spans="1:45" ht="35.1" customHeight="1" x14ac:dyDescent="0.2">
      <c r="A41" s="1118">
        <v>8</v>
      </c>
      <c r="B41" s="1139" t="s">
        <v>175</v>
      </c>
      <c r="C41" s="1136" t="s">
        <v>182</v>
      </c>
      <c r="D41" s="1146" t="s">
        <v>179</v>
      </c>
      <c r="E41" s="1137" t="s">
        <v>191</v>
      </c>
      <c r="F41" s="1193">
        <v>4500</v>
      </c>
      <c r="G41" s="1193">
        <v>3150</v>
      </c>
      <c r="H41" s="1193">
        <v>1350</v>
      </c>
      <c r="I41" s="1188"/>
      <c r="J41" s="1187">
        <v>0</v>
      </c>
      <c r="K41" s="1133">
        <v>1350</v>
      </c>
      <c r="L41" s="1188">
        <v>4500</v>
      </c>
      <c r="M41" s="1188">
        <v>2500</v>
      </c>
      <c r="N41" s="1133">
        <v>1012.5980000000001</v>
      </c>
      <c r="O41" s="1133">
        <v>1012.5980000000001</v>
      </c>
      <c r="P41" s="1188">
        <f t="shared" si="14"/>
        <v>75.007259259259257</v>
      </c>
      <c r="Q41" s="1187"/>
      <c r="R41" s="1187"/>
      <c r="S41" s="1133"/>
      <c r="T41" s="1133"/>
      <c r="U41" s="982"/>
      <c r="V41" s="1001"/>
      <c r="W41" s="1001"/>
      <c r="X41" s="912" t="s">
        <v>122</v>
      </c>
      <c r="Y41" s="955" t="s">
        <v>268</v>
      </c>
      <c r="Z41" s="148"/>
      <c r="AB41" s="953"/>
      <c r="AJ41" s="915" t="e">
        <f>#REF!-#REF!</f>
        <v>#REF!</v>
      </c>
      <c r="AK41" s="915" t="e">
        <f>#REF!-#REF!</f>
        <v>#REF!</v>
      </c>
    </row>
    <row r="42" spans="1:45" ht="54.95" customHeight="1" x14ac:dyDescent="0.2">
      <c r="A42" s="1118">
        <v>9</v>
      </c>
      <c r="B42" s="1139" t="s">
        <v>176</v>
      </c>
      <c r="C42" s="1136" t="s">
        <v>183</v>
      </c>
      <c r="D42" s="1146" t="s">
        <v>179</v>
      </c>
      <c r="E42" s="1137" t="s">
        <v>192</v>
      </c>
      <c r="F42" s="1193">
        <v>24841</v>
      </c>
      <c r="G42" s="1193">
        <v>20671</v>
      </c>
      <c r="H42" s="1193">
        <v>4170</v>
      </c>
      <c r="I42" s="1188"/>
      <c r="J42" s="1187">
        <v>0</v>
      </c>
      <c r="K42" s="1133">
        <v>5000</v>
      </c>
      <c r="L42" s="1188">
        <v>11000</v>
      </c>
      <c r="M42" s="1188">
        <v>7885</v>
      </c>
      <c r="N42" s="1133">
        <v>5000</v>
      </c>
      <c r="O42" s="1133">
        <v>4960</v>
      </c>
      <c r="P42" s="1188">
        <f t="shared" si="14"/>
        <v>100</v>
      </c>
      <c r="Q42" s="1187"/>
      <c r="R42" s="1187"/>
      <c r="S42" s="1133"/>
      <c r="T42" s="1133"/>
      <c r="U42" s="982"/>
      <c r="V42" s="1001"/>
      <c r="W42" s="1001"/>
      <c r="X42" s="912" t="s">
        <v>122</v>
      </c>
      <c r="Y42" s="955" t="s">
        <v>268</v>
      </c>
      <c r="Z42" s="148"/>
      <c r="AB42" s="953"/>
      <c r="AJ42" s="915" t="e">
        <f>#REF!-#REF!</f>
        <v>#REF!</v>
      </c>
      <c r="AK42" s="915" t="e">
        <f>#REF!-#REF!</f>
        <v>#REF!</v>
      </c>
    </row>
    <row r="43" spans="1:45" ht="35.1" customHeight="1" x14ac:dyDescent="0.2">
      <c r="A43" s="1118">
        <v>10</v>
      </c>
      <c r="B43" s="1139" t="s">
        <v>177</v>
      </c>
      <c r="C43" s="1136" t="s">
        <v>143</v>
      </c>
      <c r="D43" s="1146" t="s">
        <v>179</v>
      </c>
      <c r="E43" s="1137" t="s">
        <v>193</v>
      </c>
      <c r="F43" s="1193">
        <v>4000</v>
      </c>
      <c r="G43" s="1193">
        <v>4000</v>
      </c>
      <c r="H43" s="1193"/>
      <c r="I43" s="1188"/>
      <c r="J43" s="1187">
        <v>0</v>
      </c>
      <c r="K43" s="1133">
        <v>1200</v>
      </c>
      <c r="L43" s="1188">
        <v>3776</v>
      </c>
      <c r="M43" s="1188">
        <v>2932</v>
      </c>
      <c r="N43" s="1133">
        <v>1200</v>
      </c>
      <c r="O43" s="1133">
        <v>1200</v>
      </c>
      <c r="P43" s="1188">
        <f t="shared" si="14"/>
        <v>100</v>
      </c>
      <c r="Q43" s="1187"/>
      <c r="R43" s="1187"/>
      <c r="S43" s="1133"/>
      <c r="T43" s="1133"/>
      <c r="U43" s="982"/>
      <c r="V43" s="1001"/>
      <c r="W43" s="1001"/>
      <c r="X43" s="912" t="s">
        <v>122</v>
      </c>
      <c r="Y43" s="955" t="s">
        <v>268</v>
      </c>
      <c r="Z43" s="148"/>
      <c r="AB43" s="953"/>
      <c r="AJ43" s="915" t="e">
        <f>#REF!-#REF!</f>
        <v>#REF!</v>
      </c>
      <c r="AK43" s="915" t="e">
        <f>#REF!-#REF!</f>
        <v>#REF!</v>
      </c>
    </row>
    <row r="44" spans="1:45" ht="35.1" customHeight="1" x14ac:dyDescent="0.2">
      <c r="A44" s="1118">
        <v>11</v>
      </c>
      <c r="B44" s="1139" t="s">
        <v>178</v>
      </c>
      <c r="C44" s="1136" t="s">
        <v>182</v>
      </c>
      <c r="D44" s="1146" t="s">
        <v>179</v>
      </c>
      <c r="E44" s="1137" t="s">
        <v>194</v>
      </c>
      <c r="F44" s="1193">
        <v>1500</v>
      </c>
      <c r="G44" s="1193">
        <v>1500</v>
      </c>
      <c r="H44" s="1193"/>
      <c r="I44" s="1188"/>
      <c r="J44" s="1187">
        <v>63.966999999999985</v>
      </c>
      <c r="K44" s="1133">
        <v>800</v>
      </c>
      <c r="L44" s="1188">
        <v>675</v>
      </c>
      <c r="M44" s="1188">
        <v>300</v>
      </c>
      <c r="N44" s="1133">
        <v>36.076000000000001</v>
      </c>
      <c r="O44" s="1133">
        <v>36.076000000000001</v>
      </c>
      <c r="P44" s="1188">
        <f t="shared" si="14"/>
        <v>4.5095000000000001</v>
      </c>
      <c r="Q44" s="1187">
        <v>63.966999999999999</v>
      </c>
      <c r="R44" s="1187">
        <v>63.966999999999999</v>
      </c>
      <c r="S44" s="1133">
        <f t="shared" si="10"/>
        <v>100.00000000000003</v>
      </c>
      <c r="T44" s="1133"/>
      <c r="U44" s="982"/>
      <c r="V44" s="1001"/>
      <c r="W44" s="1001"/>
      <c r="X44" s="912" t="s">
        <v>122</v>
      </c>
      <c r="Y44" s="955" t="s">
        <v>268</v>
      </c>
      <c r="Z44" s="148"/>
      <c r="AB44" s="953"/>
      <c r="AJ44" s="915" t="e">
        <f>#REF!-#REF!</f>
        <v>#REF!</v>
      </c>
      <c r="AK44" s="915" t="e">
        <f>#REF!-#REF!</f>
        <v>#REF!</v>
      </c>
    </row>
    <row r="45" spans="1:45" ht="35.1" customHeight="1" x14ac:dyDescent="0.2">
      <c r="A45" s="1118">
        <v>12</v>
      </c>
      <c r="B45" s="1147" t="s">
        <v>281</v>
      </c>
      <c r="C45" s="1137" t="s">
        <v>292</v>
      </c>
      <c r="D45" s="1146" t="s">
        <v>179</v>
      </c>
      <c r="E45" s="1137" t="s">
        <v>306</v>
      </c>
      <c r="F45" s="1193">
        <v>6000</v>
      </c>
      <c r="G45" s="1193">
        <v>5500</v>
      </c>
      <c r="H45" s="1193">
        <v>500</v>
      </c>
      <c r="I45" s="1188"/>
      <c r="J45" s="1187">
        <v>518.29199999999992</v>
      </c>
      <c r="K45" s="1133">
        <v>1800</v>
      </c>
      <c r="L45" s="1188">
        <v>1242</v>
      </c>
      <c r="M45" s="1188">
        <v>820</v>
      </c>
      <c r="N45" s="1133">
        <v>0</v>
      </c>
      <c r="O45" s="1133"/>
      <c r="P45" s="1188">
        <f t="shared" si="14"/>
        <v>0</v>
      </c>
      <c r="Q45" s="1187"/>
      <c r="R45" s="1187"/>
      <c r="S45" s="1133">
        <f t="shared" si="10"/>
        <v>0</v>
      </c>
      <c r="T45" s="1133"/>
      <c r="U45" s="982"/>
      <c r="V45" s="1001"/>
      <c r="W45" s="1001"/>
      <c r="X45" s="912" t="s">
        <v>122</v>
      </c>
      <c r="Y45" s="955" t="s">
        <v>268</v>
      </c>
      <c r="Z45" s="1066" t="s">
        <v>318</v>
      </c>
      <c r="AB45" s="953"/>
      <c r="AJ45" s="915" t="e">
        <f>#REF!-#REF!</f>
        <v>#REF!</v>
      </c>
      <c r="AK45" s="915" t="e">
        <f>#REF!-#REF!</f>
        <v>#REF!</v>
      </c>
    </row>
    <row r="46" spans="1:45" ht="35.1" customHeight="1" x14ac:dyDescent="0.2">
      <c r="A46" s="1118">
        <v>13</v>
      </c>
      <c r="B46" s="1147" t="s">
        <v>282</v>
      </c>
      <c r="C46" s="1137" t="s">
        <v>292</v>
      </c>
      <c r="D46" s="1146" t="s">
        <v>179</v>
      </c>
      <c r="E46" s="1137" t="s">
        <v>307</v>
      </c>
      <c r="F46" s="1193">
        <v>4000</v>
      </c>
      <c r="G46" s="1193">
        <v>3500</v>
      </c>
      <c r="H46" s="1193">
        <v>500</v>
      </c>
      <c r="I46" s="1188"/>
      <c r="J46" s="1187">
        <v>413.404</v>
      </c>
      <c r="K46" s="1133">
        <v>1200</v>
      </c>
      <c r="L46" s="1188">
        <v>1253</v>
      </c>
      <c r="M46" s="1188">
        <v>832</v>
      </c>
      <c r="N46" s="1133">
        <v>545.447</v>
      </c>
      <c r="O46" s="1133">
        <v>545.447</v>
      </c>
      <c r="P46" s="1188">
        <f t="shared" si="14"/>
        <v>45.453916666666665</v>
      </c>
      <c r="Q46" s="1187"/>
      <c r="R46" s="1187"/>
      <c r="S46" s="1133">
        <f t="shared" si="10"/>
        <v>0</v>
      </c>
      <c r="T46" s="1133"/>
      <c r="U46" s="982"/>
      <c r="V46" s="1001"/>
      <c r="W46" s="1001"/>
      <c r="X46" s="912" t="s">
        <v>122</v>
      </c>
      <c r="Y46" s="955" t="s">
        <v>268</v>
      </c>
      <c r="Z46" s="1066" t="s">
        <v>318</v>
      </c>
      <c r="AB46" s="953"/>
      <c r="AJ46" s="915" t="e">
        <f>#REF!-#REF!</f>
        <v>#REF!</v>
      </c>
      <c r="AK46" s="915" t="e">
        <f>#REF!-#REF!</f>
        <v>#REF!</v>
      </c>
    </row>
    <row r="47" spans="1:45" ht="54.95" customHeight="1" x14ac:dyDescent="0.2">
      <c r="A47" s="1118">
        <v>14</v>
      </c>
      <c r="B47" s="1147" t="s">
        <v>283</v>
      </c>
      <c r="C47" s="1148" t="s">
        <v>142</v>
      </c>
      <c r="D47" s="1146" t="s">
        <v>179</v>
      </c>
      <c r="E47" s="1137" t="s">
        <v>308</v>
      </c>
      <c r="F47" s="1193">
        <v>7000</v>
      </c>
      <c r="G47" s="1193">
        <v>6000</v>
      </c>
      <c r="H47" s="1193">
        <v>1000</v>
      </c>
      <c r="I47" s="1188"/>
      <c r="J47" s="1187">
        <v>0</v>
      </c>
      <c r="K47" s="1133">
        <v>2100</v>
      </c>
      <c r="L47" s="1188">
        <v>6800</v>
      </c>
      <c r="M47" s="1188">
        <v>3000</v>
      </c>
      <c r="N47" s="1133">
        <v>2100</v>
      </c>
      <c r="O47" s="1133">
        <v>2100</v>
      </c>
      <c r="P47" s="1188">
        <f t="shared" si="14"/>
        <v>100</v>
      </c>
      <c r="Q47" s="1187"/>
      <c r="R47" s="1187"/>
      <c r="S47" s="1133"/>
      <c r="T47" s="1133"/>
      <c r="U47" s="982"/>
      <c r="V47" s="1001"/>
      <c r="W47" s="1001"/>
      <c r="X47" s="912" t="s">
        <v>122</v>
      </c>
      <c r="Y47" s="955" t="s">
        <v>268</v>
      </c>
      <c r="Z47" s="1066" t="s">
        <v>318</v>
      </c>
      <c r="AB47" s="953"/>
      <c r="AJ47" s="915" t="e">
        <f>#REF!-#REF!</f>
        <v>#REF!</v>
      </c>
      <c r="AK47" s="915" t="e">
        <f>#REF!-#REF!</f>
        <v>#REF!</v>
      </c>
    </row>
    <row r="48" spans="1:45" ht="35.1" customHeight="1" x14ac:dyDescent="0.2">
      <c r="A48" s="1118">
        <v>15</v>
      </c>
      <c r="B48" s="1147" t="s">
        <v>284</v>
      </c>
      <c r="C48" s="1148" t="s">
        <v>142</v>
      </c>
      <c r="D48" s="1146" t="s">
        <v>179</v>
      </c>
      <c r="E48" s="1137" t="s">
        <v>309</v>
      </c>
      <c r="F48" s="1193">
        <v>6000</v>
      </c>
      <c r="G48" s="1193">
        <v>5000</v>
      </c>
      <c r="H48" s="1193">
        <v>1000</v>
      </c>
      <c r="I48" s="1188"/>
      <c r="J48" s="1187">
        <v>0</v>
      </c>
      <c r="K48" s="1133">
        <v>1800</v>
      </c>
      <c r="L48" s="1188">
        <v>5900</v>
      </c>
      <c r="M48" s="1188">
        <v>3700</v>
      </c>
      <c r="N48" s="1133">
        <v>1800</v>
      </c>
      <c r="O48" s="1133">
        <v>1800</v>
      </c>
      <c r="P48" s="1188">
        <f t="shared" si="14"/>
        <v>100</v>
      </c>
      <c r="Q48" s="1187"/>
      <c r="R48" s="1187"/>
      <c r="S48" s="1133"/>
      <c r="T48" s="1133"/>
      <c r="U48" s="982"/>
      <c r="V48" s="1001"/>
      <c r="W48" s="1001"/>
      <c r="X48" s="912" t="s">
        <v>122</v>
      </c>
      <c r="Y48" s="955" t="s">
        <v>268</v>
      </c>
      <c r="Z48" s="1066" t="s">
        <v>318</v>
      </c>
      <c r="AB48" s="953"/>
      <c r="AJ48" s="915" t="e">
        <f>#REF!-#REF!</f>
        <v>#REF!</v>
      </c>
      <c r="AK48" s="915" t="e">
        <f>#REF!-#REF!</f>
        <v>#REF!</v>
      </c>
    </row>
    <row r="49" spans="1:45" ht="54.95" customHeight="1" x14ac:dyDescent="0.2">
      <c r="A49" s="1118">
        <v>16</v>
      </c>
      <c r="B49" s="1149" t="s">
        <v>285</v>
      </c>
      <c r="C49" s="1137" t="s">
        <v>142</v>
      </c>
      <c r="D49" s="1146" t="s">
        <v>179</v>
      </c>
      <c r="E49" s="1137" t="s">
        <v>310</v>
      </c>
      <c r="F49" s="1193">
        <v>7000</v>
      </c>
      <c r="G49" s="1193">
        <v>5000</v>
      </c>
      <c r="H49" s="1193">
        <v>2000</v>
      </c>
      <c r="I49" s="1188"/>
      <c r="J49" s="1187">
        <v>0</v>
      </c>
      <c r="K49" s="1133">
        <v>1500</v>
      </c>
      <c r="L49" s="1188">
        <v>6800</v>
      </c>
      <c r="M49" s="1188">
        <v>3000</v>
      </c>
      <c r="N49" s="1133">
        <v>1500</v>
      </c>
      <c r="O49" s="1133">
        <v>1500</v>
      </c>
      <c r="P49" s="1188">
        <f t="shared" si="14"/>
        <v>100</v>
      </c>
      <c r="Q49" s="1187"/>
      <c r="R49" s="1187"/>
      <c r="S49" s="1133"/>
      <c r="T49" s="1133"/>
      <c r="U49" s="982"/>
      <c r="V49" s="1001"/>
      <c r="W49" s="1001"/>
      <c r="X49" s="912" t="s">
        <v>122</v>
      </c>
      <c r="Y49" s="955" t="s">
        <v>268</v>
      </c>
      <c r="Z49" s="1066" t="s">
        <v>318</v>
      </c>
      <c r="AB49" s="953"/>
      <c r="AJ49" s="915" t="e">
        <f>#REF!-#REF!</f>
        <v>#REF!</v>
      </c>
      <c r="AK49" s="915" t="e">
        <f>#REF!-#REF!</f>
        <v>#REF!</v>
      </c>
    </row>
    <row r="50" spans="1:45" ht="35.1" customHeight="1" x14ac:dyDescent="0.2">
      <c r="A50" s="1118">
        <v>17</v>
      </c>
      <c r="B50" s="1149" t="s">
        <v>286</v>
      </c>
      <c r="C50" s="1137" t="s">
        <v>293</v>
      </c>
      <c r="D50" s="1146" t="s">
        <v>179</v>
      </c>
      <c r="E50" s="1137" t="s">
        <v>311</v>
      </c>
      <c r="F50" s="1193">
        <v>3150</v>
      </c>
      <c r="G50" s="1193">
        <v>3150</v>
      </c>
      <c r="H50" s="1193"/>
      <c r="I50" s="1188"/>
      <c r="J50" s="1187">
        <v>1800</v>
      </c>
      <c r="K50" s="1133">
        <v>400</v>
      </c>
      <c r="L50" s="1188">
        <v>2075</v>
      </c>
      <c r="M50" s="1188">
        <v>1130</v>
      </c>
      <c r="N50" s="1133">
        <v>400</v>
      </c>
      <c r="O50" s="1133">
        <v>400</v>
      </c>
      <c r="P50" s="1188">
        <f t="shared" si="14"/>
        <v>100</v>
      </c>
      <c r="Q50" s="1187">
        <v>1800</v>
      </c>
      <c r="R50" s="1187">
        <v>1800</v>
      </c>
      <c r="S50" s="1133">
        <f t="shared" si="10"/>
        <v>100</v>
      </c>
      <c r="T50" s="1133"/>
      <c r="U50" s="982"/>
      <c r="V50" s="1001"/>
      <c r="W50" s="1001"/>
      <c r="X50" s="912" t="s">
        <v>122</v>
      </c>
      <c r="Y50" s="152" t="s">
        <v>274</v>
      </c>
      <c r="Z50" s="148"/>
      <c r="AB50" s="953"/>
      <c r="AJ50" s="915" t="e">
        <f>#REF!-#REF!</f>
        <v>#REF!</v>
      </c>
      <c r="AK50" s="915" t="e">
        <f>#REF!-#REF!</f>
        <v>#REF!</v>
      </c>
    </row>
    <row r="51" spans="1:45" ht="35.1" customHeight="1" x14ac:dyDescent="0.2">
      <c r="A51" s="1118">
        <v>18</v>
      </c>
      <c r="B51" s="1149" t="s">
        <v>287</v>
      </c>
      <c r="C51" s="1137" t="s">
        <v>294</v>
      </c>
      <c r="D51" s="1146" t="s">
        <v>179</v>
      </c>
      <c r="E51" s="1137" t="s">
        <v>312</v>
      </c>
      <c r="F51" s="1193">
        <v>2000</v>
      </c>
      <c r="G51" s="1193">
        <v>2000</v>
      </c>
      <c r="H51" s="1193"/>
      <c r="I51" s="1188"/>
      <c r="J51" s="1187">
        <v>0</v>
      </c>
      <c r="K51" s="1133">
        <v>400</v>
      </c>
      <c r="L51" s="1188">
        <v>1045</v>
      </c>
      <c r="M51" s="1188">
        <v>530</v>
      </c>
      <c r="N51" s="1133">
        <v>400</v>
      </c>
      <c r="O51" s="1133">
        <v>400</v>
      </c>
      <c r="P51" s="1188">
        <f t="shared" si="14"/>
        <v>100</v>
      </c>
      <c r="Q51" s="1187"/>
      <c r="R51" s="1187"/>
      <c r="S51" s="1133"/>
      <c r="T51" s="1133"/>
      <c r="U51" s="982"/>
      <c r="V51" s="1001"/>
      <c r="W51" s="1001"/>
      <c r="X51" s="912" t="s">
        <v>122</v>
      </c>
      <c r="Y51" s="152" t="s">
        <v>274</v>
      </c>
      <c r="Z51" s="148"/>
      <c r="AB51" s="953"/>
      <c r="AJ51" s="915" t="e">
        <f>#REF!-#REF!</f>
        <v>#REF!</v>
      </c>
      <c r="AK51" s="915" t="e">
        <f>#REF!-#REF!</f>
        <v>#REF!</v>
      </c>
    </row>
    <row r="52" spans="1:45" ht="35.1" customHeight="1" x14ac:dyDescent="0.2">
      <c r="A52" s="1118">
        <v>19</v>
      </c>
      <c r="B52" s="1147" t="s">
        <v>288</v>
      </c>
      <c r="C52" s="1137" t="s">
        <v>182</v>
      </c>
      <c r="D52" s="1146" t="s">
        <v>179</v>
      </c>
      <c r="E52" s="1137" t="s">
        <v>313</v>
      </c>
      <c r="F52" s="1193">
        <v>4000</v>
      </c>
      <c r="G52" s="1193">
        <v>4000</v>
      </c>
      <c r="H52" s="1193"/>
      <c r="I52" s="1188"/>
      <c r="J52" s="1187">
        <v>5.5109999999999673</v>
      </c>
      <c r="K52" s="1133">
        <v>580</v>
      </c>
      <c r="L52" s="1188">
        <v>3102</v>
      </c>
      <c r="M52" s="1188">
        <v>602</v>
      </c>
      <c r="N52" s="1133">
        <v>0</v>
      </c>
      <c r="O52" s="1133"/>
      <c r="P52" s="1188">
        <f t="shared" si="14"/>
        <v>0</v>
      </c>
      <c r="Q52" s="1187"/>
      <c r="R52" s="1187"/>
      <c r="S52" s="1133">
        <f t="shared" si="10"/>
        <v>0</v>
      </c>
      <c r="T52" s="1133"/>
      <c r="U52" s="982"/>
      <c r="V52" s="1001"/>
      <c r="W52" s="1001"/>
      <c r="X52" s="912" t="s">
        <v>122</v>
      </c>
      <c r="Y52" s="152" t="s">
        <v>278</v>
      </c>
      <c r="Z52" s="148"/>
      <c r="AB52" s="953"/>
      <c r="AJ52" s="915" t="e">
        <f>#REF!-#REF!</f>
        <v>#REF!</v>
      </c>
      <c r="AK52" s="915" t="e">
        <f>#REF!-#REF!</f>
        <v>#REF!</v>
      </c>
    </row>
    <row r="53" spans="1:45" ht="35.1" customHeight="1" x14ac:dyDescent="0.2">
      <c r="A53" s="1118">
        <v>20</v>
      </c>
      <c r="B53" s="1147" t="s">
        <v>289</v>
      </c>
      <c r="C53" s="1137" t="s">
        <v>182</v>
      </c>
      <c r="D53" s="1146" t="s">
        <v>179</v>
      </c>
      <c r="E53" s="1137" t="s">
        <v>314</v>
      </c>
      <c r="F53" s="1193">
        <v>5000</v>
      </c>
      <c r="G53" s="1193">
        <v>4980</v>
      </c>
      <c r="H53" s="1193"/>
      <c r="I53" s="1188">
        <v>20</v>
      </c>
      <c r="J53" s="1187">
        <v>1550.492</v>
      </c>
      <c r="K53" s="1133">
        <v>500</v>
      </c>
      <c r="L53" s="1188">
        <v>2320</v>
      </c>
      <c r="M53" s="1188">
        <v>820</v>
      </c>
      <c r="N53" s="1133">
        <v>0</v>
      </c>
      <c r="O53" s="1133"/>
      <c r="P53" s="1188">
        <f t="shared" si="14"/>
        <v>0</v>
      </c>
      <c r="Q53" s="1187">
        <v>1290.5440000000001</v>
      </c>
      <c r="R53" s="1187">
        <v>1290.5440000000001</v>
      </c>
      <c r="S53" s="1133">
        <f t="shared" si="10"/>
        <v>83.234482989915477</v>
      </c>
      <c r="T53" s="1133"/>
      <c r="U53" s="982"/>
      <c r="V53" s="1001"/>
      <c r="W53" s="1001"/>
      <c r="X53" s="912" t="s">
        <v>122</v>
      </c>
      <c r="Y53" s="152" t="s">
        <v>278</v>
      </c>
      <c r="Z53" s="148"/>
      <c r="AB53" s="953"/>
      <c r="AJ53" s="915" t="e">
        <f>#REF!-#REF!</f>
        <v>#REF!</v>
      </c>
      <c r="AK53" s="915" t="e">
        <f>#REF!-#REF!</f>
        <v>#REF!</v>
      </c>
    </row>
    <row r="54" spans="1:45" ht="35.1" customHeight="1" x14ac:dyDescent="0.2">
      <c r="A54" s="1118">
        <v>21</v>
      </c>
      <c r="B54" s="1147" t="s">
        <v>290</v>
      </c>
      <c r="C54" s="1137" t="s">
        <v>259</v>
      </c>
      <c r="D54" s="1146" t="s">
        <v>179</v>
      </c>
      <c r="E54" s="1137" t="s">
        <v>315</v>
      </c>
      <c r="F54" s="1193">
        <v>4500</v>
      </c>
      <c r="G54" s="1193">
        <v>4490</v>
      </c>
      <c r="H54" s="1193"/>
      <c r="I54" s="1188">
        <v>10</v>
      </c>
      <c r="J54" s="1187">
        <v>1093.127</v>
      </c>
      <c r="K54" s="1133">
        <v>650</v>
      </c>
      <c r="L54" s="1188">
        <v>2184</v>
      </c>
      <c r="M54" s="1188">
        <v>684</v>
      </c>
      <c r="N54" s="1133">
        <v>0</v>
      </c>
      <c r="O54" s="1133"/>
      <c r="P54" s="1188">
        <f t="shared" si="14"/>
        <v>0</v>
      </c>
      <c r="Q54" s="1187">
        <v>1093.127</v>
      </c>
      <c r="R54" s="1187">
        <v>1093.127</v>
      </c>
      <c r="S54" s="1133">
        <f t="shared" si="10"/>
        <v>100</v>
      </c>
      <c r="T54" s="1133"/>
      <c r="U54" s="982"/>
      <c r="V54" s="1001"/>
      <c r="W54" s="1001"/>
      <c r="X54" s="912" t="s">
        <v>122</v>
      </c>
      <c r="Y54" s="152" t="s">
        <v>273</v>
      </c>
      <c r="Z54" s="148"/>
      <c r="AB54" s="953"/>
      <c r="AJ54" s="915" t="e">
        <f>#REF!-#REF!</f>
        <v>#REF!</v>
      </c>
      <c r="AK54" s="915" t="e">
        <f>#REF!-#REF!</f>
        <v>#REF!</v>
      </c>
    </row>
    <row r="55" spans="1:45" ht="35.1" customHeight="1" x14ac:dyDescent="0.2">
      <c r="A55" s="1118">
        <v>22</v>
      </c>
      <c r="B55" s="1147" t="s">
        <v>291</v>
      </c>
      <c r="C55" s="1137" t="s">
        <v>259</v>
      </c>
      <c r="D55" s="1146" t="s">
        <v>179</v>
      </c>
      <c r="E55" s="1137" t="s">
        <v>316</v>
      </c>
      <c r="F55" s="1193">
        <v>2000</v>
      </c>
      <c r="G55" s="1193">
        <v>2000</v>
      </c>
      <c r="H55" s="1193"/>
      <c r="I55" s="1188"/>
      <c r="J55" s="1187">
        <v>800</v>
      </c>
      <c r="K55" s="1133">
        <v>600</v>
      </c>
      <c r="L55" s="1188">
        <v>1145</v>
      </c>
      <c r="M55" s="1188">
        <v>545</v>
      </c>
      <c r="N55" s="1133">
        <v>120.46</v>
      </c>
      <c r="O55" s="1133">
        <v>120.46</v>
      </c>
      <c r="P55" s="1188">
        <f t="shared" si="14"/>
        <v>20.076666666666664</v>
      </c>
      <c r="Q55" s="1187">
        <v>674.19500000000005</v>
      </c>
      <c r="R55" s="1187">
        <v>674.19500000000005</v>
      </c>
      <c r="S55" s="1133">
        <f t="shared" si="10"/>
        <v>84.274375000000006</v>
      </c>
      <c r="T55" s="1133"/>
      <c r="U55" s="982"/>
      <c r="V55" s="1001"/>
      <c r="W55" s="1001"/>
      <c r="X55" s="912" t="s">
        <v>122</v>
      </c>
      <c r="Y55" s="152" t="s">
        <v>273</v>
      </c>
      <c r="Z55" s="148"/>
      <c r="AB55" s="953"/>
      <c r="AJ55" s="915" t="e">
        <f>#REF!-#REF!</f>
        <v>#REF!</v>
      </c>
      <c r="AK55" s="915" t="e">
        <f>#REF!-#REF!</f>
        <v>#REF!</v>
      </c>
    </row>
    <row r="56" spans="1:45" s="1004" customFormat="1" ht="20.100000000000001" customHeight="1" x14ac:dyDescent="0.2">
      <c r="A56" s="1124" t="s">
        <v>30</v>
      </c>
      <c r="B56" s="1135" t="s">
        <v>463</v>
      </c>
      <c r="C56" s="1150"/>
      <c r="D56" s="1143"/>
      <c r="E56" s="1150"/>
      <c r="F56" s="1191">
        <f>SUM(F57)</f>
        <v>1000</v>
      </c>
      <c r="G56" s="1191">
        <f t="shared" ref="G56:R56" si="21">SUM(G57)</f>
        <v>1000</v>
      </c>
      <c r="H56" s="1191">
        <f t="shared" si="21"/>
        <v>0</v>
      </c>
      <c r="I56" s="1191">
        <f t="shared" si="21"/>
        <v>0</v>
      </c>
      <c r="J56" s="1192">
        <f t="shared" si="21"/>
        <v>0</v>
      </c>
      <c r="K56" s="1191">
        <f t="shared" si="21"/>
        <v>200</v>
      </c>
      <c r="L56" s="1191">
        <f t="shared" si="21"/>
        <v>442</v>
      </c>
      <c r="M56" s="1191">
        <f t="shared" si="21"/>
        <v>442</v>
      </c>
      <c r="N56" s="1191">
        <f t="shared" si="21"/>
        <v>200</v>
      </c>
      <c r="O56" s="1191">
        <f t="shared" si="21"/>
        <v>200</v>
      </c>
      <c r="P56" s="1191"/>
      <c r="Q56" s="1192">
        <f t="shared" si="21"/>
        <v>0</v>
      </c>
      <c r="R56" s="1192">
        <f t="shared" si="21"/>
        <v>0</v>
      </c>
      <c r="S56" s="1133"/>
      <c r="T56" s="1128"/>
      <c r="U56" s="1125"/>
      <c r="V56" s="1003"/>
      <c r="W56" s="1003"/>
      <c r="X56" s="1067"/>
      <c r="Y56" s="156"/>
      <c r="Z56" s="1068"/>
      <c r="AB56" s="1069"/>
      <c r="AD56" s="1005"/>
      <c r="AE56" s="1005"/>
      <c r="AF56" s="1005"/>
      <c r="AG56" s="1005"/>
      <c r="AH56" s="1005"/>
      <c r="AI56" s="1005"/>
      <c r="AJ56" s="1011"/>
      <c r="AK56" s="1011"/>
      <c r="AL56" s="1005"/>
      <c r="AM56" s="1005"/>
      <c r="AN56" s="1005"/>
      <c r="AO56" s="1005"/>
      <c r="AP56" s="1005"/>
      <c r="AQ56" s="1005"/>
      <c r="AR56" s="1005"/>
      <c r="AS56" s="1005"/>
    </row>
    <row r="57" spans="1:45" ht="35.1" customHeight="1" x14ac:dyDescent="0.2">
      <c r="A57" s="1118">
        <v>1</v>
      </c>
      <c r="B57" s="1147" t="s">
        <v>476</v>
      </c>
      <c r="C57" s="1137" t="s">
        <v>259</v>
      </c>
      <c r="D57" s="1146" t="s">
        <v>478</v>
      </c>
      <c r="E57" s="1137" t="s">
        <v>479</v>
      </c>
      <c r="F57" s="1188">
        <v>1000</v>
      </c>
      <c r="G57" s="1193">
        <v>1000</v>
      </c>
      <c r="H57" s="1193"/>
      <c r="I57" s="1188"/>
      <c r="J57" s="1187"/>
      <c r="K57" s="1188">
        <v>200</v>
      </c>
      <c r="L57" s="1188">
        <v>442</v>
      </c>
      <c r="M57" s="1188">
        <v>442</v>
      </c>
      <c r="N57" s="1188">
        <v>200</v>
      </c>
      <c r="O57" s="1188">
        <v>200</v>
      </c>
      <c r="P57" s="1188">
        <f t="shared" si="14"/>
        <v>100</v>
      </c>
      <c r="Q57" s="1187"/>
      <c r="R57" s="1187"/>
      <c r="S57" s="1133"/>
      <c r="T57" s="1133"/>
      <c r="U57" s="982"/>
      <c r="V57" s="1001"/>
      <c r="W57" s="1001"/>
      <c r="X57" s="912" t="s">
        <v>123</v>
      </c>
      <c r="Y57" s="152" t="s">
        <v>273</v>
      </c>
      <c r="Z57" s="148"/>
      <c r="AB57" s="953"/>
      <c r="AJ57" s="915"/>
      <c r="AK57" s="915"/>
      <c r="AQ57" s="915"/>
    </row>
    <row r="58" spans="1:45" ht="35.1" customHeight="1" x14ac:dyDescent="0.2">
      <c r="A58" s="1116" t="s">
        <v>25</v>
      </c>
      <c r="B58" s="990" t="s">
        <v>195</v>
      </c>
      <c r="C58" s="1140"/>
      <c r="D58" s="1141"/>
      <c r="E58" s="1141"/>
      <c r="F58" s="1185">
        <f t="shared" ref="F58:R58" si="22">F59+F66+F70++F72+F99+F106+F130</f>
        <v>253970</v>
      </c>
      <c r="G58" s="1185">
        <f t="shared" si="22"/>
        <v>243083</v>
      </c>
      <c r="H58" s="1185">
        <f t="shared" si="22"/>
        <v>10312</v>
      </c>
      <c r="I58" s="1185">
        <f t="shared" si="22"/>
        <v>575</v>
      </c>
      <c r="J58" s="1185">
        <f t="shared" ref="J58:K58" si="23">J59+J66+J70++J72+J99+J106+J130</f>
        <v>8836.2260000000006</v>
      </c>
      <c r="K58" s="1185">
        <f t="shared" si="23"/>
        <v>91275</v>
      </c>
      <c r="L58" s="1185">
        <f t="shared" si="22"/>
        <v>105818.109</v>
      </c>
      <c r="M58" s="1185">
        <f t="shared" si="22"/>
        <v>60219.108999999997</v>
      </c>
      <c r="N58" s="1185">
        <f t="shared" ref="N58:O58" si="24">N59+N66+N70++N72+N99+N106+N130</f>
        <v>51490.505000000005</v>
      </c>
      <c r="O58" s="1185">
        <f t="shared" si="24"/>
        <v>34829.978000000003</v>
      </c>
      <c r="P58" s="1185">
        <f>N58/K58*100</f>
        <v>56.41249520679267</v>
      </c>
      <c r="Q58" s="1185">
        <f t="shared" si="22"/>
        <v>4478.1230000000005</v>
      </c>
      <c r="R58" s="1185">
        <f t="shared" si="22"/>
        <v>4436.6320000000005</v>
      </c>
      <c r="S58" s="1185">
        <f>Q58/J58*100</f>
        <v>50.679136092716504</v>
      </c>
      <c r="T58" s="1123"/>
      <c r="U58" s="990"/>
      <c r="V58" s="1064"/>
      <c r="W58" s="1064" t="e">
        <f>#REF!/W4*100</f>
        <v>#REF!</v>
      </c>
      <c r="Z58" s="148"/>
      <c r="AB58" s="953"/>
      <c r="AC58" s="126" t="e">
        <f>#REF!*60%</f>
        <v>#REF!</v>
      </c>
      <c r="AJ58" s="915"/>
      <c r="AK58" s="915"/>
    </row>
    <row r="59" spans="1:45" s="936" customFormat="1" ht="35.1" customHeight="1" x14ac:dyDescent="0.2">
      <c r="A59" s="1151"/>
      <c r="B59" s="1152" t="s">
        <v>196</v>
      </c>
      <c r="C59" s="1153"/>
      <c r="D59" s="1154"/>
      <c r="E59" s="1154"/>
      <c r="F59" s="1174">
        <f>F60+F63</f>
        <v>10784</v>
      </c>
      <c r="G59" s="1174">
        <f t="shared" ref="G59:R59" si="25">G60+G63</f>
        <v>10784</v>
      </c>
      <c r="H59" s="1174">
        <f t="shared" si="25"/>
        <v>0</v>
      </c>
      <c r="I59" s="1174">
        <f t="shared" si="25"/>
        <v>0</v>
      </c>
      <c r="J59" s="1174">
        <f t="shared" ref="J59:K59" si="26">J60+J63</f>
        <v>0</v>
      </c>
      <c r="K59" s="1174">
        <f t="shared" si="26"/>
        <v>5020</v>
      </c>
      <c r="L59" s="1174">
        <f t="shared" si="25"/>
        <v>6008</v>
      </c>
      <c r="M59" s="1174">
        <f t="shared" si="25"/>
        <v>2834</v>
      </c>
      <c r="N59" s="1174">
        <f t="shared" ref="N59:O59" si="27">N60+N63</f>
        <v>1299.3699999999999</v>
      </c>
      <c r="O59" s="1174">
        <f t="shared" si="27"/>
        <v>1201.2359999999999</v>
      </c>
      <c r="P59" s="1174">
        <f>N59/K59*100</f>
        <v>25.883864541832668</v>
      </c>
      <c r="Q59" s="1174">
        <f t="shared" si="25"/>
        <v>0</v>
      </c>
      <c r="R59" s="1174">
        <f t="shared" si="25"/>
        <v>0</v>
      </c>
      <c r="S59" s="1174"/>
      <c r="T59" s="1155"/>
      <c r="U59" s="989"/>
      <c r="V59" s="934"/>
      <c r="W59" s="934"/>
      <c r="X59" s="923"/>
      <c r="Z59" s="160"/>
      <c r="AB59" s="1065"/>
      <c r="AD59" s="935"/>
      <c r="AE59" s="935"/>
      <c r="AF59" s="935"/>
      <c r="AG59" s="935"/>
      <c r="AH59" s="935"/>
      <c r="AI59" s="935"/>
      <c r="AJ59" s="915"/>
      <c r="AK59" s="915"/>
      <c r="AL59" s="935"/>
      <c r="AM59" s="935"/>
      <c r="AN59" s="935"/>
      <c r="AO59" s="935"/>
      <c r="AP59" s="935"/>
      <c r="AQ59" s="935"/>
      <c r="AR59" s="935"/>
      <c r="AS59" s="935"/>
    </row>
    <row r="60" spans="1:45" s="936" customFormat="1" ht="20.100000000000001" customHeight="1" x14ac:dyDescent="0.2">
      <c r="A60" s="1151"/>
      <c r="B60" s="1125" t="s">
        <v>462</v>
      </c>
      <c r="C60" s="1153"/>
      <c r="D60" s="1154"/>
      <c r="E60" s="1154"/>
      <c r="F60" s="1128">
        <f>SUM(F61:F62)</f>
        <v>5811</v>
      </c>
      <c r="G60" s="1128">
        <f t="shared" ref="G60:R60" si="28">SUM(G61:G62)</f>
        <v>5811</v>
      </c>
      <c r="H60" s="1128">
        <f t="shared" si="28"/>
        <v>0</v>
      </c>
      <c r="I60" s="1128">
        <f t="shared" si="28"/>
        <v>0</v>
      </c>
      <c r="J60" s="1128">
        <f t="shared" ref="J60:K60" si="29">SUM(J61:J62)</f>
        <v>0</v>
      </c>
      <c r="K60" s="1128">
        <f t="shared" si="29"/>
        <v>1280</v>
      </c>
      <c r="L60" s="1128">
        <f t="shared" si="28"/>
        <v>5591</v>
      </c>
      <c r="M60" s="1128">
        <f t="shared" si="28"/>
        <v>2417</v>
      </c>
      <c r="N60" s="1128">
        <f t="shared" ref="N60:O60" si="30">SUM(N61:N62)</f>
        <v>1160.4929999999999</v>
      </c>
      <c r="O60" s="1128">
        <f t="shared" si="30"/>
        <v>1062.3589999999999</v>
      </c>
      <c r="P60" s="1191">
        <f t="shared" ref="P60:P62" si="31">N60/K60*100</f>
        <v>90.663515624999988</v>
      </c>
      <c r="Q60" s="1128">
        <f t="shared" si="28"/>
        <v>0</v>
      </c>
      <c r="R60" s="1128">
        <f t="shared" si="28"/>
        <v>0</v>
      </c>
      <c r="S60" s="1128"/>
      <c r="T60" s="1155"/>
      <c r="U60" s="989"/>
      <c r="V60" s="934"/>
      <c r="W60" s="934"/>
      <c r="X60" s="923"/>
      <c r="Z60" s="160"/>
      <c r="AB60" s="1065"/>
      <c r="AD60" s="935"/>
      <c r="AE60" s="935"/>
      <c r="AF60" s="935"/>
      <c r="AG60" s="935"/>
      <c r="AH60" s="935"/>
      <c r="AI60" s="935"/>
      <c r="AJ60" s="915"/>
      <c r="AK60" s="915"/>
      <c r="AL60" s="935"/>
      <c r="AM60" s="935"/>
      <c r="AN60" s="935"/>
      <c r="AO60" s="935"/>
      <c r="AP60" s="935"/>
      <c r="AQ60" s="935"/>
      <c r="AR60" s="935"/>
      <c r="AS60" s="935"/>
    </row>
    <row r="61" spans="1:45" ht="35.1" customHeight="1" x14ac:dyDescent="0.2">
      <c r="A61" s="1118">
        <v>1</v>
      </c>
      <c r="B61" s="1139" t="s">
        <v>197</v>
      </c>
      <c r="C61" s="1136" t="s">
        <v>145</v>
      </c>
      <c r="D61" s="1146" t="s">
        <v>179</v>
      </c>
      <c r="E61" s="1156" t="s">
        <v>199</v>
      </c>
      <c r="F61" s="1194">
        <v>2905</v>
      </c>
      <c r="G61" s="1194">
        <v>2905</v>
      </c>
      <c r="H61" s="1194"/>
      <c r="I61" s="1133"/>
      <c r="J61" s="1133"/>
      <c r="K61" s="1133">
        <v>600</v>
      </c>
      <c r="L61" s="1133">
        <v>2794</v>
      </c>
      <c r="M61" s="1133">
        <v>1430</v>
      </c>
      <c r="N61" s="1133">
        <v>546.096</v>
      </c>
      <c r="O61" s="1133">
        <v>498.63099999999997</v>
      </c>
      <c r="P61" s="1188">
        <f t="shared" si="31"/>
        <v>91.015999999999991</v>
      </c>
      <c r="Q61" s="1133"/>
      <c r="R61" s="1133"/>
      <c r="S61" s="1133"/>
      <c r="T61" s="1133"/>
      <c r="U61" s="982"/>
      <c r="V61" s="1001"/>
      <c r="W61" s="1001"/>
      <c r="X61" s="912" t="s">
        <v>122</v>
      </c>
      <c r="Y61" s="955" t="s">
        <v>268</v>
      </c>
      <c r="Z61" s="148"/>
      <c r="AB61" s="953"/>
      <c r="AJ61" s="915" t="e">
        <f>#REF!-#REF!</f>
        <v>#REF!</v>
      </c>
      <c r="AK61" s="915" t="e">
        <f>#REF!-#REF!</f>
        <v>#REF!</v>
      </c>
    </row>
    <row r="62" spans="1:45" ht="35.1" customHeight="1" x14ac:dyDescent="0.2">
      <c r="A62" s="1118">
        <v>2</v>
      </c>
      <c r="B62" s="1139" t="s">
        <v>198</v>
      </c>
      <c r="C62" s="1136" t="s">
        <v>145</v>
      </c>
      <c r="D62" s="1146" t="s">
        <v>179</v>
      </c>
      <c r="E62" s="1156" t="s">
        <v>200</v>
      </c>
      <c r="F62" s="1194">
        <v>2906</v>
      </c>
      <c r="G62" s="1194">
        <v>2906</v>
      </c>
      <c r="H62" s="1194"/>
      <c r="I62" s="1133"/>
      <c r="J62" s="1133"/>
      <c r="K62" s="1133">
        <v>680</v>
      </c>
      <c r="L62" s="1133">
        <v>2797</v>
      </c>
      <c r="M62" s="1133">
        <v>987</v>
      </c>
      <c r="N62" s="1133">
        <v>614.39699999999993</v>
      </c>
      <c r="O62" s="1133">
        <v>563.72799999999995</v>
      </c>
      <c r="P62" s="1188">
        <f t="shared" si="31"/>
        <v>90.352499999999992</v>
      </c>
      <c r="Q62" s="1133"/>
      <c r="R62" s="1133"/>
      <c r="S62" s="1133"/>
      <c r="T62" s="1133"/>
      <c r="U62" s="982"/>
      <c r="V62" s="1001"/>
      <c r="W62" s="1001"/>
      <c r="X62" s="912" t="s">
        <v>122</v>
      </c>
      <c r="Y62" s="955" t="s">
        <v>268</v>
      </c>
      <c r="Z62" s="148"/>
      <c r="AB62" s="953"/>
      <c r="AJ62" s="915" t="e">
        <f>#REF!-#REF!</f>
        <v>#REF!</v>
      </c>
      <c r="AK62" s="915" t="e">
        <f>#REF!-#REF!</f>
        <v>#REF!</v>
      </c>
    </row>
    <row r="63" spans="1:45" ht="20.100000000000001" customHeight="1" x14ac:dyDescent="0.2">
      <c r="A63" s="1118"/>
      <c r="B63" s="1135" t="s">
        <v>463</v>
      </c>
      <c r="C63" s="1136"/>
      <c r="D63" s="1146"/>
      <c r="E63" s="1156"/>
      <c r="F63" s="1128">
        <f>SUM(F64:F65)</f>
        <v>4973</v>
      </c>
      <c r="G63" s="1128">
        <f t="shared" ref="G63:R63" si="32">SUM(G64:G65)</f>
        <v>4973</v>
      </c>
      <c r="H63" s="1128">
        <f t="shared" si="32"/>
        <v>0</v>
      </c>
      <c r="I63" s="1128">
        <f t="shared" si="32"/>
        <v>0</v>
      </c>
      <c r="J63" s="1128">
        <f t="shared" ref="J63:K63" si="33">SUM(J64:J65)</f>
        <v>0</v>
      </c>
      <c r="K63" s="1128">
        <f t="shared" si="33"/>
        <v>3740</v>
      </c>
      <c r="L63" s="1128">
        <f t="shared" si="32"/>
        <v>417</v>
      </c>
      <c r="M63" s="1128">
        <f t="shared" si="32"/>
        <v>417</v>
      </c>
      <c r="N63" s="1128">
        <f t="shared" ref="N63:O63" si="34">SUM(N64:N65)</f>
        <v>138.87700000000001</v>
      </c>
      <c r="O63" s="1128">
        <f t="shared" si="34"/>
        <v>138.87700000000001</v>
      </c>
      <c r="P63" s="1128"/>
      <c r="Q63" s="1128">
        <f t="shared" si="32"/>
        <v>0</v>
      </c>
      <c r="R63" s="1128">
        <f t="shared" si="32"/>
        <v>0</v>
      </c>
      <c r="S63" s="1133"/>
      <c r="T63" s="1145"/>
      <c r="U63" s="982"/>
      <c r="V63" s="1001"/>
      <c r="W63" s="1001"/>
      <c r="Y63" s="955"/>
      <c r="Z63" s="148"/>
      <c r="AB63" s="953"/>
      <c r="AJ63" s="915"/>
      <c r="AK63" s="915"/>
    </row>
    <row r="64" spans="1:45" ht="35.1" customHeight="1" x14ac:dyDescent="0.2">
      <c r="A64" s="1129" t="s">
        <v>458</v>
      </c>
      <c r="B64" s="1149" t="s">
        <v>480</v>
      </c>
      <c r="C64" s="1136" t="s">
        <v>143</v>
      </c>
      <c r="D64" s="1146" t="s">
        <v>478</v>
      </c>
      <c r="E64" s="1157" t="s">
        <v>482</v>
      </c>
      <c r="F64" s="1195">
        <v>2000</v>
      </c>
      <c r="G64" s="1195">
        <v>2000</v>
      </c>
      <c r="H64" s="1195"/>
      <c r="I64" s="1133"/>
      <c r="J64" s="1133"/>
      <c r="K64" s="1133">
        <v>1800</v>
      </c>
      <c r="L64" s="1133">
        <v>146</v>
      </c>
      <c r="M64" s="1133">
        <v>146</v>
      </c>
      <c r="N64" s="1133">
        <v>138.87700000000001</v>
      </c>
      <c r="O64" s="1133">
        <v>138.87700000000001</v>
      </c>
      <c r="P64" s="1188">
        <f t="shared" ref="P64:P69" si="35">N64/K64*100</f>
        <v>7.7153888888888895</v>
      </c>
      <c r="Q64" s="1133"/>
      <c r="R64" s="1133"/>
      <c r="S64" s="1133"/>
      <c r="T64" s="1133"/>
      <c r="U64" s="982"/>
      <c r="V64" s="1001"/>
      <c r="W64" s="1001"/>
      <c r="X64" s="912" t="s">
        <v>123</v>
      </c>
      <c r="Y64" s="955" t="s">
        <v>268</v>
      </c>
      <c r="Z64" s="148"/>
      <c r="AB64" s="953"/>
      <c r="AJ64" s="915"/>
      <c r="AK64" s="915"/>
    </row>
    <row r="65" spans="1:37" ht="35.1" customHeight="1" x14ac:dyDescent="0.2">
      <c r="A65" s="1129" t="s">
        <v>468</v>
      </c>
      <c r="B65" s="1149" t="s">
        <v>483</v>
      </c>
      <c r="C65" s="1136" t="s">
        <v>137</v>
      </c>
      <c r="D65" s="1146" t="s">
        <v>466</v>
      </c>
      <c r="E65" s="1157" t="s">
        <v>485</v>
      </c>
      <c r="F65" s="1195">
        <v>2973</v>
      </c>
      <c r="G65" s="1195">
        <v>2973</v>
      </c>
      <c r="H65" s="1195"/>
      <c r="I65" s="1133"/>
      <c r="J65" s="1133"/>
      <c r="K65" s="1133">
        <v>1940</v>
      </c>
      <c r="L65" s="1133">
        <v>271</v>
      </c>
      <c r="M65" s="1133">
        <v>271</v>
      </c>
      <c r="N65" s="1133">
        <v>0</v>
      </c>
      <c r="O65" s="1133"/>
      <c r="P65" s="1188">
        <f t="shared" si="35"/>
        <v>0</v>
      </c>
      <c r="Q65" s="1133"/>
      <c r="R65" s="1133"/>
      <c r="S65" s="1133"/>
      <c r="T65" s="1133"/>
      <c r="U65" s="982"/>
      <c r="V65" s="1001"/>
      <c r="W65" s="1001"/>
      <c r="X65" s="912" t="s">
        <v>123</v>
      </c>
      <c r="Y65" s="955" t="s">
        <v>268</v>
      </c>
      <c r="Z65" s="148"/>
      <c r="AB65" s="953"/>
      <c r="AJ65" s="915"/>
      <c r="AK65" s="915"/>
    </row>
    <row r="66" spans="1:37" ht="35.1" customHeight="1" x14ac:dyDescent="0.2">
      <c r="A66" s="1118"/>
      <c r="B66" s="1152" t="s">
        <v>201</v>
      </c>
      <c r="C66" s="1136"/>
      <c r="D66" s="1146"/>
      <c r="E66" s="1146"/>
      <c r="F66" s="1174">
        <f>F67</f>
        <v>25400</v>
      </c>
      <c r="G66" s="1174">
        <f t="shared" ref="G66:R66" si="36">G67</f>
        <v>19428</v>
      </c>
      <c r="H66" s="1174">
        <f t="shared" si="36"/>
        <v>5972</v>
      </c>
      <c r="I66" s="1174">
        <f t="shared" si="36"/>
        <v>0</v>
      </c>
      <c r="J66" s="1174">
        <f t="shared" si="36"/>
        <v>0</v>
      </c>
      <c r="K66" s="1174">
        <f t="shared" si="36"/>
        <v>4688</v>
      </c>
      <c r="L66" s="1174">
        <f t="shared" si="36"/>
        <v>2761</v>
      </c>
      <c r="M66" s="1174">
        <f t="shared" si="36"/>
        <v>1441</v>
      </c>
      <c r="N66" s="1174">
        <f t="shared" si="36"/>
        <v>1621.587</v>
      </c>
      <c r="O66" s="1174">
        <f t="shared" si="36"/>
        <v>31.587</v>
      </c>
      <c r="P66" s="1174">
        <f>N66/K66*100</f>
        <v>34.590166382252555</v>
      </c>
      <c r="Q66" s="1174">
        <f t="shared" si="36"/>
        <v>0</v>
      </c>
      <c r="R66" s="1174">
        <f t="shared" si="36"/>
        <v>0</v>
      </c>
      <c r="S66" s="1174"/>
      <c r="T66" s="1155"/>
      <c r="U66" s="982"/>
      <c r="V66" s="1001"/>
      <c r="W66" s="1001"/>
      <c r="Z66" s="148"/>
      <c r="AB66" s="953"/>
      <c r="AJ66" s="915"/>
      <c r="AK66" s="915"/>
    </row>
    <row r="67" spans="1:37" ht="20.100000000000001" customHeight="1" x14ac:dyDescent="0.2">
      <c r="A67" s="1118"/>
      <c r="B67" s="1125" t="s">
        <v>462</v>
      </c>
      <c r="C67" s="1136"/>
      <c r="D67" s="1146"/>
      <c r="E67" s="1146"/>
      <c r="F67" s="1128">
        <f>SUM(F68:F69)</f>
        <v>25400</v>
      </c>
      <c r="G67" s="1128">
        <f t="shared" ref="G67:R67" si="37">SUM(G68:G69)</f>
        <v>19428</v>
      </c>
      <c r="H67" s="1128">
        <f t="shared" si="37"/>
        <v>5972</v>
      </c>
      <c r="I67" s="1128">
        <f t="shared" si="37"/>
        <v>0</v>
      </c>
      <c r="J67" s="1128">
        <f t="shared" ref="J67:K67" si="38">SUM(J68:J69)</f>
        <v>0</v>
      </c>
      <c r="K67" s="1128">
        <f t="shared" si="38"/>
        <v>4688</v>
      </c>
      <c r="L67" s="1128">
        <f t="shared" si="37"/>
        <v>2761</v>
      </c>
      <c r="M67" s="1128">
        <f t="shared" si="37"/>
        <v>1441</v>
      </c>
      <c r="N67" s="1128">
        <f t="shared" ref="N67:O67" si="39">SUM(N68:N69)</f>
        <v>1621.587</v>
      </c>
      <c r="O67" s="1128">
        <f t="shared" si="39"/>
        <v>31.587</v>
      </c>
      <c r="P67" s="1191">
        <f t="shared" si="35"/>
        <v>34.590166382252555</v>
      </c>
      <c r="Q67" s="1128">
        <f t="shared" si="37"/>
        <v>0</v>
      </c>
      <c r="R67" s="1128">
        <f t="shared" si="37"/>
        <v>0</v>
      </c>
      <c r="S67" s="1133"/>
      <c r="T67" s="1155"/>
      <c r="U67" s="982"/>
      <c r="V67" s="1001"/>
      <c r="W67" s="1001"/>
      <c r="Z67" s="148"/>
      <c r="AB67" s="953"/>
      <c r="AJ67" s="915"/>
      <c r="AK67" s="915"/>
    </row>
    <row r="68" spans="1:37" ht="35.1" customHeight="1" x14ac:dyDescent="0.2">
      <c r="A68" s="1118">
        <v>1</v>
      </c>
      <c r="B68" s="1158" t="s">
        <v>204</v>
      </c>
      <c r="C68" s="1136" t="s">
        <v>143</v>
      </c>
      <c r="D68" s="1146" t="s">
        <v>179</v>
      </c>
      <c r="E68" s="1159" t="s">
        <v>202</v>
      </c>
      <c r="F68" s="1196">
        <v>5900</v>
      </c>
      <c r="G68" s="1196">
        <v>4634</v>
      </c>
      <c r="H68" s="1196">
        <v>1266</v>
      </c>
      <c r="I68" s="1188"/>
      <c r="J68" s="1187"/>
      <c r="K68" s="1133">
        <v>1000</v>
      </c>
      <c r="L68" s="1188">
        <v>500</v>
      </c>
      <c r="M68" s="1188">
        <v>150</v>
      </c>
      <c r="N68" s="1133"/>
      <c r="O68" s="1133"/>
      <c r="P68" s="1188">
        <f t="shared" si="35"/>
        <v>0</v>
      </c>
      <c r="Q68" s="1187"/>
      <c r="R68" s="1187"/>
      <c r="S68" s="1133"/>
      <c r="T68" s="1133"/>
      <c r="U68" s="982"/>
      <c r="V68" s="1001"/>
      <c r="W68" s="1001"/>
      <c r="X68" s="912" t="s">
        <v>122</v>
      </c>
      <c r="Y68" s="955" t="s">
        <v>268</v>
      </c>
      <c r="Z68" s="148"/>
      <c r="AB68" s="953"/>
      <c r="AJ68" s="915" t="e">
        <f>#REF!-#REF!</f>
        <v>#REF!</v>
      </c>
      <c r="AK68" s="915" t="e">
        <f>#REF!-#REF!</f>
        <v>#REF!</v>
      </c>
    </row>
    <row r="69" spans="1:37" ht="35.1" customHeight="1" x14ac:dyDescent="0.2">
      <c r="A69" s="1118">
        <v>2</v>
      </c>
      <c r="B69" s="1158" t="s">
        <v>205</v>
      </c>
      <c r="C69" s="1136" t="s">
        <v>145</v>
      </c>
      <c r="D69" s="1146" t="s">
        <v>179</v>
      </c>
      <c r="E69" s="1159" t="s">
        <v>203</v>
      </c>
      <c r="F69" s="1196">
        <v>19500</v>
      </c>
      <c r="G69" s="1196">
        <v>14794</v>
      </c>
      <c r="H69" s="1196">
        <v>4706</v>
      </c>
      <c r="I69" s="1188"/>
      <c r="J69" s="1187"/>
      <c r="K69" s="1133">
        <v>3688</v>
      </c>
      <c r="L69" s="1188">
        <v>2261</v>
      </c>
      <c r="M69" s="1188">
        <v>1291</v>
      </c>
      <c r="N69" s="1133">
        <v>1621.587</v>
      </c>
      <c r="O69" s="1133">
        <v>31.587</v>
      </c>
      <c r="P69" s="1188">
        <f t="shared" si="35"/>
        <v>43.969278741865509</v>
      </c>
      <c r="Q69" s="1187"/>
      <c r="R69" s="1187"/>
      <c r="S69" s="1133"/>
      <c r="T69" s="1133"/>
      <c r="U69" s="982"/>
      <c r="V69" s="1001"/>
      <c r="W69" s="1001"/>
      <c r="X69" s="912" t="s">
        <v>122</v>
      </c>
      <c r="Y69" s="955" t="s">
        <v>268</v>
      </c>
      <c r="Z69" s="148"/>
      <c r="AB69" s="953"/>
      <c r="AJ69" s="915" t="e">
        <f>#REF!-#REF!</f>
        <v>#REF!</v>
      </c>
      <c r="AK69" s="915" t="e">
        <f>#REF!-#REF!</f>
        <v>#REF!</v>
      </c>
    </row>
    <row r="70" spans="1:37" ht="35.1" customHeight="1" x14ac:dyDescent="0.2">
      <c r="A70" s="1118"/>
      <c r="B70" s="1152" t="s">
        <v>206</v>
      </c>
      <c r="C70" s="1136"/>
      <c r="D70" s="1146"/>
      <c r="E70" s="1146"/>
      <c r="F70" s="1133">
        <f>F71</f>
        <v>0</v>
      </c>
      <c r="G70" s="1133">
        <f t="shared" ref="G70:R70" si="40">G71</f>
        <v>0</v>
      </c>
      <c r="H70" s="1133">
        <f t="shared" si="40"/>
        <v>0</v>
      </c>
      <c r="I70" s="1133">
        <f t="shared" si="40"/>
        <v>0</v>
      </c>
      <c r="J70" s="1133">
        <f t="shared" si="40"/>
        <v>1813</v>
      </c>
      <c r="K70" s="1133">
        <f t="shared" si="40"/>
        <v>2429</v>
      </c>
      <c r="L70" s="1133">
        <f t="shared" si="40"/>
        <v>0</v>
      </c>
      <c r="M70" s="1133">
        <f t="shared" si="40"/>
        <v>0</v>
      </c>
      <c r="N70" s="1133">
        <f t="shared" si="40"/>
        <v>0</v>
      </c>
      <c r="O70" s="1133">
        <f t="shared" si="40"/>
        <v>0</v>
      </c>
      <c r="P70" s="1174">
        <f>N70/K70*100</f>
        <v>0</v>
      </c>
      <c r="Q70" s="1133">
        <f t="shared" si="40"/>
        <v>0</v>
      </c>
      <c r="R70" s="1133">
        <f t="shared" si="40"/>
        <v>0</v>
      </c>
      <c r="S70" s="1174">
        <f>Q70/J70*100</f>
        <v>0</v>
      </c>
      <c r="T70" s="1133"/>
      <c r="U70" s="982"/>
      <c r="V70" s="1001"/>
      <c r="W70" s="1001"/>
      <c r="Z70" s="148"/>
      <c r="AB70" s="953"/>
      <c r="AC70" s="126" t="e">
        <f>#REF!*60%</f>
        <v>#REF!</v>
      </c>
      <c r="AJ70" s="915" t="e">
        <f>#REF!-#REF!</f>
        <v>#REF!</v>
      </c>
      <c r="AK70" s="915" t="e">
        <f>#REF!-#REF!</f>
        <v>#REF!</v>
      </c>
    </row>
    <row r="71" spans="1:37" s="1073" customFormat="1" ht="54.95" customHeight="1" x14ac:dyDescent="0.2">
      <c r="A71" s="1160">
        <v>1</v>
      </c>
      <c r="B71" s="1161" t="s">
        <v>207</v>
      </c>
      <c r="C71" s="1162"/>
      <c r="D71" s="1163"/>
      <c r="E71" s="1163"/>
      <c r="F71" s="1197"/>
      <c r="G71" s="1197"/>
      <c r="H71" s="1197"/>
      <c r="I71" s="1164"/>
      <c r="J71" s="1164">
        <v>1813</v>
      </c>
      <c r="K71" s="1164">
        <v>2429</v>
      </c>
      <c r="L71" s="1164"/>
      <c r="M71" s="1164"/>
      <c r="N71" s="1164"/>
      <c r="O71" s="1164"/>
      <c r="P71" s="1164"/>
      <c r="Q71" s="1164"/>
      <c r="R71" s="1164"/>
      <c r="S71" s="1133">
        <f t="shared" ref="S71:S100" si="41">Q71/J71*100</f>
        <v>0</v>
      </c>
      <c r="T71" s="1164"/>
      <c r="U71" s="1165"/>
      <c r="V71" s="1070"/>
      <c r="W71" s="1070"/>
      <c r="X71" s="1071" t="s">
        <v>122</v>
      </c>
      <c r="Y71" s="448" t="s">
        <v>536</v>
      </c>
      <c r="Z71" s="1072"/>
      <c r="AB71" s="1074"/>
      <c r="AJ71" s="1075" t="e">
        <f>#REF!-#REF!</f>
        <v>#REF!</v>
      </c>
      <c r="AK71" s="1075" t="e">
        <f>#REF!-#REF!</f>
        <v>#REF!</v>
      </c>
    </row>
    <row r="72" spans="1:37" ht="35.1" customHeight="1" x14ac:dyDescent="0.2">
      <c r="A72" s="1118"/>
      <c r="B72" s="1152" t="s">
        <v>208</v>
      </c>
      <c r="C72" s="1136"/>
      <c r="D72" s="1146"/>
      <c r="E72" s="1146"/>
      <c r="F72" s="1174">
        <f>F73+F92</f>
        <v>145890</v>
      </c>
      <c r="G72" s="1174">
        <f t="shared" ref="G72:R72" si="42">G73+G92</f>
        <v>141540</v>
      </c>
      <c r="H72" s="1174">
        <f t="shared" si="42"/>
        <v>4340</v>
      </c>
      <c r="I72" s="1174">
        <f t="shared" si="42"/>
        <v>10</v>
      </c>
      <c r="J72" s="1174">
        <f t="shared" ref="J72:K72" si="43">J73+J92</f>
        <v>4737.4229999999998</v>
      </c>
      <c r="K72" s="1174">
        <f t="shared" si="43"/>
        <v>47860</v>
      </c>
      <c r="L72" s="1174">
        <f t="shared" si="42"/>
        <v>56562</v>
      </c>
      <c r="M72" s="1174">
        <f t="shared" si="42"/>
        <v>29320</v>
      </c>
      <c r="N72" s="1174">
        <f t="shared" ref="N72:O72" si="44">N73+N92</f>
        <v>31087.010999999999</v>
      </c>
      <c r="O72" s="1174">
        <f t="shared" si="44"/>
        <v>17446.112999999998</v>
      </c>
      <c r="P72" s="1174">
        <f>N72/K72*100</f>
        <v>64.954055578771417</v>
      </c>
      <c r="Q72" s="1174">
        <f t="shared" si="42"/>
        <v>3568.0249999999996</v>
      </c>
      <c r="R72" s="1174">
        <f t="shared" si="42"/>
        <v>3526.5339999999997</v>
      </c>
      <c r="S72" s="1174">
        <f>Q72/J72*100</f>
        <v>75.31573600246378</v>
      </c>
      <c r="T72" s="1133"/>
      <c r="U72" s="982"/>
      <c r="V72" s="1001"/>
      <c r="W72" s="1001"/>
      <c r="Z72" s="148"/>
      <c r="AB72" s="953" t="e">
        <f>#REF!*60%</f>
        <v>#REF!</v>
      </c>
      <c r="AJ72" s="915"/>
      <c r="AK72" s="915"/>
    </row>
    <row r="73" spans="1:37" ht="20.100000000000001" customHeight="1" x14ac:dyDescent="0.2">
      <c r="A73" s="1118" t="s">
        <v>28</v>
      </c>
      <c r="B73" s="1125" t="s">
        <v>462</v>
      </c>
      <c r="C73" s="1136"/>
      <c r="D73" s="1146"/>
      <c r="E73" s="1146"/>
      <c r="F73" s="1128">
        <f>SUM(F74:F91)</f>
        <v>70250</v>
      </c>
      <c r="G73" s="1128">
        <f t="shared" ref="G73:R73" si="45">SUM(G74:G91)</f>
        <v>65900</v>
      </c>
      <c r="H73" s="1128">
        <f t="shared" si="45"/>
        <v>4340</v>
      </c>
      <c r="I73" s="1128">
        <f t="shared" si="45"/>
        <v>10</v>
      </c>
      <c r="J73" s="1128">
        <f t="shared" ref="J73:K73" si="46">SUM(J74:J91)</f>
        <v>4737.4229999999998</v>
      </c>
      <c r="K73" s="1128">
        <f t="shared" si="46"/>
        <v>22577</v>
      </c>
      <c r="L73" s="1128">
        <f t="shared" si="45"/>
        <v>51155</v>
      </c>
      <c r="M73" s="1128">
        <f t="shared" si="45"/>
        <v>23913</v>
      </c>
      <c r="N73" s="1128">
        <f t="shared" ref="N73:O73" si="47">SUM(N74:N91)</f>
        <v>14446.767</v>
      </c>
      <c r="O73" s="1128">
        <f t="shared" si="47"/>
        <v>14445.868999999999</v>
      </c>
      <c r="P73" s="1191">
        <f t="shared" ref="P73:P136" si="48">N73/K73*100</f>
        <v>63.988869203171376</v>
      </c>
      <c r="Q73" s="1128">
        <f t="shared" si="45"/>
        <v>3568.0249999999996</v>
      </c>
      <c r="R73" s="1128">
        <f t="shared" si="45"/>
        <v>3526.5339999999997</v>
      </c>
      <c r="S73" s="1128">
        <f t="shared" si="41"/>
        <v>75.31573600246378</v>
      </c>
      <c r="T73" s="1166"/>
      <c r="U73" s="982"/>
      <c r="V73" s="1001"/>
      <c r="W73" s="1001"/>
      <c r="Z73" s="148"/>
      <c r="AB73" s="953"/>
      <c r="AJ73" s="915"/>
      <c r="AK73" s="915"/>
    </row>
    <row r="74" spans="1:37" ht="35.1" customHeight="1" x14ac:dyDescent="0.2">
      <c r="A74" s="1118">
        <v>1</v>
      </c>
      <c r="B74" s="982" t="s">
        <v>209</v>
      </c>
      <c r="C74" s="1136" t="s">
        <v>143</v>
      </c>
      <c r="D74" s="1146" t="s">
        <v>179</v>
      </c>
      <c r="E74" s="1167" t="s">
        <v>217</v>
      </c>
      <c r="F74" s="1169">
        <v>5500</v>
      </c>
      <c r="G74" s="1169">
        <v>5500</v>
      </c>
      <c r="H74" s="1169"/>
      <c r="I74" s="1133"/>
      <c r="J74" s="1133">
        <v>0</v>
      </c>
      <c r="K74" s="1133">
        <v>1800</v>
      </c>
      <c r="L74" s="1133">
        <v>5302</v>
      </c>
      <c r="M74" s="1133">
        <v>2375</v>
      </c>
      <c r="N74" s="1133">
        <v>1800</v>
      </c>
      <c r="O74" s="1133">
        <v>1800</v>
      </c>
      <c r="P74" s="1188">
        <f t="shared" si="48"/>
        <v>100</v>
      </c>
      <c r="Q74" s="1133"/>
      <c r="R74" s="1133"/>
      <c r="S74" s="1133"/>
      <c r="T74" s="1133"/>
      <c r="U74" s="982"/>
      <c r="V74" s="1001"/>
      <c r="W74" s="1001"/>
      <c r="X74" s="912" t="s">
        <v>122</v>
      </c>
      <c r="Y74" s="955" t="s">
        <v>268</v>
      </c>
      <c r="Z74" s="148"/>
      <c r="AB74" s="953"/>
      <c r="AJ74" s="915" t="e">
        <f>#REF!-#REF!</f>
        <v>#REF!</v>
      </c>
      <c r="AK74" s="915" t="e">
        <f>#REF!-#REF!</f>
        <v>#REF!</v>
      </c>
    </row>
    <row r="75" spans="1:37" ht="35.1" customHeight="1" x14ac:dyDescent="0.2">
      <c r="A75" s="1118">
        <v>2</v>
      </c>
      <c r="B75" s="982" t="s">
        <v>210</v>
      </c>
      <c r="C75" s="1136" t="s">
        <v>148</v>
      </c>
      <c r="D75" s="1146" t="s">
        <v>179</v>
      </c>
      <c r="E75" s="1167" t="s">
        <v>218</v>
      </c>
      <c r="F75" s="1169">
        <v>5100</v>
      </c>
      <c r="G75" s="1169">
        <v>5100</v>
      </c>
      <c r="H75" s="1169"/>
      <c r="I75" s="1133"/>
      <c r="J75" s="1133">
        <v>1034.3679999999999</v>
      </c>
      <c r="K75" s="1133">
        <v>1650</v>
      </c>
      <c r="L75" s="1133">
        <v>750</v>
      </c>
      <c r="M75" s="1133">
        <v>298</v>
      </c>
      <c r="N75" s="1133">
        <v>79.8</v>
      </c>
      <c r="O75" s="1133">
        <v>79.8</v>
      </c>
      <c r="P75" s="1188">
        <f t="shared" si="48"/>
        <v>4.836363636363636</v>
      </c>
      <c r="Q75" s="1133"/>
      <c r="R75" s="1133"/>
      <c r="S75" s="1133">
        <f t="shared" si="41"/>
        <v>0</v>
      </c>
      <c r="T75" s="1133"/>
      <c r="U75" s="982"/>
      <c r="V75" s="1001"/>
      <c r="W75" s="1001"/>
      <c r="X75" s="912" t="s">
        <v>122</v>
      </c>
      <c r="Y75" s="955" t="s">
        <v>268</v>
      </c>
      <c r="Z75" s="148"/>
      <c r="AB75" s="953"/>
      <c r="AJ75" s="915" t="e">
        <f>#REF!-#REF!</f>
        <v>#REF!</v>
      </c>
      <c r="AK75" s="915" t="e">
        <f>#REF!-#REF!</f>
        <v>#REF!</v>
      </c>
    </row>
    <row r="76" spans="1:37" ht="35.1" customHeight="1" x14ac:dyDescent="0.2">
      <c r="A76" s="1118">
        <v>3</v>
      </c>
      <c r="B76" s="982" t="s">
        <v>211</v>
      </c>
      <c r="C76" s="1136" t="s">
        <v>141</v>
      </c>
      <c r="D76" s="1146" t="s">
        <v>179</v>
      </c>
      <c r="E76" s="1167" t="s">
        <v>219</v>
      </c>
      <c r="F76" s="1169">
        <v>5800</v>
      </c>
      <c r="G76" s="1169">
        <v>5800</v>
      </c>
      <c r="H76" s="1169"/>
      <c r="I76" s="1133"/>
      <c r="J76" s="1133">
        <v>764.54599999999982</v>
      </c>
      <c r="K76" s="1133">
        <v>1800</v>
      </c>
      <c r="L76" s="1133">
        <v>2837</v>
      </c>
      <c r="M76" s="1133">
        <v>1124</v>
      </c>
      <c r="N76" s="1133">
        <v>50.844000000000001</v>
      </c>
      <c r="O76" s="1133">
        <v>50.844000000000001</v>
      </c>
      <c r="P76" s="1188">
        <f t="shared" si="48"/>
        <v>2.8246666666666664</v>
      </c>
      <c r="Q76" s="1133">
        <v>764.54599999999994</v>
      </c>
      <c r="R76" s="1133">
        <v>723.05499999999995</v>
      </c>
      <c r="S76" s="1133">
        <f t="shared" si="41"/>
        <v>100.00000000000003</v>
      </c>
      <c r="T76" s="1133"/>
      <c r="U76" s="982"/>
      <c r="V76" s="1001"/>
      <c r="W76" s="1001"/>
      <c r="X76" s="912" t="s">
        <v>122</v>
      </c>
      <c r="Y76" s="955" t="s">
        <v>268</v>
      </c>
      <c r="Z76" s="148"/>
      <c r="AB76" s="953"/>
      <c r="AJ76" s="915" t="e">
        <f>#REF!-#REF!</f>
        <v>#REF!</v>
      </c>
      <c r="AK76" s="915" t="e">
        <f>#REF!-#REF!</f>
        <v>#REF!</v>
      </c>
    </row>
    <row r="77" spans="1:37" ht="35.1" customHeight="1" x14ac:dyDescent="0.2">
      <c r="A77" s="1118">
        <v>4</v>
      </c>
      <c r="B77" s="982" t="s">
        <v>212</v>
      </c>
      <c r="C77" s="1136" t="s">
        <v>225</v>
      </c>
      <c r="D77" s="1146" t="s">
        <v>179</v>
      </c>
      <c r="E77" s="1167" t="s">
        <v>220</v>
      </c>
      <c r="F77" s="1169">
        <v>6800</v>
      </c>
      <c r="G77" s="1169">
        <v>6800</v>
      </c>
      <c r="H77" s="1169"/>
      <c r="I77" s="1133"/>
      <c r="J77" s="1133">
        <v>0</v>
      </c>
      <c r="K77" s="1133">
        <v>2200</v>
      </c>
      <c r="L77" s="1133">
        <v>4299</v>
      </c>
      <c r="M77" s="1133">
        <v>1993</v>
      </c>
      <c r="N77" s="1133">
        <v>699.21400000000006</v>
      </c>
      <c r="O77" s="1133">
        <v>699.21400000000006</v>
      </c>
      <c r="P77" s="1188">
        <f t="shared" si="48"/>
        <v>31.782454545454549</v>
      </c>
      <c r="Q77" s="1133"/>
      <c r="R77" s="1133"/>
      <c r="S77" s="1133"/>
      <c r="T77" s="1133"/>
      <c r="U77" s="982"/>
      <c r="V77" s="1001"/>
      <c r="W77" s="1001"/>
      <c r="X77" s="912" t="s">
        <v>122</v>
      </c>
      <c r="Y77" s="955" t="s">
        <v>268</v>
      </c>
      <c r="Z77" s="148"/>
      <c r="AB77" s="953"/>
      <c r="AJ77" s="915" t="e">
        <f>#REF!-#REF!</f>
        <v>#REF!</v>
      </c>
      <c r="AK77" s="915" t="e">
        <f>#REF!-#REF!</f>
        <v>#REF!</v>
      </c>
    </row>
    <row r="78" spans="1:37" ht="35.1" customHeight="1" x14ac:dyDescent="0.2">
      <c r="A78" s="1118">
        <v>5</v>
      </c>
      <c r="B78" s="982" t="s">
        <v>213</v>
      </c>
      <c r="C78" s="1136" t="s">
        <v>137</v>
      </c>
      <c r="D78" s="1146" t="s">
        <v>179</v>
      </c>
      <c r="E78" s="1167" t="s">
        <v>221</v>
      </c>
      <c r="F78" s="1169">
        <v>5300</v>
      </c>
      <c r="G78" s="1169">
        <v>5300</v>
      </c>
      <c r="H78" s="1169"/>
      <c r="I78" s="1133"/>
      <c r="J78" s="1133">
        <v>0</v>
      </c>
      <c r="K78" s="1133">
        <v>2700</v>
      </c>
      <c r="L78" s="1133">
        <v>5100</v>
      </c>
      <c r="M78" s="1133">
        <v>1230</v>
      </c>
      <c r="N78" s="1133">
        <v>2700</v>
      </c>
      <c r="O78" s="1133">
        <v>2700</v>
      </c>
      <c r="P78" s="1188">
        <f t="shared" si="48"/>
        <v>100</v>
      </c>
      <c r="Q78" s="1133"/>
      <c r="R78" s="1133"/>
      <c r="S78" s="1133"/>
      <c r="T78" s="1133"/>
      <c r="U78" s="982"/>
      <c r="V78" s="1001"/>
      <c r="W78" s="1001"/>
      <c r="X78" s="912" t="s">
        <v>122</v>
      </c>
      <c r="Y78" s="955" t="s">
        <v>268</v>
      </c>
      <c r="Z78" s="148"/>
      <c r="AB78" s="953"/>
      <c r="AJ78" s="915" t="e">
        <f>#REF!-#REF!</f>
        <v>#REF!</v>
      </c>
      <c r="AK78" s="915" t="e">
        <f>#REF!-#REF!</f>
        <v>#REF!</v>
      </c>
    </row>
    <row r="79" spans="1:37" ht="35.1" customHeight="1" x14ac:dyDescent="0.2">
      <c r="A79" s="1118">
        <v>6</v>
      </c>
      <c r="B79" s="982" t="s">
        <v>214</v>
      </c>
      <c r="C79" s="1136" t="s">
        <v>145</v>
      </c>
      <c r="D79" s="1146" t="s">
        <v>179</v>
      </c>
      <c r="E79" s="1167" t="s">
        <v>222</v>
      </c>
      <c r="F79" s="1169">
        <v>5200</v>
      </c>
      <c r="G79" s="1169">
        <v>5200</v>
      </c>
      <c r="H79" s="1169"/>
      <c r="I79" s="1133"/>
      <c r="J79" s="1133">
        <v>0</v>
      </c>
      <c r="K79" s="1133">
        <v>1600</v>
      </c>
      <c r="L79" s="1133">
        <v>4856</v>
      </c>
      <c r="M79" s="1133">
        <v>2759</v>
      </c>
      <c r="N79" s="1133">
        <v>1600</v>
      </c>
      <c r="O79" s="1133">
        <v>1599.1020000000001</v>
      </c>
      <c r="P79" s="1188">
        <f t="shared" si="48"/>
        <v>100</v>
      </c>
      <c r="Q79" s="1133"/>
      <c r="R79" s="1133"/>
      <c r="S79" s="1133"/>
      <c r="T79" s="1133"/>
      <c r="U79" s="982"/>
      <c r="V79" s="1001"/>
      <c r="W79" s="1001"/>
      <c r="X79" s="912" t="s">
        <v>122</v>
      </c>
      <c r="Y79" s="955" t="s">
        <v>268</v>
      </c>
      <c r="Z79" s="148"/>
      <c r="AB79" s="953"/>
      <c r="AJ79" s="915" t="e">
        <f>#REF!-#REF!</f>
        <v>#REF!</v>
      </c>
      <c r="AK79" s="915" t="e">
        <f>#REF!-#REF!</f>
        <v>#REF!</v>
      </c>
    </row>
    <row r="80" spans="1:37" ht="35.1" customHeight="1" x14ac:dyDescent="0.2">
      <c r="A80" s="1118">
        <v>7</v>
      </c>
      <c r="B80" s="982" t="s">
        <v>215</v>
      </c>
      <c r="C80" s="1136" t="s">
        <v>146</v>
      </c>
      <c r="D80" s="1146" t="s">
        <v>179</v>
      </c>
      <c r="E80" s="1167" t="s">
        <v>223</v>
      </c>
      <c r="F80" s="1169">
        <v>8340</v>
      </c>
      <c r="G80" s="1169">
        <v>4000</v>
      </c>
      <c r="H80" s="1169">
        <v>4340</v>
      </c>
      <c r="I80" s="1133"/>
      <c r="J80" s="1133">
        <v>0</v>
      </c>
      <c r="K80" s="1133">
        <v>697</v>
      </c>
      <c r="L80" s="1133">
        <v>6200</v>
      </c>
      <c r="M80" s="1133">
        <v>4700</v>
      </c>
      <c r="N80" s="1133">
        <v>697</v>
      </c>
      <c r="O80" s="1133">
        <v>697</v>
      </c>
      <c r="P80" s="1188">
        <f t="shared" si="48"/>
        <v>100</v>
      </c>
      <c r="Q80" s="1133"/>
      <c r="R80" s="1133"/>
      <c r="S80" s="1133"/>
      <c r="T80" s="1133"/>
      <c r="U80" s="982"/>
      <c r="V80" s="1001"/>
      <c r="W80" s="1001"/>
      <c r="X80" s="912" t="s">
        <v>122</v>
      </c>
      <c r="Y80" s="955" t="s">
        <v>268</v>
      </c>
      <c r="Z80" s="148"/>
      <c r="AB80" s="953"/>
      <c r="AJ80" s="915" t="e">
        <f>#REF!-#REF!</f>
        <v>#REF!</v>
      </c>
      <c r="AK80" s="915" t="e">
        <f>#REF!-#REF!</f>
        <v>#REF!</v>
      </c>
    </row>
    <row r="81" spans="1:37" ht="35.1" customHeight="1" x14ac:dyDescent="0.2">
      <c r="A81" s="1118">
        <v>8</v>
      </c>
      <c r="B81" s="982" t="s">
        <v>216</v>
      </c>
      <c r="C81" s="1136" t="s">
        <v>226</v>
      </c>
      <c r="D81" s="1146" t="s">
        <v>179</v>
      </c>
      <c r="E81" s="1167" t="s">
        <v>224</v>
      </c>
      <c r="F81" s="1169">
        <v>6100</v>
      </c>
      <c r="G81" s="1169">
        <v>6100</v>
      </c>
      <c r="H81" s="1169"/>
      <c r="I81" s="1133"/>
      <c r="J81" s="1133">
        <v>0</v>
      </c>
      <c r="K81" s="1133">
        <v>1900</v>
      </c>
      <c r="L81" s="1133">
        <v>5745</v>
      </c>
      <c r="M81" s="1133">
        <v>2468</v>
      </c>
      <c r="N81" s="1133">
        <v>1900</v>
      </c>
      <c r="O81" s="1133">
        <v>1900</v>
      </c>
      <c r="P81" s="1188">
        <f t="shared" si="48"/>
        <v>100</v>
      </c>
      <c r="Q81" s="1133"/>
      <c r="R81" s="1133"/>
      <c r="S81" s="1133"/>
      <c r="T81" s="1133"/>
      <c r="U81" s="982"/>
      <c r="V81" s="1001"/>
      <c r="W81" s="1001"/>
      <c r="X81" s="912" t="s">
        <v>122</v>
      </c>
      <c r="Y81" s="955" t="s">
        <v>268</v>
      </c>
      <c r="Z81" s="148"/>
      <c r="AB81" s="953"/>
      <c r="AJ81" s="915" t="e">
        <f>#REF!-#REF!</f>
        <v>#REF!</v>
      </c>
      <c r="AK81" s="915" t="e">
        <f>#REF!-#REF!</f>
        <v>#REF!</v>
      </c>
    </row>
    <row r="82" spans="1:37" ht="35.1" customHeight="1" x14ac:dyDescent="0.2">
      <c r="A82" s="1118">
        <v>9</v>
      </c>
      <c r="B82" s="982" t="s">
        <v>319</v>
      </c>
      <c r="C82" s="1167" t="s">
        <v>143</v>
      </c>
      <c r="D82" s="1167" t="s">
        <v>341</v>
      </c>
      <c r="E82" s="1167" t="s">
        <v>342</v>
      </c>
      <c r="F82" s="1169">
        <v>2410</v>
      </c>
      <c r="G82" s="1169">
        <v>2400</v>
      </c>
      <c r="H82" s="1169"/>
      <c r="I82" s="1169">
        <v>10</v>
      </c>
      <c r="J82" s="1170">
        <v>0</v>
      </c>
      <c r="K82" s="1133">
        <v>650</v>
      </c>
      <c r="L82" s="1169">
        <v>1985</v>
      </c>
      <c r="M82" s="1169">
        <v>420</v>
      </c>
      <c r="N82" s="1198">
        <v>612</v>
      </c>
      <c r="O82" s="1198">
        <v>612</v>
      </c>
      <c r="P82" s="1188">
        <f t="shared" si="48"/>
        <v>94.15384615384616</v>
      </c>
      <c r="Q82" s="1170"/>
      <c r="R82" s="1170"/>
      <c r="S82" s="1133"/>
      <c r="T82" s="1133"/>
      <c r="U82" s="982"/>
      <c r="V82" s="1001"/>
      <c r="W82" s="1001"/>
      <c r="X82" s="912" t="s">
        <v>122</v>
      </c>
      <c r="Y82" s="152" t="s">
        <v>273</v>
      </c>
      <c r="Z82" s="148"/>
      <c r="AB82" s="953"/>
      <c r="AJ82" s="915" t="e">
        <f>#REF!-#REF!</f>
        <v>#REF!</v>
      </c>
      <c r="AK82" s="915" t="e">
        <f>#REF!-#REF!</f>
        <v>#REF!</v>
      </c>
    </row>
    <row r="83" spans="1:37" ht="35.1" customHeight="1" x14ac:dyDescent="0.2">
      <c r="A83" s="1118">
        <v>10</v>
      </c>
      <c r="B83" s="982" t="s">
        <v>320</v>
      </c>
      <c r="C83" s="1167" t="s">
        <v>149</v>
      </c>
      <c r="D83" s="1167" t="s">
        <v>341</v>
      </c>
      <c r="E83" s="1167" t="s">
        <v>343</v>
      </c>
      <c r="F83" s="1169">
        <v>2000</v>
      </c>
      <c r="G83" s="1169">
        <v>2000</v>
      </c>
      <c r="H83" s="1169"/>
      <c r="I83" s="1169"/>
      <c r="J83" s="1170">
        <v>135.02999999999997</v>
      </c>
      <c r="K83" s="1133">
        <v>600</v>
      </c>
      <c r="L83" s="1169">
        <v>1610</v>
      </c>
      <c r="M83" s="1169">
        <v>610</v>
      </c>
      <c r="N83" s="1133">
        <v>0</v>
      </c>
      <c r="O83" s="1133"/>
      <c r="P83" s="1188">
        <f t="shared" si="48"/>
        <v>0</v>
      </c>
      <c r="Q83" s="1170"/>
      <c r="R83" s="1170"/>
      <c r="S83" s="1133">
        <f t="shared" si="41"/>
        <v>0</v>
      </c>
      <c r="T83" s="1133"/>
      <c r="U83" s="982"/>
      <c r="V83" s="1001"/>
      <c r="W83" s="1001"/>
      <c r="X83" s="912" t="s">
        <v>122</v>
      </c>
      <c r="Y83" s="152" t="s">
        <v>275</v>
      </c>
      <c r="Z83" s="148"/>
      <c r="AB83" s="953"/>
      <c r="AJ83" s="915" t="e">
        <f>#REF!-#REF!</f>
        <v>#REF!</v>
      </c>
      <c r="AK83" s="915" t="e">
        <f>#REF!-#REF!</f>
        <v>#REF!</v>
      </c>
    </row>
    <row r="84" spans="1:37" ht="35.1" customHeight="1" x14ac:dyDescent="0.2">
      <c r="A84" s="1118">
        <v>11</v>
      </c>
      <c r="B84" s="982" t="s">
        <v>321</v>
      </c>
      <c r="C84" s="1167" t="s">
        <v>144</v>
      </c>
      <c r="D84" s="1167" t="s">
        <v>341</v>
      </c>
      <c r="E84" s="1167" t="s">
        <v>344</v>
      </c>
      <c r="F84" s="1169">
        <v>1300</v>
      </c>
      <c r="G84" s="1169">
        <v>1300</v>
      </c>
      <c r="H84" s="1169"/>
      <c r="I84" s="1169"/>
      <c r="J84" s="1170">
        <v>0</v>
      </c>
      <c r="K84" s="1133">
        <v>450</v>
      </c>
      <c r="L84" s="1169">
        <v>978</v>
      </c>
      <c r="M84" s="1169">
        <v>588</v>
      </c>
      <c r="N84" s="1133">
        <v>309.64</v>
      </c>
      <c r="O84" s="1133">
        <v>309.64</v>
      </c>
      <c r="P84" s="1188">
        <f t="shared" si="48"/>
        <v>68.808888888888887</v>
      </c>
      <c r="Q84" s="1170"/>
      <c r="R84" s="1170"/>
      <c r="S84" s="1133"/>
      <c r="T84" s="1133"/>
      <c r="U84" s="982"/>
      <c r="V84" s="1001"/>
      <c r="W84" s="1001"/>
      <c r="X84" s="912" t="s">
        <v>122</v>
      </c>
      <c r="Y84" s="152" t="s">
        <v>269</v>
      </c>
      <c r="Z84" s="148"/>
      <c r="AB84" s="953"/>
      <c r="AJ84" s="915" t="e">
        <f>#REF!-#REF!</f>
        <v>#REF!</v>
      </c>
      <c r="AK84" s="915" t="e">
        <f>#REF!-#REF!</f>
        <v>#REF!</v>
      </c>
    </row>
    <row r="85" spans="1:37" ht="35.1" customHeight="1" x14ac:dyDescent="0.2">
      <c r="A85" s="1118">
        <v>12</v>
      </c>
      <c r="B85" s="982" t="s">
        <v>322</v>
      </c>
      <c r="C85" s="1167" t="s">
        <v>148</v>
      </c>
      <c r="D85" s="1167" t="s">
        <v>317</v>
      </c>
      <c r="E85" s="1167" t="s">
        <v>345</v>
      </c>
      <c r="F85" s="1169">
        <v>4000</v>
      </c>
      <c r="G85" s="1169">
        <v>4000</v>
      </c>
      <c r="H85" s="1169"/>
      <c r="I85" s="1169"/>
      <c r="J85" s="1170">
        <v>1800</v>
      </c>
      <c r="K85" s="1133">
        <v>1900</v>
      </c>
      <c r="L85" s="1169">
        <v>2374</v>
      </c>
      <c r="M85" s="1169">
        <v>869</v>
      </c>
      <c r="N85" s="1133">
        <v>1744.13</v>
      </c>
      <c r="O85" s="1133">
        <v>1744.13</v>
      </c>
      <c r="P85" s="1188">
        <f t="shared" si="48"/>
        <v>91.796315789473695</v>
      </c>
      <c r="Q85" s="1170">
        <v>1800</v>
      </c>
      <c r="R85" s="1170">
        <v>1800</v>
      </c>
      <c r="S85" s="1133">
        <f t="shared" si="41"/>
        <v>100</v>
      </c>
      <c r="T85" s="1133"/>
      <c r="U85" s="982"/>
      <c r="V85" s="1001"/>
      <c r="W85" s="1001"/>
      <c r="X85" s="912" t="s">
        <v>122</v>
      </c>
      <c r="Y85" s="152" t="s">
        <v>272</v>
      </c>
      <c r="Z85" s="148"/>
      <c r="AB85" s="953"/>
      <c r="AJ85" s="915" t="e">
        <f>#REF!-#REF!</f>
        <v>#REF!</v>
      </c>
      <c r="AK85" s="915" t="e">
        <f>#REF!-#REF!</f>
        <v>#REF!</v>
      </c>
    </row>
    <row r="86" spans="1:37" ht="35.1" customHeight="1" x14ac:dyDescent="0.2">
      <c r="A86" s="1118">
        <v>13</v>
      </c>
      <c r="B86" s="982" t="s">
        <v>535</v>
      </c>
      <c r="C86" s="1167" t="s">
        <v>141</v>
      </c>
      <c r="D86" s="1167" t="s">
        <v>317</v>
      </c>
      <c r="E86" s="1167" t="s">
        <v>346</v>
      </c>
      <c r="F86" s="1169">
        <v>1100</v>
      </c>
      <c r="G86" s="1169">
        <v>1100</v>
      </c>
      <c r="H86" s="1169"/>
      <c r="I86" s="1169"/>
      <c r="J86" s="1170">
        <v>0</v>
      </c>
      <c r="K86" s="1133">
        <v>450</v>
      </c>
      <c r="L86" s="1169">
        <v>985</v>
      </c>
      <c r="M86" s="1169">
        <v>555</v>
      </c>
      <c r="N86" s="1133">
        <v>282.22199999999998</v>
      </c>
      <c r="O86" s="1133">
        <v>282.22199999999998</v>
      </c>
      <c r="P86" s="1188">
        <f t="shared" si="48"/>
        <v>62.715999999999994</v>
      </c>
      <c r="Q86" s="1170"/>
      <c r="R86" s="1170"/>
      <c r="S86" s="1133"/>
      <c r="T86" s="1133"/>
      <c r="U86" s="982"/>
      <c r="V86" s="1001"/>
      <c r="W86" s="1001"/>
      <c r="X86" s="912" t="s">
        <v>122</v>
      </c>
      <c r="Y86" s="152" t="s">
        <v>271</v>
      </c>
      <c r="Z86" s="148"/>
      <c r="AB86" s="953"/>
      <c r="AJ86" s="915" t="e">
        <f>#REF!-#REF!</f>
        <v>#REF!</v>
      </c>
      <c r="AK86" s="915" t="e">
        <f>#REF!-#REF!</f>
        <v>#REF!</v>
      </c>
    </row>
    <row r="87" spans="1:37" ht="54.95" customHeight="1" x14ac:dyDescent="0.2">
      <c r="A87" s="1118">
        <v>14</v>
      </c>
      <c r="B87" s="982" t="s">
        <v>323</v>
      </c>
      <c r="C87" s="1167" t="s">
        <v>225</v>
      </c>
      <c r="D87" s="1167" t="s">
        <v>317</v>
      </c>
      <c r="E87" s="1167" t="s">
        <v>347</v>
      </c>
      <c r="F87" s="1169">
        <v>2800</v>
      </c>
      <c r="G87" s="1169">
        <v>2800</v>
      </c>
      <c r="H87" s="1169"/>
      <c r="I87" s="1169"/>
      <c r="J87" s="1170">
        <v>0</v>
      </c>
      <c r="K87" s="1133">
        <v>1200</v>
      </c>
      <c r="L87" s="1169">
        <v>1595</v>
      </c>
      <c r="M87" s="1169">
        <v>855</v>
      </c>
      <c r="N87" s="1133">
        <v>0</v>
      </c>
      <c r="O87" s="1133"/>
      <c r="P87" s="1188">
        <f t="shared" si="48"/>
        <v>0</v>
      </c>
      <c r="Q87" s="1170"/>
      <c r="R87" s="1170"/>
      <c r="S87" s="1133"/>
      <c r="T87" s="1133"/>
      <c r="U87" s="982"/>
      <c r="V87" s="1001"/>
      <c r="W87" s="1001"/>
      <c r="X87" s="912" t="s">
        <v>122</v>
      </c>
      <c r="Y87" s="152" t="s">
        <v>277</v>
      </c>
      <c r="Z87" s="148"/>
      <c r="AB87" s="953"/>
      <c r="AJ87" s="915" t="e">
        <f>#REF!-#REF!</f>
        <v>#REF!</v>
      </c>
      <c r="AK87" s="915" t="e">
        <f>#REF!-#REF!</f>
        <v>#REF!</v>
      </c>
    </row>
    <row r="88" spans="1:37" ht="35.1" customHeight="1" x14ac:dyDescent="0.2">
      <c r="A88" s="1118">
        <v>15</v>
      </c>
      <c r="B88" s="982" t="s">
        <v>324</v>
      </c>
      <c r="C88" s="1167" t="s">
        <v>166</v>
      </c>
      <c r="D88" s="1167" t="s">
        <v>317</v>
      </c>
      <c r="E88" s="1167" t="s">
        <v>348</v>
      </c>
      <c r="F88" s="1169">
        <v>3600</v>
      </c>
      <c r="G88" s="1169">
        <v>3600</v>
      </c>
      <c r="H88" s="1169"/>
      <c r="I88" s="1169"/>
      <c r="J88" s="1170">
        <v>343.71900000000005</v>
      </c>
      <c r="K88" s="1133">
        <v>1400</v>
      </c>
      <c r="L88" s="1169">
        <v>2787</v>
      </c>
      <c r="M88" s="1169">
        <v>787</v>
      </c>
      <c r="N88" s="1133">
        <v>1292.04</v>
      </c>
      <c r="O88" s="1133">
        <v>1292.04</v>
      </c>
      <c r="P88" s="1188">
        <f t="shared" si="48"/>
        <v>92.28857142857143</v>
      </c>
      <c r="Q88" s="1170">
        <v>343.71899999999999</v>
      </c>
      <c r="R88" s="1170">
        <v>343.71899999999999</v>
      </c>
      <c r="S88" s="1133">
        <f t="shared" si="41"/>
        <v>99.999999999999986</v>
      </c>
      <c r="T88" s="1133"/>
      <c r="U88" s="982"/>
      <c r="V88" s="1001"/>
      <c r="W88" s="1001"/>
      <c r="X88" s="912" t="s">
        <v>122</v>
      </c>
      <c r="Y88" s="152" t="s">
        <v>352</v>
      </c>
      <c r="Z88" s="148"/>
      <c r="AB88" s="953"/>
      <c r="AJ88" s="915" t="e">
        <f>#REF!-#REF!</f>
        <v>#REF!</v>
      </c>
      <c r="AK88" s="915" t="e">
        <f>#REF!-#REF!</f>
        <v>#REF!</v>
      </c>
    </row>
    <row r="89" spans="1:37" ht="35.1" customHeight="1" x14ac:dyDescent="0.2">
      <c r="A89" s="1118">
        <v>16</v>
      </c>
      <c r="B89" s="982" t="s">
        <v>325</v>
      </c>
      <c r="C89" s="1167" t="s">
        <v>146</v>
      </c>
      <c r="D89" s="1167" t="s">
        <v>317</v>
      </c>
      <c r="E89" s="1167" t="s">
        <v>349</v>
      </c>
      <c r="F89" s="1169">
        <v>2400</v>
      </c>
      <c r="G89" s="1169">
        <v>2400</v>
      </c>
      <c r="H89" s="1169"/>
      <c r="I89" s="1169"/>
      <c r="J89" s="1170">
        <v>0</v>
      </c>
      <c r="K89" s="1133">
        <v>780</v>
      </c>
      <c r="L89" s="1169">
        <v>1424</v>
      </c>
      <c r="M89" s="1169">
        <v>704</v>
      </c>
      <c r="N89" s="1133">
        <v>0</v>
      </c>
      <c r="O89" s="1133"/>
      <c r="P89" s="1188">
        <f t="shared" si="48"/>
        <v>0</v>
      </c>
      <c r="Q89" s="1170"/>
      <c r="R89" s="1170"/>
      <c r="S89" s="1133"/>
      <c r="T89" s="1133"/>
      <c r="U89" s="982"/>
      <c r="V89" s="1001"/>
      <c r="W89" s="1001"/>
      <c r="X89" s="912" t="s">
        <v>122</v>
      </c>
      <c r="Y89" s="152" t="s">
        <v>270</v>
      </c>
      <c r="Z89" s="148"/>
      <c r="AB89" s="953"/>
      <c r="AJ89" s="915" t="e">
        <f>#REF!-#REF!</f>
        <v>#REF!</v>
      </c>
      <c r="AK89" s="915" t="e">
        <f>#REF!-#REF!</f>
        <v>#REF!</v>
      </c>
    </row>
    <row r="90" spans="1:37" ht="35.1" customHeight="1" x14ac:dyDescent="0.2">
      <c r="A90" s="1118">
        <v>17</v>
      </c>
      <c r="B90" s="982" t="s">
        <v>326</v>
      </c>
      <c r="C90" s="1167" t="s">
        <v>226</v>
      </c>
      <c r="D90" s="1167" t="s">
        <v>317</v>
      </c>
      <c r="E90" s="1167" t="s">
        <v>350</v>
      </c>
      <c r="F90" s="1169">
        <v>1000</v>
      </c>
      <c r="G90" s="1169">
        <v>1000</v>
      </c>
      <c r="H90" s="1169"/>
      <c r="I90" s="1169"/>
      <c r="J90" s="1170">
        <v>0</v>
      </c>
      <c r="K90" s="1133">
        <v>350</v>
      </c>
      <c r="L90" s="1169">
        <v>848</v>
      </c>
      <c r="M90" s="1169">
        <v>548</v>
      </c>
      <c r="N90" s="1133">
        <v>302.76900000000001</v>
      </c>
      <c r="O90" s="1133">
        <v>302.76900000000001</v>
      </c>
      <c r="P90" s="1188">
        <f t="shared" si="48"/>
        <v>86.505428571428581</v>
      </c>
      <c r="Q90" s="1170"/>
      <c r="R90" s="1170"/>
      <c r="S90" s="1133"/>
      <c r="T90" s="1133"/>
      <c r="U90" s="982"/>
      <c r="V90" s="1001"/>
      <c r="W90" s="1001"/>
      <c r="X90" s="912" t="s">
        <v>122</v>
      </c>
      <c r="Y90" s="152" t="s">
        <v>279</v>
      </c>
      <c r="Z90" s="148"/>
      <c r="AB90" s="953"/>
      <c r="AJ90" s="915" t="e">
        <f>#REF!-#REF!</f>
        <v>#REF!</v>
      </c>
      <c r="AK90" s="915" t="e">
        <f>#REF!-#REF!</f>
        <v>#REF!</v>
      </c>
    </row>
    <row r="91" spans="1:37" ht="35.1" customHeight="1" x14ac:dyDescent="0.2">
      <c r="A91" s="1118">
        <v>18</v>
      </c>
      <c r="B91" s="982" t="s">
        <v>327</v>
      </c>
      <c r="C91" s="1167" t="s">
        <v>330</v>
      </c>
      <c r="D91" s="1167" t="s">
        <v>317</v>
      </c>
      <c r="E91" s="1167" t="s">
        <v>351</v>
      </c>
      <c r="F91" s="1169">
        <v>1500</v>
      </c>
      <c r="G91" s="1169">
        <v>1500</v>
      </c>
      <c r="H91" s="1169"/>
      <c r="I91" s="1169"/>
      <c r="J91" s="1170">
        <v>659.76</v>
      </c>
      <c r="K91" s="1133">
        <v>450</v>
      </c>
      <c r="L91" s="1169">
        <v>1480</v>
      </c>
      <c r="M91" s="1169">
        <v>1030</v>
      </c>
      <c r="N91" s="1133">
        <v>377.10799999999995</v>
      </c>
      <c r="O91" s="1133">
        <v>377.10799999999995</v>
      </c>
      <c r="P91" s="1188">
        <f t="shared" si="48"/>
        <v>83.801777777777758</v>
      </c>
      <c r="Q91" s="1170">
        <v>659.76</v>
      </c>
      <c r="R91" s="1170">
        <v>659.76</v>
      </c>
      <c r="S91" s="1133">
        <f t="shared" si="41"/>
        <v>100</v>
      </c>
      <c r="T91" s="1133"/>
      <c r="U91" s="982"/>
      <c r="V91" s="1001"/>
      <c r="W91" s="1001"/>
      <c r="X91" s="912" t="s">
        <v>122</v>
      </c>
      <c r="Y91" s="152" t="s">
        <v>353</v>
      </c>
      <c r="Z91" s="148"/>
      <c r="AB91" s="953"/>
      <c r="AJ91" s="915" t="e">
        <f>#REF!-#REF!</f>
        <v>#REF!</v>
      </c>
      <c r="AK91" s="915" t="e">
        <f>#REF!-#REF!</f>
        <v>#REF!</v>
      </c>
    </row>
    <row r="92" spans="1:37" ht="20.100000000000001" customHeight="1" x14ac:dyDescent="0.2">
      <c r="A92" s="1124" t="s">
        <v>30</v>
      </c>
      <c r="B92" s="1135" t="s">
        <v>463</v>
      </c>
      <c r="C92" s="1167"/>
      <c r="D92" s="1167"/>
      <c r="E92" s="1167"/>
      <c r="F92" s="1199">
        <f t="shared" ref="F92:R92" si="49">SUM(F93:F98)</f>
        <v>75640</v>
      </c>
      <c r="G92" s="1199">
        <f t="shared" si="49"/>
        <v>75640</v>
      </c>
      <c r="H92" s="1199">
        <f t="shared" si="49"/>
        <v>0</v>
      </c>
      <c r="I92" s="1199">
        <f t="shared" si="49"/>
        <v>0</v>
      </c>
      <c r="J92" s="1199">
        <f t="shared" ref="J92:K92" si="50">SUM(J93:J98)</f>
        <v>0</v>
      </c>
      <c r="K92" s="1199">
        <f t="shared" si="50"/>
        <v>25283</v>
      </c>
      <c r="L92" s="1199">
        <f t="shared" si="49"/>
        <v>5407</v>
      </c>
      <c r="M92" s="1199">
        <f t="shared" si="49"/>
        <v>5407</v>
      </c>
      <c r="N92" s="1199">
        <f t="shared" ref="N92:O92" si="51">SUM(N93:N98)</f>
        <v>16640.243999999999</v>
      </c>
      <c r="O92" s="1199">
        <f t="shared" si="51"/>
        <v>3000.2439999999997</v>
      </c>
      <c r="P92" s="1191">
        <f t="shared" si="48"/>
        <v>65.815939564133998</v>
      </c>
      <c r="Q92" s="1199">
        <f t="shared" si="49"/>
        <v>0</v>
      </c>
      <c r="R92" s="1199">
        <f t="shared" si="49"/>
        <v>0</v>
      </c>
      <c r="S92" s="1128"/>
      <c r="T92" s="1166"/>
      <c r="U92" s="982"/>
      <c r="V92" s="1001"/>
      <c r="W92" s="1001"/>
      <c r="Y92" s="152"/>
      <c r="Z92" s="148"/>
      <c r="AB92" s="953"/>
      <c r="AJ92" s="915"/>
      <c r="AK92" s="915"/>
    </row>
    <row r="93" spans="1:37" ht="35.1" customHeight="1" x14ac:dyDescent="0.2">
      <c r="A93" s="1129" t="s">
        <v>458</v>
      </c>
      <c r="B93" s="982" t="s">
        <v>486</v>
      </c>
      <c r="C93" s="1131" t="s">
        <v>141</v>
      </c>
      <c r="D93" s="1131" t="s">
        <v>478</v>
      </c>
      <c r="E93" s="1131" t="s">
        <v>493</v>
      </c>
      <c r="F93" s="1200">
        <v>2000</v>
      </c>
      <c r="G93" s="1200">
        <v>2000</v>
      </c>
      <c r="H93" s="1200"/>
      <c r="I93" s="1169"/>
      <c r="J93" s="1170"/>
      <c r="K93" s="1133">
        <v>1100</v>
      </c>
      <c r="L93" s="1169">
        <v>545</v>
      </c>
      <c r="M93" s="1169">
        <v>545</v>
      </c>
      <c r="N93" s="1133">
        <v>0</v>
      </c>
      <c r="O93" s="1133"/>
      <c r="P93" s="1188">
        <f t="shared" si="48"/>
        <v>0</v>
      </c>
      <c r="Q93" s="1170"/>
      <c r="R93" s="1170"/>
      <c r="S93" s="1133"/>
      <c r="T93" s="1133"/>
      <c r="U93" s="982"/>
      <c r="V93" s="1001"/>
      <c r="W93" s="1001"/>
      <c r="X93" s="912" t="s">
        <v>123</v>
      </c>
      <c r="Y93" s="162" t="s">
        <v>271</v>
      </c>
      <c r="Z93" s="148"/>
      <c r="AB93" s="953"/>
      <c r="AJ93" s="915"/>
      <c r="AK93" s="915"/>
    </row>
    <row r="94" spans="1:37" ht="35.1" customHeight="1" x14ac:dyDescent="0.2">
      <c r="A94" s="1129" t="s">
        <v>468</v>
      </c>
      <c r="B94" s="982" t="s">
        <v>487</v>
      </c>
      <c r="C94" s="1131" t="s">
        <v>145</v>
      </c>
      <c r="D94" s="1131" t="s">
        <v>478</v>
      </c>
      <c r="E94" s="1131" t="s">
        <v>495</v>
      </c>
      <c r="F94" s="1200">
        <v>2000</v>
      </c>
      <c r="G94" s="1200">
        <v>2000</v>
      </c>
      <c r="H94" s="1200"/>
      <c r="I94" s="1169"/>
      <c r="J94" s="1170"/>
      <c r="K94" s="1133">
        <v>1100</v>
      </c>
      <c r="L94" s="1169">
        <v>665</v>
      </c>
      <c r="M94" s="1169">
        <v>665</v>
      </c>
      <c r="N94" s="1133">
        <v>0</v>
      </c>
      <c r="O94" s="1133"/>
      <c r="P94" s="1188">
        <f t="shared" si="48"/>
        <v>0</v>
      </c>
      <c r="Q94" s="1170"/>
      <c r="R94" s="1170"/>
      <c r="S94" s="1133"/>
      <c r="T94" s="1133"/>
      <c r="U94" s="982"/>
      <c r="V94" s="1001"/>
      <c r="W94" s="1001"/>
      <c r="X94" s="912" t="s">
        <v>123</v>
      </c>
      <c r="Y94" s="162" t="s">
        <v>276</v>
      </c>
      <c r="Z94" s="148"/>
      <c r="AB94" s="953"/>
      <c r="AJ94" s="915"/>
      <c r="AK94" s="915"/>
    </row>
    <row r="95" spans="1:37" ht="35.1" customHeight="1" x14ac:dyDescent="0.2">
      <c r="A95" s="1129" t="s">
        <v>472</v>
      </c>
      <c r="B95" s="982" t="s">
        <v>488</v>
      </c>
      <c r="C95" s="1131" t="s">
        <v>149</v>
      </c>
      <c r="D95" s="1131" t="s">
        <v>466</v>
      </c>
      <c r="E95" s="1167" t="s">
        <v>497</v>
      </c>
      <c r="F95" s="1169">
        <v>3000</v>
      </c>
      <c r="G95" s="1169">
        <v>3000</v>
      </c>
      <c r="H95" s="1169"/>
      <c r="I95" s="1169"/>
      <c r="J95" s="1170"/>
      <c r="K95" s="1133">
        <v>1583</v>
      </c>
      <c r="L95" s="1169">
        <v>600</v>
      </c>
      <c r="M95" s="1169">
        <v>600</v>
      </c>
      <c r="N95" s="1133">
        <v>901.48199999999997</v>
      </c>
      <c r="O95" s="1133">
        <v>141.482</v>
      </c>
      <c r="P95" s="1188">
        <f t="shared" si="48"/>
        <v>56.947694251421353</v>
      </c>
      <c r="Q95" s="1170"/>
      <c r="R95" s="1170"/>
      <c r="S95" s="1133"/>
      <c r="T95" s="1133"/>
      <c r="U95" s="982"/>
      <c r="V95" s="1001"/>
      <c r="W95" s="1001"/>
      <c r="X95" s="912" t="s">
        <v>123</v>
      </c>
      <c r="Y95" s="162" t="s">
        <v>268</v>
      </c>
      <c r="Z95" s="148"/>
      <c r="AB95" s="953"/>
      <c r="AJ95" s="915"/>
      <c r="AK95" s="915"/>
    </row>
    <row r="96" spans="1:37" ht="35.1" customHeight="1" x14ac:dyDescent="0.2">
      <c r="A96" s="1129" t="s">
        <v>504</v>
      </c>
      <c r="B96" s="1171" t="s">
        <v>489</v>
      </c>
      <c r="C96" s="1131" t="s">
        <v>225</v>
      </c>
      <c r="D96" s="1131" t="s">
        <v>466</v>
      </c>
      <c r="E96" s="1167" t="s">
        <v>499</v>
      </c>
      <c r="F96" s="1169">
        <v>26330</v>
      </c>
      <c r="G96" s="1169">
        <v>26330</v>
      </c>
      <c r="H96" s="1169"/>
      <c r="I96" s="1169"/>
      <c r="J96" s="1170"/>
      <c r="K96" s="1133">
        <v>8000</v>
      </c>
      <c r="L96" s="1169">
        <v>1200</v>
      </c>
      <c r="M96" s="1169">
        <v>1200</v>
      </c>
      <c r="N96" s="1133">
        <v>7479.6559999999999</v>
      </c>
      <c r="O96" s="1133">
        <v>1069.6559999999999</v>
      </c>
      <c r="P96" s="1188">
        <f t="shared" si="48"/>
        <v>93.495699999999999</v>
      </c>
      <c r="Q96" s="1170"/>
      <c r="R96" s="1170"/>
      <c r="S96" s="1133"/>
      <c r="T96" s="1133"/>
      <c r="U96" s="982"/>
      <c r="V96" s="1001"/>
      <c r="W96" s="1001"/>
      <c r="X96" s="912" t="s">
        <v>123</v>
      </c>
      <c r="Y96" s="162" t="s">
        <v>268</v>
      </c>
      <c r="Z96" s="148"/>
      <c r="AB96" s="953"/>
      <c r="AJ96" s="915"/>
      <c r="AK96" s="915"/>
    </row>
    <row r="97" spans="1:45" ht="35.1" customHeight="1" x14ac:dyDescent="0.2">
      <c r="A97" s="1129" t="s">
        <v>505</v>
      </c>
      <c r="B97" s="1171" t="s">
        <v>490</v>
      </c>
      <c r="C97" s="1131" t="s">
        <v>141</v>
      </c>
      <c r="D97" s="1131" t="s">
        <v>466</v>
      </c>
      <c r="E97" s="1167" t="s">
        <v>501</v>
      </c>
      <c r="F97" s="1169">
        <v>14000</v>
      </c>
      <c r="G97" s="1169">
        <v>14000</v>
      </c>
      <c r="H97" s="1169"/>
      <c r="I97" s="1169"/>
      <c r="J97" s="1170"/>
      <c r="K97" s="1133">
        <v>5000</v>
      </c>
      <c r="L97" s="1169">
        <v>510</v>
      </c>
      <c r="M97" s="1169">
        <v>510</v>
      </c>
      <c r="N97" s="1133">
        <v>3822.06</v>
      </c>
      <c r="O97" s="1133">
        <v>552.05999999999995</v>
      </c>
      <c r="P97" s="1188">
        <f t="shared" si="48"/>
        <v>76.441199999999995</v>
      </c>
      <c r="Q97" s="1170"/>
      <c r="R97" s="1170"/>
      <c r="S97" s="1133"/>
      <c r="T97" s="1133"/>
      <c r="U97" s="982"/>
      <c r="V97" s="1001"/>
      <c r="W97" s="1001"/>
      <c r="X97" s="912" t="s">
        <v>123</v>
      </c>
      <c r="Y97" s="162" t="s">
        <v>268</v>
      </c>
      <c r="Z97" s="148"/>
      <c r="AB97" s="953"/>
      <c r="AJ97" s="915"/>
      <c r="AK97" s="915"/>
    </row>
    <row r="98" spans="1:45" ht="35.1" customHeight="1" x14ac:dyDescent="0.2">
      <c r="A98" s="1129" t="s">
        <v>506</v>
      </c>
      <c r="B98" s="1158" t="s">
        <v>491</v>
      </c>
      <c r="C98" s="1131" t="s">
        <v>143</v>
      </c>
      <c r="D98" s="1131" t="s">
        <v>466</v>
      </c>
      <c r="E98" s="1167" t="s">
        <v>503</v>
      </c>
      <c r="F98" s="1169">
        <v>28310</v>
      </c>
      <c r="G98" s="1169">
        <v>28310</v>
      </c>
      <c r="H98" s="1169"/>
      <c r="I98" s="1169"/>
      <c r="J98" s="1170"/>
      <c r="K98" s="1133">
        <v>8500</v>
      </c>
      <c r="L98" s="1169">
        <v>1887</v>
      </c>
      <c r="M98" s="1169">
        <v>1887</v>
      </c>
      <c r="N98" s="1133">
        <v>4437.0460000000003</v>
      </c>
      <c r="O98" s="1133">
        <v>1237.046</v>
      </c>
      <c r="P98" s="1188">
        <f t="shared" si="48"/>
        <v>52.200541176470594</v>
      </c>
      <c r="Q98" s="1170"/>
      <c r="R98" s="1170"/>
      <c r="S98" s="1133"/>
      <c r="T98" s="1133"/>
      <c r="U98" s="982"/>
      <c r="V98" s="1001"/>
      <c r="W98" s="1001"/>
      <c r="X98" s="912" t="s">
        <v>123</v>
      </c>
      <c r="Y98" s="162" t="s">
        <v>268</v>
      </c>
      <c r="Z98" s="148"/>
      <c r="AB98" s="953"/>
      <c r="AJ98" s="915"/>
      <c r="AK98" s="915"/>
    </row>
    <row r="99" spans="1:45" ht="90" x14ac:dyDescent="0.2">
      <c r="A99" s="1118"/>
      <c r="B99" s="1152" t="s">
        <v>227</v>
      </c>
      <c r="C99" s="1136"/>
      <c r="D99" s="1146"/>
      <c r="E99" s="1146"/>
      <c r="F99" s="1174">
        <f>F100+F103</f>
        <v>12352</v>
      </c>
      <c r="G99" s="1174">
        <f t="shared" ref="G99:R99" si="52">G100+G103</f>
        <v>12352</v>
      </c>
      <c r="H99" s="1174">
        <f t="shared" si="52"/>
        <v>0</v>
      </c>
      <c r="I99" s="1174">
        <f t="shared" si="52"/>
        <v>0</v>
      </c>
      <c r="J99" s="1174">
        <f t="shared" ref="J99:K99" si="53">J100+J103</f>
        <v>218.4849999999999</v>
      </c>
      <c r="K99" s="1174">
        <f t="shared" si="53"/>
        <v>4882</v>
      </c>
      <c r="L99" s="1174">
        <f t="shared" si="52"/>
        <v>8050</v>
      </c>
      <c r="M99" s="1174">
        <f t="shared" si="52"/>
        <v>4652</v>
      </c>
      <c r="N99" s="1174">
        <f t="shared" ref="N99:O99" si="54">N100+N103</f>
        <v>3629.723</v>
      </c>
      <c r="O99" s="1174">
        <f t="shared" si="54"/>
        <v>2343.723</v>
      </c>
      <c r="P99" s="1174">
        <f>N99/K99*100</f>
        <v>74.349098730028672</v>
      </c>
      <c r="Q99" s="1174">
        <f t="shared" si="52"/>
        <v>218.48500000000001</v>
      </c>
      <c r="R99" s="1174">
        <f t="shared" si="52"/>
        <v>218.48500000000001</v>
      </c>
      <c r="S99" s="1174">
        <f>Q99/J99*100</f>
        <v>100.00000000000004</v>
      </c>
      <c r="T99" s="1172"/>
      <c r="U99" s="982"/>
      <c r="V99" s="1001"/>
      <c r="W99" s="1001"/>
      <c r="Z99" s="148"/>
      <c r="AB99" s="953"/>
      <c r="AC99" s="944" t="e">
        <f>#REF!*60%</f>
        <v>#REF!</v>
      </c>
      <c r="AJ99" s="915"/>
      <c r="AK99" s="915"/>
    </row>
    <row r="100" spans="1:45" ht="20.100000000000001" customHeight="1" x14ac:dyDescent="0.2">
      <c r="A100" s="1124" t="s">
        <v>28</v>
      </c>
      <c r="B100" s="1125" t="s">
        <v>462</v>
      </c>
      <c r="C100" s="1136"/>
      <c r="D100" s="1146"/>
      <c r="E100" s="1146"/>
      <c r="F100" s="1128">
        <f>SUM(F101:F102)</f>
        <v>5923</v>
      </c>
      <c r="G100" s="1128">
        <f t="shared" ref="G100:R100" si="55">SUM(G101:G102)</f>
        <v>5923</v>
      </c>
      <c r="H100" s="1128">
        <f t="shared" si="55"/>
        <v>0</v>
      </c>
      <c r="I100" s="1128">
        <f t="shared" si="55"/>
        <v>0</v>
      </c>
      <c r="J100" s="1128">
        <f t="shared" ref="J100:K100" si="56">SUM(J101:J102)</f>
        <v>218.4849999999999</v>
      </c>
      <c r="K100" s="1128">
        <f t="shared" si="56"/>
        <v>1782</v>
      </c>
      <c r="L100" s="1128">
        <f t="shared" si="55"/>
        <v>5750</v>
      </c>
      <c r="M100" s="1128">
        <f t="shared" si="55"/>
        <v>2852</v>
      </c>
      <c r="N100" s="1128">
        <f t="shared" ref="N100:O100" si="57">SUM(N101:N102)</f>
        <v>1782</v>
      </c>
      <c r="O100" s="1128">
        <f t="shared" si="57"/>
        <v>1782</v>
      </c>
      <c r="P100" s="1191">
        <f t="shared" si="48"/>
        <v>100</v>
      </c>
      <c r="Q100" s="1128">
        <f t="shared" si="55"/>
        <v>218.48500000000001</v>
      </c>
      <c r="R100" s="1128">
        <f t="shared" si="55"/>
        <v>218.48500000000001</v>
      </c>
      <c r="S100" s="1133">
        <f t="shared" si="41"/>
        <v>100.00000000000004</v>
      </c>
      <c r="T100" s="1172"/>
      <c r="U100" s="982"/>
      <c r="V100" s="1001"/>
      <c r="W100" s="1001"/>
      <c r="Z100" s="148"/>
      <c r="AB100" s="953"/>
      <c r="AJ100" s="915"/>
      <c r="AK100" s="915"/>
    </row>
    <row r="101" spans="1:45" ht="35.1" customHeight="1" x14ac:dyDescent="0.2">
      <c r="A101" s="1118">
        <v>1</v>
      </c>
      <c r="B101" s="982" t="s">
        <v>228</v>
      </c>
      <c r="C101" s="1136" t="s">
        <v>145</v>
      </c>
      <c r="D101" s="1146" t="s">
        <v>179</v>
      </c>
      <c r="E101" s="1167" t="s">
        <v>230</v>
      </c>
      <c r="F101" s="1169">
        <v>2763</v>
      </c>
      <c r="G101" s="1169">
        <v>2763</v>
      </c>
      <c r="H101" s="1169"/>
      <c r="I101" s="1133"/>
      <c r="J101" s="1133"/>
      <c r="K101" s="1133">
        <v>850</v>
      </c>
      <c r="L101" s="1133">
        <v>2740</v>
      </c>
      <c r="M101" s="1133">
        <v>1152</v>
      </c>
      <c r="N101" s="1133">
        <v>850</v>
      </c>
      <c r="O101" s="1133">
        <v>850</v>
      </c>
      <c r="P101" s="1188">
        <f t="shared" si="48"/>
        <v>100</v>
      </c>
      <c r="Q101" s="1133"/>
      <c r="R101" s="1133"/>
      <c r="S101" s="1133"/>
      <c r="T101" s="1133"/>
      <c r="U101" s="982"/>
      <c r="V101" s="1001"/>
      <c r="W101" s="1001"/>
      <c r="X101" s="912" t="s">
        <v>122</v>
      </c>
      <c r="Y101" s="955" t="s">
        <v>268</v>
      </c>
      <c r="Z101" s="148"/>
      <c r="AB101" s="953"/>
      <c r="AJ101" s="915" t="e">
        <f>#REF!-#REF!</f>
        <v>#REF!</v>
      </c>
      <c r="AK101" s="915" t="e">
        <f>#REF!-#REF!</f>
        <v>#REF!</v>
      </c>
    </row>
    <row r="102" spans="1:45" ht="35.1" customHeight="1" x14ac:dyDescent="0.2">
      <c r="A102" s="1118">
        <v>2</v>
      </c>
      <c r="B102" s="982" t="s">
        <v>229</v>
      </c>
      <c r="C102" s="1136" t="s">
        <v>137</v>
      </c>
      <c r="D102" s="1146" t="s">
        <v>179</v>
      </c>
      <c r="E102" s="1167" t="s">
        <v>231</v>
      </c>
      <c r="F102" s="1169">
        <v>3160</v>
      </c>
      <c r="G102" s="1169">
        <v>3160</v>
      </c>
      <c r="H102" s="1169"/>
      <c r="I102" s="1133"/>
      <c r="J102" s="1133">
        <v>218.4849999999999</v>
      </c>
      <c r="K102" s="1133">
        <v>932</v>
      </c>
      <c r="L102" s="1133">
        <v>3010</v>
      </c>
      <c r="M102" s="1133">
        <v>1700</v>
      </c>
      <c r="N102" s="1133">
        <v>932</v>
      </c>
      <c r="O102" s="1133">
        <v>932</v>
      </c>
      <c r="P102" s="1188">
        <f t="shared" si="48"/>
        <v>100</v>
      </c>
      <c r="Q102" s="1133">
        <v>218.48500000000001</v>
      </c>
      <c r="R102" s="1133">
        <v>218.48500000000001</v>
      </c>
      <c r="S102" s="1133">
        <f t="shared" ref="S102:S141" si="58">Q102/J102*100</f>
        <v>100.00000000000004</v>
      </c>
      <c r="T102" s="1133"/>
      <c r="U102" s="982"/>
      <c r="V102" s="1001"/>
      <c r="W102" s="1001"/>
      <c r="X102" s="912" t="s">
        <v>122</v>
      </c>
      <c r="Y102" s="955" t="s">
        <v>268</v>
      </c>
      <c r="Z102" s="148"/>
      <c r="AB102" s="953"/>
      <c r="AJ102" s="915" t="e">
        <f>#REF!-#REF!</f>
        <v>#REF!</v>
      </c>
      <c r="AK102" s="915" t="e">
        <f>#REF!-#REF!</f>
        <v>#REF!</v>
      </c>
    </row>
    <row r="103" spans="1:45" ht="20.100000000000001" customHeight="1" x14ac:dyDescent="0.2">
      <c r="A103" s="1124" t="s">
        <v>30</v>
      </c>
      <c r="B103" s="1135" t="s">
        <v>463</v>
      </c>
      <c r="C103" s="1136"/>
      <c r="D103" s="1146"/>
      <c r="E103" s="1167"/>
      <c r="F103" s="1128">
        <f>SUM(F104:F105)</f>
        <v>6429</v>
      </c>
      <c r="G103" s="1128">
        <f t="shared" ref="G103:R103" si="59">SUM(G104:G105)</f>
        <v>6429</v>
      </c>
      <c r="H103" s="1128">
        <f t="shared" si="59"/>
        <v>0</v>
      </c>
      <c r="I103" s="1128">
        <f t="shared" si="59"/>
        <v>0</v>
      </c>
      <c r="J103" s="1128">
        <f t="shared" ref="J103:K103" si="60">SUM(J104:J105)</f>
        <v>0</v>
      </c>
      <c r="K103" s="1128">
        <f t="shared" si="60"/>
        <v>3100</v>
      </c>
      <c r="L103" s="1128">
        <f t="shared" si="59"/>
        <v>2300</v>
      </c>
      <c r="M103" s="1128">
        <f t="shared" si="59"/>
        <v>1800</v>
      </c>
      <c r="N103" s="1128">
        <f t="shared" ref="N103:O103" si="61">SUM(N104:N105)</f>
        <v>1847.723</v>
      </c>
      <c r="O103" s="1128">
        <f t="shared" si="61"/>
        <v>561.72299999999996</v>
      </c>
      <c r="P103" s="1191">
        <f t="shared" si="48"/>
        <v>59.603967741935485</v>
      </c>
      <c r="Q103" s="1128">
        <f t="shared" si="59"/>
        <v>0</v>
      </c>
      <c r="R103" s="1128">
        <f t="shared" si="59"/>
        <v>0</v>
      </c>
      <c r="S103" s="1128"/>
      <c r="T103" s="1173"/>
      <c r="U103" s="982"/>
      <c r="V103" s="1001"/>
      <c r="W103" s="1001"/>
      <c r="Y103" s="955"/>
      <c r="Z103" s="148"/>
      <c r="AB103" s="953"/>
      <c r="AJ103" s="915"/>
      <c r="AK103" s="915"/>
    </row>
    <row r="104" spans="1:45" ht="35.1" customHeight="1" x14ac:dyDescent="0.2">
      <c r="A104" s="1129" t="s">
        <v>458</v>
      </c>
      <c r="B104" s="1149" t="s">
        <v>507</v>
      </c>
      <c r="C104" s="1131" t="s">
        <v>166</v>
      </c>
      <c r="D104" s="1131" t="s">
        <v>466</v>
      </c>
      <c r="E104" s="1157" t="s">
        <v>509</v>
      </c>
      <c r="F104" s="1195">
        <v>2276</v>
      </c>
      <c r="G104" s="1195">
        <v>2276</v>
      </c>
      <c r="H104" s="1195"/>
      <c r="I104" s="1133"/>
      <c r="J104" s="1133"/>
      <c r="K104" s="1133">
        <v>1100</v>
      </c>
      <c r="L104" s="1133">
        <v>600</v>
      </c>
      <c r="M104" s="1133">
        <v>600</v>
      </c>
      <c r="N104" s="1133">
        <v>353</v>
      </c>
      <c r="O104" s="1133">
        <v>57</v>
      </c>
      <c r="P104" s="1188">
        <f t="shared" si="48"/>
        <v>32.090909090909093</v>
      </c>
      <c r="Q104" s="1133"/>
      <c r="R104" s="1133"/>
      <c r="S104" s="1133"/>
      <c r="T104" s="1133"/>
      <c r="U104" s="982"/>
      <c r="V104" s="1001"/>
      <c r="W104" s="1001"/>
      <c r="X104" s="912" t="s">
        <v>123</v>
      </c>
      <c r="Y104" s="955" t="s">
        <v>268</v>
      </c>
      <c r="Z104" s="148"/>
      <c r="AB104" s="953"/>
      <c r="AJ104" s="915"/>
      <c r="AK104" s="915"/>
    </row>
    <row r="105" spans="1:45" ht="35.1" customHeight="1" x14ac:dyDescent="0.2">
      <c r="A105" s="1129" t="s">
        <v>468</v>
      </c>
      <c r="B105" s="1149" t="s">
        <v>510</v>
      </c>
      <c r="C105" s="1131" t="s">
        <v>225</v>
      </c>
      <c r="D105" s="1131" t="s">
        <v>466</v>
      </c>
      <c r="E105" s="1157" t="s">
        <v>512</v>
      </c>
      <c r="F105" s="1195">
        <v>4153</v>
      </c>
      <c r="G105" s="1195">
        <v>4153</v>
      </c>
      <c r="H105" s="1195"/>
      <c r="I105" s="1133"/>
      <c r="J105" s="1133"/>
      <c r="K105" s="1133">
        <v>2000</v>
      </c>
      <c r="L105" s="1133">
        <v>1700</v>
      </c>
      <c r="M105" s="1133">
        <v>1200</v>
      </c>
      <c r="N105" s="1133">
        <v>1494.723</v>
      </c>
      <c r="O105" s="1133">
        <v>504.72300000000001</v>
      </c>
      <c r="P105" s="1188">
        <f t="shared" si="48"/>
        <v>74.736149999999995</v>
      </c>
      <c r="Q105" s="1133"/>
      <c r="R105" s="1133"/>
      <c r="S105" s="1133"/>
      <c r="T105" s="1133"/>
      <c r="U105" s="982"/>
      <c r="V105" s="1001"/>
      <c r="W105" s="1001"/>
      <c r="X105" s="912" t="s">
        <v>123</v>
      </c>
      <c r="Y105" s="955" t="s">
        <v>268</v>
      </c>
      <c r="Z105" s="148"/>
      <c r="AB105" s="953"/>
      <c r="AJ105" s="915"/>
      <c r="AK105" s="915"/>
    </row>
    <row r="106" spans="1:45" s="936" customFormat="1" ht="54.95" customHeight="1" x14ac:dyDescent="0.2">
      <c r="A106" s="1151"/>
      <c r="B106" s="1152" t="s">
        <v>232</v>
      </c>
      <c r="C106" s="1153"/>
      <c r="D106" s="1154"/>
      <c r="E106" s="1154"/>
      <c r="F106" s="1174">
        <f>F107+F122+F129</f>
        <v>5980</v>
      </c>
      <c r="G106" s="1174">
        <f t="shared" ref="G106:R106" si="62">G107+G122+G129</f>
        <v>5415</v>
      </c>
      <c r="H106" s="1174">
        <f t="shared" si="62"/>
        <v>0</v>
      </c>
      <c r="I106" s="1174">
        <f t="shared" si="62"/>
        <v>565</v>
      </c>
      <c r="J106" s="1174">
        <f t="shared" ref="J106:K106" si="63">J107+J122+J129</f>
        <v>1957.6</v>
      </c>
      <c r="K106" s="1174">
        <f t="shared" si="63"/>
        <v>3844</v>
      </c>
      <c r="L106" s="1174">
        <f t="shared" si="62"/>
        <v>3705</v>
      </c>
      <c r="M106" s="1174">
        <f t="shared" si="62"/>
        <v>2897</v>
      </c>
      <c r="N106" s="1174">
        <f t="shared" ref="N106:O106" si="64">N107+N122+N129</f>
        <v>641.96299999999997</v>
      </c>
      <c r="O106" s="1174">
        <f t="shared" si="64"/>
        <v>641.96299999999997</v>
      </c>
      <c r="P106" s="1174">
        <f>N106/K106*100</f>
        <v>16.700390218522372</v>
      </c>
      <c r="Q106" s="1174">
        <f t="shared" si="62"/>
        <v>657</v>
      </c>
      <c r="R106" s="1174">
        <f t="shared" si="62"/>
        <v>657</v>
      </c>
      <c r="S106" s="1174">
        <f>Q106/J106*100</f>
        <v>33.561503882304869</v>
      </c>
      <c r="T106" s="1174"/>
      <c r="U106" s="989"/>
      <c r="V106" s="934"/>
      <c r="W106" s="934"/>
      <c r="X106" s="923"/>
      <c r="Z106" s="160"/>
      <c r="AB106" s="1065"/>
      <c r="AC106" s="954" t="e">
        <f>#REF!*60%</f>
        <v>#REF!</v>
      </c>
      <c r="AD106" s="935"/>
      <c r="AE106" s="935"/>
      <c r="AF106" s="935"/>
      <c r="AG106" s="935"/>
      <c r="AH106" s="935"/>
      <c r="AI106" s="935"/>
      <c r="AJ106" s="915" t="e">
        <f>#REF!-#REF!</f>
        <v>#REF!</v>
      </c>
      <c r="AK106" s="915" t="e">
        <f>#REF!-#REF!</f>
        <v>#REF!</v>
      </c>
      <c r="AL106" s="935"/>
      <c r="AM106" s="935"/>
      <c r="AN106" s="935"/>
      <c r="AO106" s="935"/>
      <c r="AP106" s="935"/>
      <c r="AQ106" s="935"/>
      <c r="AR106" s="935"/>
      <c r="AS106" s="935"/>
    </row>
    <row r="107" spans="1:45" s="936" customFormat="1" ht="20.100000000000001" customHeight="1" x14ac:dyDescent="0.2">
      <c r="A107" s="1124" t="s">
        <v>28</v>
      </c>
      <c r="B107" s="1125" t="s">
        <v>462</v>
      </c>
      <c r="C107" s="1153"/>
      <c r="D107" s="1154"/>
      <c r="E107" s="1154"/>
      <c r="F107" s="1128">
        <f>F108</f>
        <v>4180</v>
      </c>
      <c r="G107" s="1128">
        <f t="shared" ref="G107:R107" si="65">G108</f>
        <v>3705</v>
      </c>
      <c r="H107" s="1128">
        <f t="shared" si="65"/>
        <v>0</v>
      </c>
      <c r="I107" s="1128">
        <f t="shared" si="65"/>
        <v>475</v>
      </c>
      <c r="J107" s="1128">
        <f t="shared" si="65"/>
        <v>1957.6</v>
      </c>
      <c r="K107" s="1128">
        <f t="shared" si="65"/>
        <v>838</v>
      </c>
      <c r="L107" s="1128">
        <f t="shared" si="65"/>
        <v>2831</v>
      </c>
      <c r="M107" s="1128">
        <f t="shared" si="65"/>
        <v>2023</v>
      </c>
      <c r="N107" s="1128">
        <f t="shared" si="65"/>
        <v>143.91</v>
      </c>
      <c r="O107" s="1128">
        <f t="shared" si="65"/>
        <v>143.91</v>
      </c>
      <c r="P107" s="1191">
        <f t="shared" si="48"/>
        <v>17.173031026252982</v>
      </c>
      <c r="Q107" s="1128">
        <f t="shared" si="65"/>
        <v>657</v>
      </c>
      <c r="R107" s="1128">
        <f t="shared" si="65"/>
        <v>657</v>
      </c>
      <c r="S107" s="1133">
        <f t="shared" si="58"/>
        <v>33.561503882304869</v>
      </c>
      <c r="T107" s="1174"/>
      <c r="U107" s="989"/>
      <c r="V107" s="934"/>
      <c r="W107" s="934"/>
      <c r="X107" s="923"/>
      <c r="Z107" s="160"/>
      <c r="AB107" s="1065"/>
      <c r="AD107" s="935"/>
      <c r="AE107" s="935"/>
      <c r="AF107" s="935"/>
      <c r="AG107" s="935"/>
      <c r="AH107" s="935"/>
      <c r="AI107" s="935"/>
      <c r="AJ107" s="915"/>
      <c r="AK107" s="915"/>
      <c r="AL107" s="935"/>
      <c r="AM107" s="935"/>
      <c r="AN107" s="935"/>
      <c r="AO107" s="935"/>
      <c r="AP107" s="935"/>
      <c r="AQ107" s="935"/>
      <c r="AR107" s="935"/>
      <c r="AS107" s="935"/>
    </row>
    <row r="108" spans="1:45" ht="35.1" customHeight="1" x14ac:dyDescent="0.2">
      <c r="A108" s="1175" t="s">
        <v>367</v>
      </c>
      <c r="B108" s="1149" t="s">
        <v>233</v>
      </c>
      <c r="C108" s="1136"/>
      <c r="D108" s="1146"/>
      <c r="E108" s="1146"/>
      <c r="F108" s="1133">
        <f>SUM(F109:F121)</f>
        <v>4180</v>
      </c>
      <c r="G108" s="1133">
        <f t="shared" ref="G108:R108" si="66">SUM(G109:G121)</f>
        <v>3705</v>
      </c>
      <c r="H108" s="1133">
        <f t="shared" si="66"/>
        <v>0</v>
      </c>
      <c r="I108" s="1133">
        <f t="shared" si="66"/>
        <v>475</v>
      </c>
      <c r="J108" s="1133">
        <f t="shared" ref="J108:K108" si="67">SUM(J109:J121)</f>
        <v>1957.6</v>
      </c>
      <c r="K108" s="1133">
        <f t="shared" si="67"/>
        <v>838</v>
      </c>
      <c r="L108" s="1133">
        <f t="shared" si="66"/>
        <v>2831</v>
      </c>
      <c r="M108" s="1133">
        <f t="shared" si="66"/>
        <v>2023</v>
      </c>
      <c r="N108" s="1133">
        <f t="shared" ref="N108:O108" si="68">SUM(N109:N121)</f>
        <v>143.91</v>
      </c>
      <c r="O108" s="1133">
        <f t="shared" si="68"/>
        <v>143.91</v>
      </c>
      <c r="P108" s="1188">
        <f t="shared" si="48"/>
        <v>17.173031026252982</v>
      </c>
      <c r="Q108" s="1133">
        <f t="shared" si="66"/>
        <v>657</v>
      </c>
      <c r="R108" s="1133">
        <f t="shared" si="66"/>
        <v>657</v>
      </c>
      <c r="S108" s="1133">
        <f t="shared" si="58"/>
        <v>33.561503882304869</v>
      </c>
      <c r="T108" s="1133"/>
      <c r="U108" s="982"/>
      <c r="V108" s="1001"/>
      <c r="W108" s="1001"/>
      <c r="Z108" s="148"/>
      <c r="AB108" s="953"/>
      <c r="AJ108" s="915" t="e">
        <f>#REF!-#REF!</f>
        <v>#REF!</v>
      </c>
      <c r="AK108" s="915" t="e">
        <f>#REF!-#REF!</f>
        <v>#REF!</v>
      </c>
    </row>
    <row r="109" spans="1:45" ht="35.1" customHeight="1" x14ac:dyDescent="0.2">
      <c r="A109" s="1118">
        <v>1</v>
      </c>
      <c r="B109" s="1149" t="s">
        <v>354</v>
      </c>
      <c r="C109" s="1156" t="s">
        <v>368</v>
      </c>
      <c r="D109" s="1146" t="s">
        <v>167</v>
      </c>
      <c r="E109" s="1176" t="s">
        <v>374</v>
      </c>
      <c r="F109" s="1201">
        <v>330</v>
      </c>
      <c r="G109" s="1201">
        <v>285</v>
      </c>
      <c r="H109" s="1201"/>
      <c r="I109" s="1133">
        <v>45</v>
      </c>
      <c r="J109" s="1133">
        <v>0</v>
      </c>
      <c r="K109" s="1133">
        <v>35</v>
      </c>
      <c r="L109" s="1133">
        <v>201</v>
      </c>
      <c r="M109" s="1133">
        <v>135</v>
      </c>
      <c r="N109" s="1133"/>
      <c r="O109" s="1133"/>
      <c r="P109" s="1188">
        <f t="shared" si="48"/>
        <v>0</v>
      </c>
      <c r="Q109" s="1133"/>
      <c r="R109" s="1133"/>
      <c r="S109" s="1133"/>
      <c r="T109" s="1133"/>
      <c r="U109" s="982"/>
      <c r="V109" s="1001"/>
      <c r="W109" s="1001"/>
      <c r="X109" s="912" t="s">
        <v>122</v>
      </c>
      <c r="Y109" s="152" t="s">
        <v>269</v>
      </c>
      <c r="Z109" s="148"/>
      <c r="AB109" s="953"/>
      <c r="AJ109" s="915" t="e">
        <f>#REF!-#REF!</f>
        <v>#REF!</v>
      </c>
      <c r="AK109" s="915" t="e">
        <f>#REF!-#REF!</f>
        <v>#REF!</v>
      </c>
    </row>
    <row r="110" spans="1:45" ht="35.1" customHeight="1" x14ac:dyDescent="0.2">
      <c r="A110" s="1118">
        <v>2</v>
      </c>
      <c r="B110" s="1149" t="s">
        <v>355</v>
      </c>
      <c r="C110" s="1156" t="s">
        <v>368</v>
      </c>
      <c r="D110" s="1146" t="s">
        <v>167</v>
      </c>
      <c r="E110" s="1176" t="s">
        <v>375</v>
      </c>
      <c r="F110" s="1201">
        <v>330</v>
      </c>
      <c r="G110" s="1201">
        <v>285</v>
      </c>
      <c r="H110" s="1201"/>
      <c r="I110" s="1133">
        <v>45</v>
      </c>
      <c r="J110" s="1133">
        <v>0</v>
      </c>
      <c r="K110" s="1133">
        <v>35</v>
      </c>
      <c r="L110" s="1133">
        <v>207</v>
      </c>
      <c r="M110" s="1133">
        <v>167</v>
      </c>
      <c r="N110" s="1133"/>
      <c r="O110" s="1133"/>
      <c r="P110" s="1188">
        <f t="shared" si="48"/>
        <v>0</v>
      </c>
      <c r="Q110" s="1133"/>
      <c r="R110" s="1133"/>
      <c r="S110" s="1133"/>
      <c r="T110" s="1133"/>
      <c r="U110" s="982"/>
      <c r="V110" s="1001"/>
      <c r="W110" s="1001"/>
      <c r="X110" s="912" t="s">
        <v>122</v>
      </c>
      <c r="Y110" s="152" t="s">
        <v>269</v>
      </c>
      <c r="Z110" s="148"/>
      <c r="AB110" s="953"/>
      <c r="AJ110" s="915" t="e">
        <f>#REF!-#REF!</f>
        <v>#REF!</v>
      </c>
      <c r="AK110" s="915" t="e">
        <f>#REF!-#REF!</f>
        <v>#REF!</v>
      </c>
    </row>
    <row r="111" spans="1:45" ht="35.1" customHeight="1" x14ac:dyDescent="0.2">
      <c r="A111" s="1118">
        <v>3</v>
      </c>
      <c r="B111" s="1149" t="s">
        <v>356</v>
      </c>
      <c r="C111" s="1156" t="s">
        <v>368</v>
      </c>
      <c r="D111" s="1146" t="s">
        <v>167</v>
      </c>
      <c r="E111" s="1176" t="s">
        <v>376</v>
      </c>
      <c r="F111" s="1201">
        <v>330</v>
      </c>
      <c r="G111" s="1201">
        <v>285</v>
      </c>
      <c r="H111" s="1201"/>
      <c r="I111" s="1133">
        <v>45</v>
      </c>
      <c r="J111" s="1133">
        <v>0</v>
      </c>
      <c r="K111" s="1133">
        <v>85</v>
      </c>
      <c r="L111" s="1133">
        <v>203</v>
      </c>
      <c r="M111" s="1133">
        <v>120</v>
      </c>
      <c r="N111" s="1133"/>
      <c r="O111" s="1133"/>
      <c r="P111" s="1188">
        <f t="shared" si="48"/>
        <v>0</v>
      </c>
      <c r="Q111" s="1133"/>
      <c r="R111" s="1133"/>
      <c r="S111" s="1133"/>
      <c r="T111" s="1133"/>
      <c r="U111" s="982"/>
      <c r="V111" s="1001"/>
      <c r="W111" s="1001"/>
      <c r="X111" s="912" t="s">
        <v>122</v>
      </c>
      <c r="Y111" s="152" t="s">
        <v>269</v>
      </c>
      <c r="Z111" s="148"/>
      <c r="AB111" s="953"/>
      <c r="AJ111" s="915" t="e">
        <f>#REF!-#REF!</f>
        <v>#REF!</v>
      </c>
      <c r="AK111" s="915" t="e">
        <f>#REF!-#REF!</f>
        <v>#REF!</v>
      </c>
    </row>
    <row r="112" spans="1:45" ht="35.1" customHeight="1" x14ac:dyDescent="0.2">
      <c r="A112" s="1118">
        <v>4</v>
      </c>
      <c r="B112" s="1149" t="s">
        <v>357</v>
      </c>
      <c r="C112" s="1177" t="s">
        <v>369</v>
      </c>
      <c r="D112" s="1146" t="s">
        <v>167</v>
      </c>
      <c r="E112" s="1176" t="s">
        <v>377</v>
      </c>
      <c r="F112" s="1201">
        <v>300</v>
      </c>
      <c r="G112" s="1201">
        <v>285</v>
      </c>
      <c r="H112" s="1201"/>
      <c r="I112" s="1133">
        <v>15</v>
      </c>
      <c r="J112" s="1133">
        <v>200</v>
      </c>
      <c r="K112" s="1133">
        <v>85</v>
      </c>
      <c r="L112" s="1133">
        <v>205</v>
      </c>
      <c r="M112" s="1133">
        <v>160</v>
      </c>
      <c r="N112" s="1133"/>
      <c r="O112" s="1133"/>
      <c r="P112" s="1188">
        <f t="shared" si="48"/>
        <v>0</v>
      </c>
      <c r="Q112" s="1133"/>
      <c r="R112" s="1133"/>
      <c r="S112" s="1133">
        <f t="shared" si="58"/>
        <v>0</v>
      </c>
      <c r="T112" s="1133"/>
      <c r="U112" s="982"/>
      <c r="V112" s="1001"/>
      <c r="W112" s="1001"/>
      <c r="X112" s="912" t="s">
        <v>122</v>
      </c>
      <c r="Y112" s="152" t="s">
        <v>280</v>
      </c>
      <c r="Z112" s="148"/>
      <c r="AB112" s="953"/>
      <c r="AJ112" s="915" t="e">
        <f>#REF!-#REF!</f>
        <v>#REF!</v>
      </c>
      <c r="AK112" s="915" t="e">
        <f>#REF!-#REF!</f>
        <v>#REF!</v>
      </c>
    </row>
    <row r="113" spans="1:37" ht="35.1" customHeight="1" x14ac:dyDescent="0.2">
      <c r="A113" s="1118">
        <v>5</v>
      </c>
      <c r="B113" s="1149" t="s">
        <v>358</v>
      </c>
      <c r="C113" s="1177" t="s">
        <v>369</v>
      </c>
      <c r="D113" s="1146" t="s">
        <v>167</v>
      </c>
      <c r="E113" s="1176" t="s">
        <v>378</v>
      </c>
      <c r="F113" s="1201">
        <v>300</v>
      </c>
      <c r="G113" s="1201">
        <v>285</v>
      </c>
      <c r="H113" s="1201"/>
      <c r="I113" s="1133">
        <v>15</v>
      </c>
      <c r="J113" s="1133">
        <v>200</v>
      </c>
      <c r="K113" s="1133">
        <v>85</v>
      </c>
      <c r="L113" s="1133">
        <v>241</v>
      </c>
      <c r="M113" s="1133">
        <v>175</v>
      </c>
      <c r="N113" s="1133"/>
      <c r="O113" s="1133"/>
      <c r="P113" s="1188">
        <f t="shared" si="48"/>
        <v>0</v>
      </c>
      <c r="Q113" s="1133"/>
      <c r="R113" s="1133"/>
      <c r="S113" s="1133">
        <f t="shared" si="58"/>
        <v>0</v>
      </c>
      <c r="T113" s="1133"/>
      <c r="U113" s="982"/>
      <c r="V113" s="1001"/>
      <c r="W113" s="1001"/>
      <c r="X113" s="912" t="s">
        <v>122</v>
      </c>
      <c r="Y113" s="152" t="s">
        <v>280</v>
      </c>
      <c r="Z113" s="148"/>
      <c r="AB113" s="953"/>
      <c r="AJ113" s="915" t="e">
        <f>#REF!-#REF!</f>
        <v>#REF!</v>
      </c>
      <c r="AK113" s="915" t="e">
        <f>#REF!-#REF!</f>
        <v>#REF!</v>
      </c>
    </row>
    <row r="114" spans="1:37" ht="35.1" customHeight="1" x14ac:dyDescent="0.2">
      <c r="A114" s="1118">
        <v>6</v>
      </c>
      <c r="B114" s="1149" t="s">
        <v>359</v>
      </c>
      <c r="C114" s="1146" t="s">
        <v>257</v>
      </c>
      <c r="D114" s="1146" t="s">
        <v>167</v>
      </c>
      <c r="E114" s="1176" t="s">
        <v>379</v>
      </c>
      <c r="F114" s="1201">
        <v>330</v>
      </c>
      <c r="G114" s="1201">
        <v>285</v>
      </c>
      <c r="H114" s="1201"/>
      <c r="I114" s="1133">
        <v>45</v>
      </c>
      <c r="J114" s="1133">
        <v>250</v>
      </c>
      <c r="K114" s="1133">
        <v>35</v>
      </c>
      <c r="L114" s="1133">
        <v>256</v>
      </c>
      <c r="M114" s="1133">
        <v>173</v>
      </c>
      <c r="N114" s="1133"/>
      <c r="O114" s="1133"/>
      <c r="P114" s="1188">
        <f t="shared" si="48"/>
        <v>0</v>
      </c>
      <c r="Q114" s="1133">
        <v>250</v>
      </c>
      <c r="R114" s="1133">
        <v>250</v>
      </c>
      <c r="S114" s="1133">
        <f t="shared" si="58"/>
        <v>100</v>
      </c>
      <c r="T114" s="1133"/>
      <c r="U114" s="982"/>
      <c r="V114" s="1001"/>
      <c r="W114" s="1001"/>
      <c r="X114" s="912" t="s">
        <v>122</v>
      </c>
      <c r="Y114" s="152" t="s">
        <v>271</v>
      </c>
      <c r="Z114" s="148"/>
      <c r="AB114" s="953"/>
      <c r="AJ114" s="915" t="e">
        <f>#REF!-#REF!</f>
        <v>#REF!</v>
      </c>
      <c r="AK114" s="915" t="e">
        <f>#REF!-#REF!</f>
        <v>#REF!</v>
      </c>
    </row>
    <row r="115" spans="1:37" ht="35.1" customHeight="1" x14ac:dyDescent="0.2">
      <c r="A115" s="1118">
        <v>7</v>
      </c>
      <c r="B115" s="1149" t="s">
        <v>360</v>
      </c>
      <c r="C115" s="1146" t="s">
        <v>257</v>
      </c>
      <c r="D115" s="1146" t="s">
        <v>167</v>
      </c>
      <c r="E115" s="1176" t="s">
        <v>380</v>
      </c>
      <c r="F115" s="1201">
        <v>330</v>
      </c>
      <c r="G115" s="1201">
        <v>285</v>
      </c>
      <c r="H115" s="1201"/>
      <c r="I115" s="1133">
        <v>45</v>
      </c>
      <c r="J115" s="1133">
        <v>250</v>
      </c>
      <c r="K115" s="1133">
        <v>35</v>
      </c>
      <c r="L115" s="1133">
        <v>247</v>
      </c>
      <c r="M115" s="1133">
        <v>165</v>
      </c>
      <c r="N115" s="1133"/>
      <c r="O115" s="1133"/>
      <c r="P115" s="1188">
        <f t="shared" si="48"/>
        <v>0</v>
      </c>
      <c r="Q115" s="1133">
        <v>250</v>
      </c>
      <c r="R115" s="1133">
        <v>250</v>
      </c>
      <c r="S115" s="1133">
        <f t="shared" si="58"/>
        <v>100</v>
      </c>
      <c r="T115" s="1133"/>
      <c r="U115" s="982"/>
      <c r="V115" s="1001"/>
      <c r="W115" s="1001"/>
      <c r="X115" s="912" t="s">
        <v>122</v>
      </c>
      <c r="Y115" s="152" t="s">
        <v>271</v>
      </c>
      <c r="Z115" s="148"/>
      <c r="AB115" s="953"/>
      <c r="AJ115" s="915" t="e">
        <f>#REF!-#REF!</f>
        <v>#REF!</v>
      </c>
      <c r="AK115" s="915" t="e">
        <f>#REF!-#REF!</f>
        <v>#REF!</v>
      </c>
    </row>
    <row r="116" spans="1:37" ht="35.1" customHeight="1" x14ac:dyDescent="0.2">
      <c r="A116" s="1118">
        <v>8</v>
      </c>
      <c r="B116" s="1149" t="s">
        <v>361</v>
      </c>
      <c r="C116" s="1146" t="s">
        <v>257</v>
      </c>
      <c r="D116" s="1146" t="s">
        <v>167</v>
      </c>
      <c r="E116" s="1176" t="s">
        <v>381</v>
      </c>
      <c r="F116" s="1201">
        <v>330</v>
      </c>
      <c r="G116" s="1201">
        <v>285</v>
      </c>
      <c r="H116" s="1201"/>
      <c r="I116" s="1133">
        <v>45</v>
      </c>
      <c r="J116" s="1133">
        <v>200</v>
      </c>
      <c r="K116" s="1133">
        <v>85</v>
      </c>
      <c r="L116" s="1133">
        <v>191</v>
      </c>
      <c r="M116" s="1133">
        <v>146</v>
      </c>
      <c r="N116" s="1133"/>
      <c r="O116" s="1133"/>
      <c r="P116" s="1188">
        <f t="shared" si="48"/>
        <v>0</v>
      </c>
      <c r="Q116" s="1133"/>
      <c r="R116" s="1133"/>
      <c r="S116" s="1133">
        <f t="shared" si="58"/>
        <v>0</v>
      </c>
      <c r="T116" s="1133"/>
      <c r="U116" s="982"/>
      <c r="V116" s="1001"/>
      <c r="W116" s="1001"/>
      <c r="X116" s="912" t="s">
        <v>122</v>
      </c>
      <c r="Y116" s="152" t="s">
        <v>271</v>
      </c>
      <c r="Z116" s="148"/>
      <c r="AB116" s="953"/>
      <c r="AJ116" s="915" t="e">
        <f>#REF!-#REF!</f>
        <v>#REF!</v>
      </c>
      <c r="AK116" s="915" t="e">
        <f>#REF!-#REF!</f>
        <v>#REF!</v>
      </c>
    </row>
    <row r="117" spans="1:37" ht="35.1" customHeight="1" x14ac:dyDescent="0.2">
      <c r="A117" s="1118">
        <v>9</v>
      </c>
      <c r="B117" s="1149" t="s">
        <v>362</v>
      </c>
      <c r="C117" s="1146" t="s">
        <v>370</v>
      </c>
      <c r="D117" s="1146" t="s">
        <v>167</v>
      </c>
      <c r="E117" s="1176" t="s">
        <v>382</v>
      </c>
      <c r="F117" s="1201">
        <v>300</v>
      </c>
      <c r="G117" s="1201">
        <v>285</v>
      </c>
      <c r="H117" s="1201"/>
      <c r="I117" s="1133">
        <v>15</v>
      </c>
      <c r="J117" s="1133">
        <v>250</v>
      </c>
      <c r="K117" s="1133">
        <v>35</v>
      </c>
      <c r="L117" s="1133">
        <v>217</v>
      </c>
      <c r="M117" s="1133">
        <v>151</v>
      </c>
      <c r="N117" s="1133"/>
      <c r="O117" s="1133"/>
      <c r="P117" s="1188">
        <f t="shared" si="48"/>
        <v>0</v>
      </c>
      <c r="Q117" s="1133"/>
      <c r="R117" s="1133"/>
      <c r="S117" s="1133">
        <f t="shared" si="58"/>
        <v>0</v>
      </c>
      <c r="T117" s="1133"/>
      <c r="U117" s="982"/>
      <c r="V117" s="1001"/>
      <c r="W117" s="1001"/>
      <c r="X117" s="912" t="s">
        <v>122</v>
      </c>
      <c r="Y117" s="152" t="s">
        <v>277</v>
      </c>
      <c r="Z117" s="148"/>
      <c r="AB117" s="953"/>
      <c r="AJ117" s="915" t="e">
        <f>#REF!-#REF!</f>
        <v>#REF!</v>
      </c>
      <c r="AK117" s="915" t="e">
        <f>#REF!-#REF!</f>
        <v>#REF!</v>
      </c>
    </row>
    <row r="118" spans="1:37" ht="35.1" customHeight="1" x14ac:dyDescent="0.2">
      <c r="A118" s="1118">
        <v>10</v>
      </c>
      <c r="B118" s="1149" t="s">
        <v>363</v>
      </c>
      <c r="C118" s="1146" t="s">
        <v>370</v>
      </c>
      <c r="D118" s="1146" t="s">
        <v>167</v>
      </c>
      <c r="E118" s="1176" t="s">
        <v>383</v>
      </c>
      <c r="F118" s="1201">
        <v>300</v>
      </c>
      <c r="G118" s="1201">
        <v>285</v>
      </c>
      <c r="H118" s="1201"/>
      <c r="I118" s="1133">
        <v>15</v>
      </c>
      <c r="J118" s="1133">
        <v>250</v>
      </c>
      <c r="K118" s="1133">
        <v>35</v>
      </c>
      <c r="L118" s="1133">
        <v>202</v>
      </c>
      <c r="M118" s="1133">
        <v>157</v>
      </c>
      <c r="N118" s="1133"/>
      <c r="O118" s="1133"/>
      <c r="P118" s="1188">
        <f t="shared" si="48"/>
        <v>0</v>
      </c>
      <c r="Q118" s="1133"/>
      <c r="R118" s="1133"/>
      <c r="S118" s="1133">
        <f t="shared" si="58"/>
        <v>0</v>
      </c>
      <c r="T118" s="1133"/>
      <c r="U118" s="982"/>
      <c r="V118" s="1001"/>
      <c r="W118" s="1001"/>
      <c r="X118" s="912" t="s">
        <v>122</v>
      </c>
      <c r="Y118" s="152" t="s">
        <v>277</v>
      </c>
      <c r="Z118" s="148"/>
      <c r="AB118" s="953"/>
      <c r="AJ118" s="915" t="e">
        <f>#REF!-#REF!</f>
        <v>#REF!</v>
      </c>
      <c r="AK118" s="915" t="e">
        <f>#REF!-#REF!</f>
        <v>#REF!</v>
      </c>
    </row>
    <row r="119" spans="1:37" ht="35.1" customHeight="1" x14ac:dyDescent="0.2">
      <c r="A119" s="1118">
        <v>11</v>
      </c>
      <c r="B119" s="1149" t="s">
        <v>364</v>
      </c>
      <c r="C119" s="1146" t="s">
        <v>370</v>
      </c>
      <c r="D119" s="1146" t="s">
        <v>167</v>
      </c>
      <c r="E119" s="1176" t="s">
        <v>384</v>
      </c>
      <c r="F119" s="1201">
        <v>300</v>
      </c>
      <c r="G119" s="1201">
        <v>285</v>
      </c>
      <c r="H119" s="1201"/>
      <c r="I119" s="1133">
        <v>15</v>
      </c>
      <c r="J119" s="1133">
        <v>200</v>
      </c>
      <c r="K119" s="1133">
        <v>85</v>
      </c>
      <c r="L119" s="1133">
        <v>222</v>
      </c>
      <c r="M119" s="1133">
        <v>135</v>
      </c>
      <c r="N119" s="1133"/>
      <c r="O119" s="1133"/>
      <c r="P119" s="1188">
        <f t="shared" si="48"/>
        <v>0</v>
      </c>
      <c r="Q119" s="1133"/>
      <c r="R119" s="1133"/>
      <c r="S119" s="1133">
        <f t="shared" si="58"/>
        <v>0</v>
      </c>
      <c r="T119" s="1133"/>
      <c r="U119" s="982"/>
      <c r="V119" s="1001"/>
      <c r="W119" s="1001"/>
      <c r="X119" s="912" t="s">
        <v>122</v>
      </c>
      <c r="Y119" s="152" t="s">
        <v>277</v>
      </c>
      <c r="Z119" s="148"/>
      <c r="AB119" s="953"/>
      <c r="AJ119" s="915" t="e">
        <f>#REF!-#REF!</f>
        <v>#REF!</v>
      </c>
      <c r="AK119" s="915" t="e">
        <f>#REF!-#REF!</f>
        <v>#REF!</v>
      </c>
    </row>
    <row r="120" spans="1:37" ht="35.1" customHeight="1" x14ac:dyDescent="0.2">
      <c r="A120" s="1118">
        <v>12</v>
      </c>
      <c r="B120" s="1149" t="s">
        <v>365</v>
      </c>
      <c r="C120" s="1146" t="s">
        <v>258</v>
      </c>
      <c r="D120" s="1146" t="s">
        <v>167</v>
      </c>
      <c r="E120" s="1176" t="s">
        <v>385</v>
      </c>
      <c r="F120" s="1201">
        <v>400</v>
      </c>
      <c r="G120" s="1201">
        <v>285</v>
      </c>
      <c r="H120" s="1201"/>
      <c r="I120" s="1133">
        <v>115</v>
      </c>
      <c r="J120" s="1133">
        <v>157</v>
      </c>
      <c r="K120" s="1133">
        <v>128</v>
      </c>
      <c r="L120" s="1133">
        <v>227</v>
      </c>
      <c r="M120" s="1133">
        <v>172</v>
      </c>
      <c r="N120" s="1133">
        <v>73.91</v>
      </c>
      <c r="O120" s="1133">
        <v>73.91</v>
      </c>
      <c r="P120" s="1188">
        <f t="shared" si="48"/>
        <v>57.7421875</v>
      </c>
      <c r="Q120" s="1133">
        <v>157</v>
      </c>
      <c r="R120" s="1133">
        <v>157</v>
      </c>
      <c r="S120" s="1133">
        <f t="shared" si="58"/>
        <v>100</v>
      </c>
      <c r="T120" s="1133"/>
      <c r="U120" s="982"/>
      <c r="V120" s="1001"/>
      <c r="W120" s="1001"/>
      <c r="X120" s="912" t="s">
        <v>122</v>
      </c>
      <c r="Y120" s="152" t="s">
        <v>272</v>
      </c>
      <c r="Z120" s="148"/>
      <c r="AB120" s="953"/>
      <c r="AJ120" s="915" t="e">
        <f>#REF!-#REF!</f>
        <v>#REF!</v>
      </c>
      <c r="AK120" s="915" t="e">
        <f>#REF!-#REF!</f>
        <v>#REF!</v>
      </c>
    </row>
    <row r="121" spans="1:37" ht="35.1" customHeight="1" x14ac:dyDescent="0.2">
      <c r="A121" s="1118">
        <v>13</v>
      </c>
      <c r="B121" s="1149" t="s">
        <v>366</v>
      </c>
      <c r="C121" s="1146" t="s">
        <v>371</v>
      </c>
      <c r="D121" s="1146" t="s">
        <v>167</v>
      </c>
      <c r="E121" s="1176" t="s">
        <v>386</v>
      </c>
      <c r="F121" s="1201">
        <v>300</v>
      </c>
      <c r="G121" s="1201">
        <v>285</v>
      </c>
      <c r="H121" s="1201"/>
      <c r="I121" s="1133">
        <v>15</v>
      </c>
      <c r="J121" s="1133">
        <v>0.59999999999999432</v>
      </c>
      <c r="K121" s="1133">
        <v>75</v>
      </c>
      <c r="L121" s="1133">
        <v>212</v>
      </c>
      <c r="M121" s="1133">
        <v>167</v>
      </c>
      <c r="N121" s="1133">
        <v>70</v>
      </c>
      <c r="O121" s="1133">
        <v>70</v>
      </c>
      <c r="P121" s="1188">
        <f t="shared" si="48"/>
        <v>93.333333333333329</v>
      </c>
      <c r="Q121" s="1133"/>
      <c r="R121" s="1133"/>
      <c r="S121" s="1133">
        <f t="shared" si="58"/>
        <v>0</v>
      </c>
      <c r="T121" s="1133"/>
      <c r="U121" s="982"/>
      <c r="V121" s="1001"/>
      <c r="W121" s="1001"/>
      <c r="X121" s="912" t="s">
        <v>122</v>
      </c>
      <c r="Y121" s="152" t="s">
        <v>270</v>
      </c>
      <c r="Z121" s="148"/>
      <c r="AB121" s="953"/>
      <c r="AJ121" s="915" t="e">
        <f>#REF!-#REF!</f>
        <v>#REF!</v>
      </c>
      <c r="AK121" s="915" t="e">
        <f>#REF!-#REF!</f>
        <v>#REF!</v>
      </c>
    </row>
    <row r="122" spans="1:37" ht="20.100000000000001" customHeight="1" x14ac:dyDescent="0.2">
      <c r="A122" s="1124" t="s">
        <v>30</v>
      </c>
      <c r="B122" s="1135" t="s">
        <v>463</v>
      </c>
      <c r="C122" s="1146"/>
      <c r="D122" s="1146"/>
      <c r="E122" s="1176"/>
      <c r="F122" s="1128">
        <f>SUM(F123:F128)</f>
        <v>1800</v>
      </c>
      <c r="G122" s="1128">
        <f t="shared" ref="G122:R122" si="69">SUM(G123:G128)</f>
        <v>1710</v>
      </c>
      <c r="H122" s="1128">
        <f t="shared" si="69"/>
        <v>0</v>
      </c>
      <c r="I122" s="1128">
        <f t="shared" si="69"/>
        <v>90</v>
      </c>
      <c r="J122" s="1128">
        <f t="shared" ref="J122:K122" si="70">SUM(J123:J128)</f>
        <v>0</v>
      </c>
      <c r="K122" s="1128">
        <f t="shared" si="70"/>
        <v>1500</v>
      </c>
      <c r="L122" s="1128">
        <f t="shared" si="69"/>
        <v>874</v>
      </c>
      <c r="M122" s="1128">
        <f t="shared" si="69"/>
        <v>874</v>
      </c>
      <c r="N122" s="1128">
        <f t="shared" ref="N122:O122" si="71">SUM(N123:N128)</f>
        <v>498.053</v>
      </c>
      <c r="O122" s="1128">
        <f t="shared" si="71"/>
        <v>498.053</v>
      </c>
      <c r="P122" s="1191">
        <f t="shared" si="48"/>
        <v>33.203533333333333</v>
      </c>
      <c r="Q122" s="1128">
        <f t="shared" si="69"/>
        <v>0</v>
      </c>
      <c r="R122" s="1128">
        <f t="shared" si="69"/>
        <v>0</v>
      </c>
      <c r="S122" s="1133"/>
      <c r="T122" s="1133"/>
      <c r="U122" s="982"/>
      <c r="V122" s="1001"/>
      <c r="W122" s="1001"/>
      <c r="Y122" s="152"/>
      <c r="Z122" s="148"/>
      <c r="AB122" s="953"/>
      <c r="AJ122" s="915"/>
      <c r="AK122" s="915"/>
    </row>
    <row r="123" spans="1:37" ht="35.1" customHeight="1" x14ac:dyDescent="0.2">
      <c r="A123" s="1129" t="s">
        <v>458</v>
      </c>
      <c r="B123" s="1149" t="s">
        <v>513</v>
      </c>
      <c r="C123" s="1131" t="s">
        <v>143</v>
      </c>
      <c r="D123" s="1131" t="s">
        <v>478</v>
      </c>
      <c r="E123" s="1131" t="s">
        <v>514</v>
      </c>
      <c r="F123" s="1200">
        <v>300</v>
      </c>
      <c r="G123" s="1200">
        <v>285</v>
      </c>
      <c r="H123" s="1200"/>
      <c r="I123" s="1133">
        <v>15</v>
      </c>
      <c r="J123" s="1133"/>
      <c r="K123" s="1133">
        <v>250</v>
      </c>
      <c r="L123" s="1133">
        <v>130</v>
      </c>
      <c r="M123" s="1133">
        <v>130</v>
      </c>
      <c r="N123" s="1133">
        <v>249.75</v>
      </c>
      <c r="O123" s="1133">
        <v>249.75</v>
      </c>
      <c r="P123" s="1188">
        <f t="shared" si="48"/>
        <v>99.9</v>
      </c>
      <c r="Q123" s="1133"/>
      <c r="R123" s="1133"/>
      <c r="S123" s="1133"/>
      <c r="T123" s="1133"/>
      <c r="U123" s="982"/>
      <c r="V123" s="1001"/>
      <c r="W123" s="1001"/>
      <c r="X123" s="912" t="s">
        <v>123</v>
      </c>
      <c r="Y123" s="1076" t="s">
        <v>273</v>
      </c>
      <c r="Z123" s="148"/>
      <c r="AB123" s="953"/>
      <c r="AJ123" s="915"/>
      <c r="AK123" s="915"/>
    </row>
    <row r="124" spans="1:37" ht="35.1" customHeight="1" x14ac:dyDescent="0.2">
      <c r="A124" s="1129" t="s">
        <v>468</v>
      </c>
      <c r="B124" s="1149" t="s">
        <v>515</v>
      </c>
      <c r="C124" s="1131" t="s">
        <v>145</v>
      </c>
      <c r="D124" s="1131" t="s">
        <v>478</v>
      </c>
      <c r="E124" s="1131" t="s">
        <v>516</v>
      </c>
      <c r="F124" s="1200">
        <v>300</v>
      </c>
      <c r="G124" s="1200">
        <v>285</v>
      </c>
      <c r="H124" s="1200"/>
      <c r="I124" s="1133">
        <v>15</v>
      </c>
      <c r="J124" s="1133"/>
      <c r="K124" s="1133">
        <v>250</v>
      </c>
      <c r="L124" s="1133">
        <v>127</v>
      </c>
      <c r="M124" s="1133">
        <v>127</v>
      </c>
      <c r="N124" s="1133">
        <v>248.303</v>
      </c>
      <c r="O124" s="1133">
        <v>248.303</v>
      </c>
      <c r="P124" s="1188">
        <f t="shared" si="48"/>
        <v>99.321200000000005</v>
      </c>
      <c r="Q124" s="1133"/>
      <c r="R124" s="1133"/>
      <c r="S124" s="1133"/>
      <c r="T124" s="1133"/>
      <c r="U124" s="982"/>
      <c r="V124" s="1001"/>
      <c r="W124" s="1001"/>
      <c r="X124" s="912" t="s">
        <v>123</v>
      </c>
      <c r="Y124" s="1076" t="s">
        <v>276</v>
      </c>
      <c r="Z124" s="148"/>
      <c r="AB124" s="953"/>
      <c r="AJ124" s="915"/>
      <c r="AK124" s="915"/>
    </row>
    <row r="125" spans="1:37" ht="35.1" customHeight="1" x14ac:dyDescent="0.2">
      <c r="A125" s="1129" t="s">
        <v>472</v>
      </c>
      <c r="B125" s="1149" t="s">
        <v>517</v>
      </c>
      <c r="C125" s="1131" t="s">
        <v>141</v>
      </c>
      <c r="D125" s="1131" t="s">
        <v>478</v>
      </c>
      <c r="E125" s="1131" t="s">
        <v>518</v>
      </c>
      <c r="F125" s="1200">
        <v>300</v>
      </c>
      <c r="G125" s="1200">
        <v>285</v>
      </c>
      <c r="H125" s="1200"/>
      <c r="I125" s="1133">
        <v>15</v>
      </c>
      <c r="J125" s="1133"/>
      <c r="K125" s="1133">
        <v>250</v>
      </c>
      <c r="L125" s="1133">
        <v>140</v>
      </c>
      <c r="M125" s="1133">
        <v>140</v>
      </c>
      <c r="N125" s="1133"/>
      <c r="O125" s="1133"/>
      <c r="P125" s="1188">
        <f t="shared" si="48"/>
        <v>0</v>
      </c>
      <c r="Q125" s="1133"/>
      <c r="R125" s="1133"/>
      <c r="S125" s="1133"/>
      <c r="T125" s="1133"/>
      <c r="U125" s="982"/>
      <c r="V125" s="1001"/>
      <c r="W125" s="1001"/>
      <c r="X125" s="912" t="s">
        <v>123</v>
      </c>
      <c r="Y125" s="1076" t="s">
        <v>271</v>
      </c>
      <c r="Z125" s="148"/>
      <c r="AB125" s="953"/>
      <c r="AJ125" s="915"/>
      <c r="AK125" s="915"/>
    </row>
    <row r="126" spans="1:37" ht="35.1" customHeight="1" x14ac:dyDescent="0.2">
      <c r="A126" s="1129" t="s">
        <v>504</v>
      </c>
      <c r="B126" s="1149" t="s">
        <v>519</v>
      </c>
      <c r="C126" s="1131" t="s">
        <v>141</v>
      </c>
      <c r="D126" s="1131" t="s">
        <v>478</v>
      </c>
      <c r="E126" s="1131" t="s">
        <v>520</v>
      </c>
      <c r="F126" s="1200">
        <v>300</v>
      </c>
      <c r="G126" s="1200">
        <v>285</v>
      </c>
      <c r="H126" s="1200"/>
      <c r="I126" s="1133">
        <v>15</v>
      </c>
      <c r="J126" s="1133"/>
      <c r="K126" s="1133">
        <v>250</v>
      </c>
      <c r="L126" s="1133">
        <v>163</v>
      </c>
      <c r="M126" s="1133">
        <v>163</v>
      </c>
      <c r="N126" s="1133"/>
      <c r="O126" s="1133"/>
      <c r="P126" s="1188">
        <f t="shared" si="48"/>
        <v>0</v>
      </c>
      <c r="Q126" s="1133"/>
      <c r="R126" s="1133"/>
      <c r="S126" s="1133"/>
      <c r="T126" s="1133"/>
      <c r="U126" s="982"/>
      <c r="V126" s="1001"/>
      <c r="W126" s="1001"/>
      <c r="X126" s="912" t="s">
        <v>123</v>
      </c>
      <c r="Y126" s="1076" t="s">
        <v>271</v>
      </c>
      <c r="Z126" s="148"/>
      <c r="AB126" s="953"/>
      <c r="AJ126" s="915"/>
      <c r="AK126" s="915"/>
    </row>
    <row r="127" spans="1:37" ht="35.1" customHeight="1" x14ac:dyDescent="0.2">
      <c r="A127" s="1129" t="s">
        <v>505</v>
      </c>
      <c r="B127" s="1149" t="s">
        <v>521</v>
      </c>
      <c r="C127" s="1131" t="s">
        <v>225</v>
      </c>
      <c r="D127" s="1131" t="s">
        <v>478</v>
      </c>
      <c r="E127" s="1131" t="s">
        <v>522</v>
      </c>
      <c r="F127" s="1200">
        <v>300</v>
      </c>
      <c r="G127" s="1200">
        <v>285</v>
      </c>
      <c r="H127" s="1200"/>
      <c r="I127" s="1133">
        <v>15</v>
      </c>
      <c r="J127" s="1133"/>
      <c r="K127" s="1133">
        <v>250</v>
      </c>
      <c r="L127" s="1133">
        <v>160</v>
      </c>
      <c r="M127" s="1133">
        <v>160</v>
      </c>
      <c r="N127" s="1133"/>
      <c r="O127" s="1133"/>
      <c r="P127" s="1188">
        <f t="shared" si="48"/>
        <v>0</v>
      </c>
      <c r="Q127" s="1133"/>
      <c r="R127" s="1133"/>
      <c r="S127" s="1133"/>
      <c r="T127" s="1133"/>
      <c r="U127" s="982"/>
      <c r="V127" s="1001"/>
      <c r="W127" s="1001"/>
      <c r="X127" s="912" t="s">
        <v>123</v>
      </c>
      <c r="Y127" s="152" t="s">
        <v>277</v>
      </c>
      <c r="Z127" s="148"/>
      <c r="AB127" s="953"/>
      <c r="AJ127" s="915"/>
      <c r="AK127" s="915"/>
    </row>
    <row r="128" spans="1:37" ht="35.1" customHeight="1" x14ac:dyDescent="0.2">
      <c r="A128" s="1129" t="s">
        <v>506</v>
      </c>
      <c r="B128" s="1149" t="s">
        <v>523</v>
      </c>
      <c r="C128" s="1131" t="s">
        <v>225</v>
      </c>
      <c r="D128" s="1131" t="s">
        <v>478</v>
      </c>
      <c r="E128" s="1131" t="s">
        <v>524</v>
      </c>
      <c r="F128" s="1200">
        <v>300</v>
      </c>
      <c r="G128" s="1200">
        <v>285</v>
      </c>
      <c r="H128" s="1200"/>
      <c r="I128" s="1133">
        <v>15</v>
      </c>
      <c r="J128" s="1133"/>
      <c r="K128" s="1133">
        <v>250</v>
      </c>
      <c r="L128" s="1133">
        <v>154</v>
      </c>
      <c r="M128" s="1133">
        <v>154</v>
      </c>
      <c r="N128" s="1133"/>
      <c r="O128" s="1133"/>
      <c r="P128" s="1188">
        <f t="shared" si="48"/>
        <v>0</v>
      </c>
      <c r="Q128" s="1133"/>
      <c r="R128" s="1133"/>
      <c r="S128" s="1133"/>
      <c r="T128" s="1133"/>
      <c r="U128" s="982"/>
      <c r="V128" s="1001"/>
      <c r="W128" s="1001"/>
      <c r="X128" s="912" t="s">
        <v>123</v>
      </c>
      <c r="Y128" s="152" t="s">
        <v>277</v>
      </c>
      <c r="Z128" s="148"/>
      <c r="AB128" s="953"/>
      <c r="AJ128" s="915"/>
      <c r="AK128" s="915"/>
    </row>
    <row r="129" spans="1:37" s="913" customFormat="1" ht="20.100000000000001" customHeight="1" x14ac:dyDescent="0.2">
      <c r="A129" s="1179"/>
      <c r="B129" s="1180" t="s">
        <v>531</v>
      </c>
      <c r="C129" s="1181"/>
      <c r="D129" s="1181"/>
      <c r="E129" s="1181"/>
      <c r="F129" s="1202"/>
      <c r="G129" s="1202"/>
      <c r="H129" s="1202"/>
      <c r="I129" s="1182"/>
      <c r="J129" s="1182"/>
      <c r="K129" s="1203">
        <v>1506</v>
      </c>
      <c r="L129" s="1182"/>
      <c r="M129" s="1182"/>
      <c r="N129" s="1203"/>
      <c r="O129" s="1203"/>
      <c r="P129" s="1188">
        <f t="shared" si="48"/>
        <v>0</v>
      </c>
      <c r="Q129" s="1182"/>
      <c r="R129" s="1182"/>
      <c r="S129" s="1133"/>
      <c r="T129" s="1182"/>
      <c r="U129" s="1183"/>
      <c r="V129" s="1077"/>
      <c r="W129" s="1077"/>
      <c r="X129" s="1078" t="s">
        <v>123</v>
      </c>
      <c r="Y129" s="445" t="s">
        <v>536</v>
      </c>
      <c r="Z129" s="1079"/>
      <c r="AB129" s="1080"/>
      <c r="AJ129" s="1050"/>
      <c r="AK129" s="1050"/>
    </row>
    <row r="130" spans="1:37" ht="54.95" customHeight="1" x14ac:dyDescent="0.2">
      <c r="A130" s="1118"/>
      <c r="B130" s="1152" t="s">
        <v>234</v>
      </c>
      <c r="C130" s="1136"/>
      <c r="D130" s="1146"/>
      <c r="E130" s="1146"/>
      <c r="F130" s="1174">
        <f>F131+F142</f>
        <v>53564</v>
      </c>
      <c r="G130" s="1174">
        <f t="shared" ref="G130:R130" si="72">G131+G142</f>
        <v>53564</v>
      </c>
      <c r="H130" s="1174">
        <f t="shared" si="72"/>
        <v>0</v>
      </c>
      <c r="I130" s="1174">
        <f t="shared" si="72"/>
        <v>0</v>
      </c>
      <c r="J130" s="1174">
        <f t="shared" ref="J130:K130" si="73">J131+J142</f>
        <v>109.71800000000007</v>
      </c>
      <c r="K130" s="1174">
        <f t="shared" si="73"/>
        <v>22552</v>
      </c>
      <c r="L130" s="1174">
        <f t="shared" si="72"/>
        <v>28732.109</v>
      </c>
      <c r="M130" s="1174">
        <f t="shared" si="72"/>
        <v>19075.109</v>
      </c>
      <c r="N130" s="1174">
        <f t="shared" ref="N130:O130" si="74">N131+N142</f>
        <v>13210.851000000001</v>
      </c>
      <c r="O130" s="1174">
        <f t="shared" si="74"/>
        <v>13165.356000000002</v>
      </c>
      <c r="P130" s="1174">
        <f>N130/K130*100</f>
        <v>58.579509577864499</v>
      </c>
      <c r="Q130" s="1174">
        <f t="shared" si="72"/>
        <v>34.613</v>
      </c>
      <c r="R130" s="1174">
        <f t="shared" si="72"/>
        <v>34.613</v>
      </c>
      <c r="S130" s="1174">
        <f>Q130/J130*100</f>
        <v>31.547239286169976</v>
      </c>
      <c r="T130" s="1133"/>
      <c r="U130" s="982"/>
      <c r="V130" s="1001"/>
      <c r="W130" s="1001"/>
      <c r="Z130" s="148"/>
      <c r="AB130" s="953"/>
      <c r="AC130" s="944" t="e">
        <f>#REF!*60%</f>
        <v>#REF!</v>
      </c>
      <c r="AJ130" s="915" t="e">
        <f>#REF!-#REF!</f>
        <v>#REF!</v>
      </c>
      <c r="AK130" s="915" t="e">
        <f>#REF!-#REF!</f>
        <v>#REF!</v>
      </c>
    </row>
    <row r="131" spans="1:37" ht="20.100000000000001" customHeight="1" x14ac:dyDescent="0.2">
      <c r="A131" s="1124" t="s">
        <v>28</v>
      </c>
      <c r="B131" s="1125" t="s">
        <v>462</v>
      </c>
      <c r="C131" s="1136"/>
      <c r="D131" s="1146"/>
      <c r="E131" s="1146"/>
      <c r="F131" s="1128">
        <f>SUM(F132:F141)</f>
        <v>47004</v>
      </c>
      <c r="G131" s="1128">
        <f t="shared" ref="G131:R131" si="75">SUM(G132:G141)</f>
        <v>47004</v>
      </c>
      <c r="H131" s="1128">
        <f t="shared" si="75"/>
        <v>0</v>
      </c>
      <c r="I131" s="1128">
        <f t="shared" si="75"/>
        <v>0</v>
      </c>
      <c r="J131" s="1128">
        <f t="shared" ref="J131:K131" si="76">SUM(J132:J141)</f>
        <v>109.71800000000007</v>
      </c>
      <c r="K131" s="1128">
        <f t="shared" si="76"/>
        <v>19552</v>
      </c>
      <c r="L131" s="1128">
        <f t="shared" si="75"/>
        <v>24732.109</v>
      </c>
      <c r="M131" s="1128">
        <f t="shared" si="75"/>
        <v>15075.109</v>
      </c>
      <c r="N131" s="1128">
        <f t="shared" ref="N131:O131" si="77">SUM(N132:N141)</f>
        <v>10210.851000000001</v>
      </c>
      <c r="O131" s="1128">
        <f t="shared" si="77"/>
        <v>10165.356000000002</v>
      </c>
      <c r="P131" s="1191">
        <f t="shared" si="48"/>
        <v>52.224074263502459</v>
      </c>
      <c r="Q131" s="1128">
        <f t="shared" si="75"/>
        <v>34.613</v>
      </c>
      <c r="R131" s="1128">
        <f t="shared" si="75"/>
        <v>34.613</v>
      </c>
      <c r="S131" s="1133">
        <f t="shared" si="58"/>
        <v>31.547239286169976</v>
      </c>
      <c r="T131" s="1184"/>
      <c r="U131" s="982"/>
      <c r="V131" s="1001"/>
      <c r="W131" s="1001"/>
      <c r="Z131" s="148"/>
      <c r="AB131" s="953"/>
      <c r="AJ131" s="915"/>
      <c r="AK131" s="915"/>
    </row>
    <row r="132" spans="1:37" ht="35.1" customHeight="1" x14ac:dyDescent="0.2">
      <c r="A132" s="1118">
        <v>1</v>
      </c>
      <c r="B132" s="982" t="s">
        <v>235</v>
      </c>
      <c r="C132" s="1136" t="s">
        <v>225</v>
      </c>
      <c r="D132" s="1146" t="s">
        <v>179</v>
      </c>
      <c r="E132" s="1167" t="s">
        <v>410</v>
      </c>
      <c r="F132" s="1169">
        <v>2700</v>
      </c>
      <c r="G132" s="1169">
        <v>2700</v>
      </c>
      <c r="H132" s="1169"/>
      <c r="I132" s="1133"/>
      <c r="J132" s="1133">
        <v>0</v>
      </c>
      <c r="K132" s="1187">
        <v>1100</v>
      </c>
      <c r="L132" s="1133">
        <v>2685</v>
      </c>
      <c r="M132" s="1133">
        <v>1185</v>
      </c>
      <c r="N132" s="1187">
        <v>950.66800000000001</v>
      </c>
      <c r="O132" s="1187">
        <v>950.66800000000001</v>
      </c>
      <c r="P132" s="1188">
        <f t="shared" si="48"/>
        <v>86.424363636363637</v>
      </c>
      <c r="Q132" s="1133"/>
      <c r="R132" s="1133"/>
      <c r="S132" s="1133"/>
      <c r="T132" s="1133"/>
      <c r="U132" s="982"/>
      <c r="V132" s="1001"/>
      <c r="W132" s="1001"/>
      <c r="X132" s="912" t="s">
        <v>122</v>
      </c>
      <c r="Y132" s="955" t="s">
        <v>268</v>
      </c>
      <c r="Z132" s="148"/>
      <c r="AB132" s="953"/>
      <c r="AJ132" s="915" t="e">
        <f>#REF!-#REF!</f>
        <v>#REF!</v>
      </c>
      <c r="AK132" s="915" t="e">
        <f>#REF!-#REF!</f>
        <v>#REF!</v>
      </c>
    </row>
    <row r="133" spans="1:37" ht="35.1" customHeight="1" x14ac:dyDescent="0.2">
      <c r="A133" s="1118">
        <v>2</v>
      </c>
      <c r="B133" s="982" t="s">
        <v>236</v>
      </c>
      <c r="C133" s="1136" t="s">
        <v>146</v>
      </c>
      <c r="D133" s="1146" t="s">
        <v>179</v>
      </c>
      <c r="E133" s="1167" t="s">
        <v>240</v>
      </c>
      <c r="F133" s="1169">
        <v>1600</v>
      </c>
      <c r="G133" s="1169">
        <v>1600</v>
      </c>
      <c r="H133" s="1169"/>
      <c r="I133" s="1133"/>
      <c r="J133" s="1133">
        <v>0</v>
      </c>
      <c r="K133" s="1187">
        <v>600</v>
      </c>
      <c r="L133" s="1133">
        <v>1570</v>
      </c>
      <c r="M133" s="1133">
        <v>253</v>
      </c>
      <c r="N133" s="1187">
        <v>533.91</v>
      </c>
      <c r="O133" s="1187">
        <v>533.91</v>
      </c>
      <c r="P133" s="1188">
        <f t="shared" si="48"/>
        <v>88.984999999999985</v>
      </c>
      <c r="Q133" s="1133"/>
      <c r="R133" s="1133"/>
      <c r="S133" s="1133"/>
      <c r="T133" s="1133"/>
      <c r="U133" s="982"/>
      <c r="V133" s="1001"/>
      <c r="W133" s="1001"/>
      <c r="X133" s="912" t="s">
        <v>122</v>
      </c>
      <c r="Y133" s="955" t="s">
        <v>268</v>
      </c>
      <c r="Z133" s="148"/>
      <c r="AB133" s="953"/>
      <c r="AJ133" s="915" t="e">
        <f>#REF!-#REF!</f>
        <v>#REF!</v>
      </c>
      <c r="AK133" s="915" t="e">
        <f>#REF!-#REF!</f>
        <v>#REF!</v>
      </c>
    </row>
    <row r="134" spans="1:37" ht="35.1" customHeight="1" x14ac:dyDescent="0.2">
      <c r="A134" s="1118">
        <v>3</v>
      </c>
      <c r="B134" s="982" t="s">
        <v>237</v>
      </c>
      <c r="C134" s="1136" t="s">
        <v>146</v>
      </c>
      <c r="D134" s="1146" t="s">
        <v>179</v>
      </c>
      <c r="E134" s="1167" t="s">
        <v>241</v>
      </c>
      <c r="F134" s="1169">
        <v>1600</v>
      </c>
      <c r="G134" s="1169">
        <v>1600</v>
      </c>
      <c r="H134" s="1169"/>
      <c r="I134" s="1133"/>
      <c r="J134" s="1133">
        <v>0</v>
      </c>
      <c r="K134" s="1187">
        <v>600</v>
      </c>
      <c r="L134" s="1133">
        <v>1343.1089999999999</v>
      </c>
      <c r="M134" s="1133">
        <v>413.10899999999992</v>
      </c>
      <c r="N134" s="1187">
        <v>274.85000000000002</v>
      </c>
      <c r="O134" s="1187">
        <v>274.85000000000002</v>
      </c>
      <c r="P134" s="1188">
        <f t="shared" si="48"/>
        <v>45.808333333333337</v>
      </c>
      <c r="Q134" s="1133"/>
      <c r="R134" s="1133"/>
      <c r="S134" s="1133"/>
      <c r="T134" s="1133"/>
      <c r="U134" s="982"/>
      <c r="V134" s="1001"/>
      <c r="W134" s="1001"/>
      <c r="X134" s="912" t="s">
        <v>122</v>
      </c>
      <c r="Y134" s="955" t="s">
        <v>268</v>
      </c>
      <c r="Z134" s="148"/>
      <c r="AB134" s="953"/>
      <c r="AJ134" s="915" t="e">
        <f>#REF!-#REF!</f>
        <v>#REF!</v>
      </c>
      <c r="AK134" s="915" t="e">
        <f>#REF!-#REF!</f>
        <v>#REF!</v>
      </c>
    </row>
    <row r="135" spans="1:37" ht="35.1" customHeight="1" x14ac:dyDescent="0.2">
      <c r="A135" s="1118">
        <v>4</v>
      </c>
      <c r="B135" s="982" t="s">
        <v>238</v>
      </c>
      <c r="C135" s="1136" t="s">
        <v>147</v>
      </c>
      <c r="D135" s="1146" t="s">
        <v>179</v>
      </c>
      <c r="E135" s="1167" t="s">
        <v>242</v>
      </c>
      <c r="F135" s="1169">
        <v>13500</v>
      </c>
      <c r="G135" s="1169">
        <v>13500</v>
      </c>
      <c r="H135" s="1169"/>
      <c r="I135" s="1133"/>
      <c r="J135" s="1133">
        <v>0</v>
      </c>
      <c r="K135" s="1187">
        <v>6000</v>
      </c>
      <c r="L135" s="1133">
        <v>7356</v>
      </c>
      <c r="M135" s="1133">
        <v>4542</v>
      </c>
      <c r="N135" s="1187">
        <v>3286.1170000000002</v>
      </c>
      <c r="O135" s="1187">
        <v>3286.1170000000002</v>
      </c>
      <c r="P135" s="1188">
        <f t="shared" si="48"/>
        <v>54.768616666666667</v>
      </c>
      <c r="Q135" s="1133"/>
      <c r="R135" s="1133"/>
      <c r="S135" s="1133"/>
      <c r="T135" s="1133"/>
      <c r="U135" s="982"/>
      <c r="V135" s="1001"/>
      <c r="W135" s="1001"/>
      <c r="X135" s="912" t="s">
        <v>122</v>
      </c>
      <c r="Y135" s="955" t="s">
        <v>268</v>
      </c>
      <c r="Z135" s="148"/>
      <c r="AB135" s="953"/>
      <c r="AJ135" s="915" t="e">
        <f>#REF!-#REF!</f>
        <v>#REF!</v>
      </c>
      <c r="AK135" s="915" t="e">
        <f>#REF!-#REF!</f>
        <v>#REF!</v>
      </c>
    </row>
    <row r="136" spans="1:37" ht="35.1" customHeight="1" x14ac:dyDescent="0.2">
      <c r="A136" s="1118">
        <v>5</v>
      </c>
      <c r="B136" s="982" t="s">
        <v>239</v>
      </c>
      <c r="C136" s="1136" t="s">
        <v>166</v>
      </c>
      <c r="D136" s="1146" t="s">
        <v>179</v>
      </c>
      <c r="E136" s="1167" t="s">
        <v>243</v>
      </c>
      <c r="F136" s="1169">
        <v>3000</v>
      </c>
      <c r="G136" s="1169">
        <v>3000</v>
      </c>
      <c r="H136" s="1169"/>
      <c r="I136" s="1133"/>
      <c r="J136" s="1133">
        <v>0</v>
      </c>
      <c r="K136" s="1187">
        <v>1100</v>
      </c>
      <c r="L136" s="1133">
        <v>2368</v>
      </c>
      <c r="M136" s="1133">
        <v>2137</v>
      </c>
      <c r="N136" s="1187">
        <v>944.81600000000003</v>
      </c>
      <c r="O136" s="1187">
        <v>899.32100000000003</v>
      </c>
      <c r="P136" s="1188">
        <f t="shared" si="48"/>
        <v>85.89236363636364</v>
      </c>
      <c r="Q136" s="1133"/>
      <c r="R136" s="1133"/>
      <c r="S136" s="1133"/>
      <c r="T136" s="1133"/>
      <c r="U136" s="982"/>
      <c r="V136" s="1001"/>
      <c r="W136" s="1001"/>
      <c r="X136" s="912" t="s">
        <v>122</v>
      </c>
      <c r="Y136" s="955" t="s">
        <v>268</v>
      </c>
      <c r="Z136" s="148"/>
      <c r="AB136" s="953"/>
      <c r="AJ136" s="915" t="e">
        <f>#REF!-#REF!</f>
        <v>#REF!</v>
      </c>
      <c r="AK136" s="915" t="e">
        <f>#REF!-#REF!</f>
        <v>#REF!</v>
      </c>
    </row>
    <row r="137" spans="1:37" ht="35.1" customHeight="1" x14ac:dyDescent="0.2">
      <c r="A137" s="1118">
        <v>6</v>
      </c>
      <c r="B137" s="982" t="s">
        <v>387</v>
      </c>
      <c r="C137" s="1167" t="s">
        <v>260</v>
      </c>
      <c r="D137" s="1146" t="s">
        <v>179</v>
      </c>
      <c r="E137" s="1167" t="s">
        <v>397</v>
      </c>
      <c r="F137" s="1169">
        <v>19542</v>
      </c>
      <c r="G137" s="1169">
        <v>19542</v>
      </c>
      <c r="H137" s="1169"/>
      <c r="I137" s="1133"/>
      <c r="J137" s="1133">
        <v>0</v>
      </c>
      <c r="K137" s="1187">
        <v>8000</v>
      </c>
      <c r="L137" s="1133">
        <v>5999</v>
      </c>
      <c r="M137" s="1133">
        <v>5109</v>
      </c>
      <c r="N137" s="1187">
        <v>2109.913</v>
      </c>
      <c r="O137" s="1187">
        <v>2109.913</v>
      </c>
      <c r="P137" s="1188">
        <f t="shared" ref="P137:P143" si="78">N137/K137*100</f>
        <v>26.373912500000003</v>
      </c>
      <c r="Q137" s="1133"/>
      <c r="R137" s="1133"/>
      <c r="S137" s="1133"/>
      <c r="T137" s="1133"/>
      <c r="U137" s="982"/>
      <c r="V137" s="1001"/>
      <c r="W137" s="1001"/>
      <c r="X137" s="912" t="s">
        <v>122</v>
      </c>
      <c r="Y137" s="955" t="s">
        <v>268</v>
      </c>
      <c r="Z137" s="148"/>
      <c r="AB137" s="953"/>
      <c r="AJ137" s="915" t="e">
        <f>#REF!-#REF!</f>
        <v>#REF!</v>
      </c>
      <c r="AK137" s="915" t="e">
        <f>#REF!-#REF!</f>
        <v>#REF!</v>
      </c>
    </row>
    <row r="138" spans="1:37" ht="35.1" customHeight="1" x14ac:dyDescent="0.2">
      <c r="A138" s="1118">
        <v>7</v>
      </c>
      <c r="B138" s="982" t="s">
        <v>388</v>
      </c>
      <c r="C138" s="1167" t="s">
        <v>260</v>
      </c>
      <c r="D138" s="1146" t="s">
        <v>179</v>
      </c>
      <c r="E138" s="1167" t="s">
        <v>398</v>
      </c>
      <c r="F138" s="1169">
        <v>960</v>
      </c>
      <c r="G138" s="1169">
        <v>960</v>
      </c>
      <c r="H138" s="1169"/>
      <c r="I138" s="1133"/>
      <c r="J138" s="1133">
        <v>0</v>
      </c>
      <c r="K138" s="1187">
        <v>400</v>
      </c>
      <c r="L138" s="1133">
        <v>574</v>
      </c>
      <c r="M138" s="1133">
        <v>286</v>
      </c>
      <c r="N138" s="1187">
        <v>400</v>
      </c>
      <c r="O138" s="1187">
        <v>400</v>
      </c>
      <c r="P138" s="1188">
        <f t="shared" si="78"/>
        <v>100</v>
      </c>
      <c r="Q138" s="1133"/>
      <c r="R138" s="1133"/>
      <c r="S138" s="1133"/>
      <c r="T138" s="1133"/>
      <c r="U138" s="982"/>
      <c r="V138" s="1001"/>
      <c r="W138" s="1001"/>
      <c r="X138" s="912" t="s">
        <v>122</v>
      </c>
      <c r="Y138" s="152" t="s">
        <v>279</v>
      </c>
      <c r="Z138" s="148"/>
      <c r="AB138" s="953"/>
      <c r="AJ138" s="915" t="e">
        <f>#REF!-#REF!</f>
        <v>#REF!</v>
      </c>
      <c r="AK138" s="915" t="e">
        <f>#REF!-#REF!</f>
        <v>#REF!</v>
      </c>
    </row>
    <row r="139" spans="1:37" ht="35.1" customHeight="1" x14ac:dyDescent="0.2">
      <c r="A139" s="1118">
        <v>8</v>
      </c>
      <c r="B139" s="982" t="s">
        <v>389</v>
      </c>
      <c r="C139" s="1167" t="s">
        <v>260</v>
      </c>
      <c r="D139" s="1146" t="s">
        <v>179</v>
      </c>
      <c r="E139" s="1167" t="s">
        <v>399</v>
      </c>
      <c r="F139" s="1169">
        <v>702</v>
      </c>
      <c r="G139" s="1169">
        <v>702</v>
      </c>
      <c r="H139" s="1169"/>
      <c r="I139" s="1133"/>
      <c r="J139" s="1133">
        <v>0.10500000000001819</v>
      </c>
      <c r="K139" s="1187">
        <v>300</v>
      </c>
      <c r="L139" s="1133">
        <v>501</v>
      </c>
      <c r="M139" s="1133">
        <v>290</v>
      </c>
      <c r="N139" s="1187">
        <v>299.19</v>
      </c>
      <c r="O139" s="1187">
        <v>299.19</v>
      </c>
      <c r="P139" s="1188">
        <f t="shared" si="78"/>
        <v>99.72999999999999</v>
      </c>
      <c r="Q139" s="1133"/>
      <c r="R139" s="1133"/>
      <c r="S139" s="1133">
        <f t="shared" si="58"/>
        <v>0</v>
      </c>
      <c r="T139" s="1133"/>
      <c r="U139" s="982"/>
      <c r="V139" s="1001"/>
      <c r="W139" s="1001"/>
      <c r="X139" s="912" t="s">
        <v>122</v>
      </c>
      <c r="Y139" s="152" t="s">
        <v>279</v>
      </c>
      <c r="Z139" s="148"/>
      <c r="AB139" s="953"/>
      <c r="AJ139" s="915" t="e">
        <f>#REF!-#REF!</f>
        <v>#REF!</v>
      </c>
      <c r="AK139" s="915" t="e">
        <f>#REF!-#REF!</f>
        <v>#REF!</v>
      </c>
    </row>
    <row r="140" spans="1:37" ht="35.1" customHeight="1" x14ac:dyDescent="0.2">
      <c r="A140" s="1118">
        <v>9</v>
      </c>
      <c r="B140" s="982" t="s">
        <v>390</v>
      </c>
      <c r="C140" s="1167" t="s">
        <v>370</v>
      </c>
      <c r="D140" s="1146" t="s">
        <v>179</v>
      </c>
      <c r="E140" s="1167" t="s">
        <v>400</v>
      </c>
      <c r="F140" s="1169">
        <v>1120</v>
      </c>
      <c r="G140" s="1169">
        <v>1120</v>
      </c>
      <c r="H140" s="1169"/>
      <c r="I140" s="1133"/>
      <c r="J140" s="1133">
        <v>75</v>
      </c>
      <c r="K140" s="1187">
        <v>500</v>
      </c>
      <c r="L140" s="1133">
        <v>696</v>
      </c>
      <c r="M140" s="1133">
        <v>360</v>
      </c>
      <c r="N140" s="1187">
        <v>500</v>
      </c>
      <c r="O140" s="1187">
        <v>500</v>
      </c>
      <c r="P140" s="1188">
        <f t="shared" si="78"/>
        <v>100</v>
      </c>
      <c r="Q140" s="1133"/>
      <c r="R140" s="1133"/>
      <c r="S140" s="1133">
        <f t="shared" si="58"/>
        <v>0</v>
      </c>
      <c r="T140" s="1133"/>
      <c r="U140" s="982"/>
      <c r="V140" s="1001"/>
      <c r="W140" s="1001"/>
      <c r="X140" s="912" t="s">
        <v>122</v>
      </c>
      <c r="Y140" s="152" t="s">
        <v>277</v>
      </c>
      <c r="Z140" s="148"/>
      <c r="AB140" s="953"/>
      <c r="AJ140" s="915" t="e">
        <f>#REF!-#REF!</f>
        <v>#REF!</v>
      </c>
      <c r="AK140" s="915" t="e">
        <f>#REF!-#REF!</f>
        <v>#REF!</v>
      </c>
    </row>
    <row r="141" spans="1:37" ht="35.1" customHeight="1" x14ac:dyDescent="0.2">
      <c r="A141" s="1118">
        <v>10</v>
      </c>
      <c r="B141" s="982" t="s">
        <v>391</v>
      </c>
      <c r="C141" s="1167" t="s">
        <v>255</v>
      </c>
      <c r="D141" s="1146" t="s">
        <v>179</v>
      </c>
      <c r="E141" s="1167" t="s">
        <v>401</v>
      </c>
      <c r="F141" s="1169">
        <v>2280</v>
      </c>
      <c r="G141" s="1169">
        <v>2280</v>
      </c>
      <c r="H141" s="1169"/>
      <c r="I141" s="1133"/>
      <c r="J141" s="1133">
        <v>34.613000000000056</v>
      </c>
      <c r="K141" s="1187">
        <v>952</v>
      </c>
      <c r="L141" s="1133">
        <v>1640</v>
      </c>
      <c r="M141" s="1133">
        <v>500</v>
      </c>
      <c r="N141" s="1187">
        <v>911.38699999999994</v>
      </c>
      <c r="O141" s="1187">
        <v>911.38699999999994</v>
      </c>
      <c r="P141" s="1188">
        <f t="shared" si="78"/>
        <v>95.733928571428564</v>
      </c>
      <c r="Q141" s="1133">
        <v>34.613</v>
      </c>
      <c r="R141" s="1133">
        <v>34.613</v>
      </c>
      <c r="S141" s="1133">
        <f t="shared" si="58"/>
        <v>99.999999999999829</v>
      </c>
      <c r="T141" s="1133"/>
      <c r="U141" s="982"/>
      <c r="V141" s="1001"/>
      <c r="W141" s="1001"/>
      <c r="X141" s="912" t="s">
        <v>122</v>
      </c>
      <c r="Y141" s="152" t="s">
        <v>270</v>
      </c>
      <c r="Z141" s="148"/>
      <c r="AB141" s="953"/>
      <c r="AJ141" s="915" t="e">
        <f>#REF!-#REF!</f>
        <v>#REF!</v>
      </c>
      <c r="AK141" s="915" t="e">
        <f>#REF!-#REF!</f>
        <v>#REF!</v>
      </c>
    </row>
    <row r="142" spans="1:37" ht="20.100000000000001" customHeight="1" x14ac:dyDescent="0.2">
      <c r="A142" s="1124" t="s">
        <v>30</v>
      </c>
      <c r="B142" s="1135" t="s">
        <v>463</v>
      </c>
      <c r="C142" s="1167"/>
      <c r="D142" s="1146"/>
      <c r="E142" s="1167"/>
      <c r="F142" s="1128">
        <f>SUM(F143)</f>
        <v>6560</v>
      </c>
      <c r="G142" s="1128">
        <f t="shared" ref="G142:R142" si="79">SUM(G143)</f>
        <v>6560</v>
      </c>
      <c r="H142" s="1128">
        <f t="shared" si="79"/>
        <v>0</v>
      </c>
      <c r="I142" s="1128">
        <f t="shared" si="79"/>
        <v>0</v>
      </c>
      <c r="J142" s="1128">
        <f t="shared" si="79"/>
        <v>0</v>
      </c>
      <c r="K142" s="1128">
        <f t="shared" si="79"/>
        <v>3000</v>
      </c>
      <c r="L142" s="1128">
        <f t="shared" si="79"/>
        <v>4000</v>
      </c>
      <c r="M142" s="1128">
        <f t="shared" si="79"/>
        <v>4000</v>
      </c>
      <c r="N142" s="1128">
        <f t="shared" si="79"/>
        <v>3000</v>
      </c>
      <c r="O142" s="1128">
        <f t="shared" si="79"/>
        <v>3000</v>
      </c>
      <c r="P142" s="1191">
        <f t="shared" si="78"/>
        <v>100</v>
      </c>
      <c r="Q142" s="1128">
        <f t="shared" si="79"/>
        <v>0</v>
      </c>
      <c r="R142" s="1128">
        <f t="shared" si="79"/>
        <v>0</v>
      </c>
      <c r="S142" s="1133"/>
      <c r="T142" s="1145"/>
      <c r="U142" s="982"/>
      <c r="V142" s="1001"/>
      <c r="W142" s="1001"/>
      <c r="Y142" s="152"/>
      <c r="Z142" s="148"/>
      <c r="AB142" s="953"/>
      <c r="AJ142" s="915"/>
      <c r="AK142" s="915"/>
    </row>
    <row r="143" spans="1:37" ht="54.95" customHeight="1" x14ac:dyDescent="0.2">
      <c r="A143" s="1129" t="s">
        <v>458</v>
      </c>
      <c r="B143" s="982" t="s">
        <v>525</v>
      </c>
      <c r="C143" s="1131" t="s">
        <v>166</v>
      </c>
      <c r="D143" s="1131" t="s">
        <v>478</v>
      </c>
      <c r="E143" s="1167" t="s">
        <v>527</v>
      </c>
      <c r="F143" s="1200">
        <v>6560</v>
      </c>
      <c r="G143" s="1200">
        <v>6560</v>
      </c>
      <c r="H143" s="1200"/>
      <c r="I143" s="1133"/>
      <c r="J143" s="1133"/>
      <c r="K143" s="1187">
        <v>3000</v>
      </c>
      <c r="L143" s="1133">
        <v>4000</v>
      </c>
      <c r="M143" s="1133">
        <v>4000</v>
      </c>
      <c r="N143" s="1187">
        <v>3000</v>
      </c>
      <c r="O143" s="1187">
        <v>3000</v>
      </c>
      <c r="P143" s="1188">
        <f t="shared" si="78"/>
        <v>100</v>
      </c>
      <c r="Q143" s="1133"/>
      <c r="R143" s="1133"/>
      <c r="S143" s="1133"/>
      <c r="T143" s="1133"/>
      <c r="U143" s="982"/>
      <c r="V143" s="1001"/>
      <c r="W143" s="1001"/>
      <c r="X143" s="912" t="s">
        <v>123</v>
      </c>
      <c r="Y143" s="955" t="s">
        <v>268</v>
      </c>
      <c r="Z143" s="148"/>
      <c r="AB143" s="953"/>
      <c r="AJ143" s="915"/>
      <c r="AK143" s="915"/>
    </row>
    <row r="144" spans="1:37" ht="13.5" x14ac:dyDescent="0.2">
      <c r="A144" s="1034"/>
      <c r="B144" s="1034"/>
      <c r="C144" s="1067"/>
      <c r="D144" s="1067"/>
      <c r="E144" s="1001"/>
      <c r="U144" s="1001"/>
      <c r="V144" s="1001"/>
      <c r="W144" s="1001"/>
    </row>
    <row r="145" spans="1:29" hidden="1" x14ac:dyDescent="0.2">
      <c r="A145" s="1036"/>
      <c r="B145" s="1037" t="s">
        <v>405</v>
      </c>
      <c r="C145" s="1081"/>
      <c r="D145" s="1081"/>
      <c r="E145" s="1037"/>
      <c r="F145" s="1037"/>
      <c r="G145" s="1037"/>
      <c r="H145" s="1037"/>
      <c r="I145" s="1038">
        <f>SUM(I146:I163)</f>
        <v>905</v>
      </c>
      <c r="J145" s="1038"/>
      <c r="K145" s="1038"/>
      <c r="L145" s="1038"/>
      <c r="M145" s="1038"/>
      <c r="N145" s="1038"/>
      <c r="O145" s="1038"/>
      <c r="P145" s="1038"/>
      <c r="Q145" s="1038"/>
      <c r="R145" s="1038"/>
      <c r="S145" s="1038"/>
      <c r="T145" s="1039" t="e">
        <f>#REF!/#REF!*100</f>
        <v>#REF!</v>
      </c>
      <c r="U145" s="1037"/>
      <c r="V145" s="1040"/>
      <c r="W145" s="1041"/>
      <c r="X145" s="1042"/>
      <c r="Y145" s="1038">
        <f>SUM(Y146:Y163)</f>
        <v>92</v>
      </c>
    </row>
    <row r="146" spans="1:29" hidden="1" x14ac:dyDescent="0.2">
      <c r="A146" s="1043">
        <v>1</v>
      </c>
      <c r="B146" s="1044" t="s">
        <v>268</v>
      </c>
      <c r="C146" s="1045"/>
      <c r="D146" s="1045"/>
      <c r="E146" s="1046"/>
      <c r="F146" s="1046"/>
      <c r="G146" s="1046"/>
      <c r="H146" s="1046"/>
      <c r="I146" s="101">
        <f t="shared" ref="I146:I163" si="80">SUMIF($Y$8:$Y$143,B146,$I$8:$I$143)</f>
        <v>100</v>
      </c>
      <c r="J146" s="101"/>
      <c r="K146" s="101"/>
      <c r="L146" s="101"/>
      <c r="M146" s="101"/>
      <c r="N146" s="101"/>
      <c r="O146" s="101"/>
      <c r="P146" s="101"/>
      <c r="Q146" s="101"/>
      <c r="R146" s="101"/>
      <c r="S146" s="101"/>
      <c r="T146" s="1047" t="e">
        <f>#REF!/#REF!*100</f>
        <v>#REF!</v>
      </c>
      <c r="U146" s="1046"/>
      <c r="V146" s="1048"/>
      <c r="X146" s="1049"/>
      <c r="Y146" s="169">
        <f t="shared" ref="Y146:Y163" si="81">COUNTIF($Y$8:$Y$143,B146)</f>
        <v>46</v>
      </c>
    </row>
    <row r="147" spans="1:29" hidden="1" x14ac:dyDescent="0.2">
      <c r="A147" s="1043">
        <v>2</v>
      </c>
      <c r="B147" s="1046" t="s">
        <v>404</v>
      </c>
      <c r="C147" s="1045"/>
      <c r="D147" s="1045"/>
      <c r="E147" s="1046"/>
      <c r="F147" s="1046"/>
      <c r="G147" s="1046"/>
      <c r="H147" s="1046"/>
      <c r="I147" s="101">
        <f t="shared" si="80"/>
        <v>0</v>
      </c>
      <c r="J147" s="101"/>
      <c r="K147" s="101"/>
      <c r="L147" s="101"/>
      <c r="M147" s="101"/>
      <c r="N147" s="101"/>
      <c r="O147" s="101"/>
      <c r="P147" s="101"/>
      <c r="Q147" s="101"/>
      <c r="R147" s="101"/>
      <c r="S147" s="101"/>
      <c r="T147" s="1047" t="e">
        <f>#REF!/#REF!*100</f>
        <v>#REF!</v>
      </c>
      <c r="U147" s="1046"/>
      <c r="V147" s="1048"/>
      <c r="X147" s="1049"/>
      <c r="Y147" s="169">
        <f t="shared" si="81"/>
        <v>0</v>
      </c>
    </row>
    <row r="148" spans="1:29" hidden="1" x14ac:dyDescent="0.2">
      <c r="A148" s="1043">
        <v>3</v>
      </c>
      <c r="B148" s="916" t="s">
        <v>403</v>
      </c>
      <c r="C148" s="1045"/>
      <c r="D148" s="1045"/>
      <c r="E148" s="1046"/>
      <c r="F148" s="1046"/>
      <c r="G148" s="1046"/>
      <c r="H148" s="1046"/>
      <c r="I148" s="101">
        <f t="shared" si="80"/>
        <v>0</v>
      </c>
      <c r="J148" s="101"/>
      <c r="K148" s="101"/>
      <c r="L148" s="101"/>
      <c r="M148" s="101"/>
      <c r="N148" s="101"/>
      <c r="O148" s="101"/>
      <c r="P148" s="101"/>
      <c r="Q148" s="101"/>
      <c r="R148" s="101"/>
      <c r="S148" s="101"/>
      <c r="T148" s="1047" t="e">
        <f>#REF!/#REF!*100</f>
        <v>#REF!</v>
      </c>
      <c r="U148" s="1046"/>
      <c r="V148" s="1048"/>
      <c r="X148" s="1049"/>
      <c r="Y148" s="169">
        <f t="shared" si="81"/>
        <v>0</v>
      </c>
    </row>
    <row r="149" spans="1:29" hidden="1" x14ac:dyDescent="0.2">
      <c r="A149" s="1043">
        <v>4</v>
      </c>
      <c r="B149" s="91" t="s">
        <v>353</v>
      </c>
      <c r="C149" s="1045"/>
      <c r="D149" s="1045"/>
      <c r="E149" s="1046"/>
      <c r="F149" s="1046"/>
      <c r="G149" s="1046"/>
      <c r="H149" s="1046"/>
      <c r="I149" s="101">
        <f t="shared" si="80"/>
        <v>0</v>
      </c>
      <c r="J149" s="101"/>
      <c r="K149" s="101"/>
      <c r="L149" s="101"/>
      <c r="M149" s="101"/>
      <c r="N149" s="101"/>
      <c r="O149" s="101"/>
      <c r="P149" s="101"/>
      <c r="Q149" s="101"/>
      <c r="R149" s="101"/>
      <c r="S149" s="101"/>
      <c r="T149" s="1047" t="e">
        <f>#REF!/#REF!*100</f>
        <v>#REF!</v>
      </c>
      <c r="U149" s="1046"/>
      <c r="V149" s="1048"/>
      <c r="X149" s="1049"/>
      <c r="Y149" s="169">
        <f t="shared" si="81"/>
        <v>1</v>
      </c>
    </row>
    <row r="150" spans="1:29" hidden="1" x14ac:dyDescent="0.2">
      <c r="A150" s="1043">
        <v>5</v>
      </c>
      <c r="B150" s="91" t="s">
        <v>274</v>
      </c>
      <c r="C150" s="1045"/>
      <c r="D150" s="1045"/>
      <c r="E150" s="1046"/>
      <c r="F150" s="1046"/>
      <c r="G150" s="1046"/>
      <c r="H150" s="1046"/>
      <c r="I150" s="101">
        <f t="shared" si="80"/>
        <v>0</v>
      </c>
      <c r="J150" s="101"/>
      <c r="K150" s="101"/>
      <c r="L150" s="101"/>
      <c r="M150" s="101"/>
      <c r="N150" s="101"/>
      <c r="O150" s="101"/>
      <c r="P150" s="101"/>
      <c r="Q150" s="101"/>
      <c r="R150" s="101"/>
      <c r="S150" s="101"/>
      <c r="T150" s="1047" t="e">
        <f>#REF!/#REF!*100</f>
        <v>#REF!</v>
      </c>
      <c r="U150" s="1046"/>
      <c r="V150" s="1048"/>
      <c r="X150" s="1049"/>
      <c r="Y150" s="169">
        <f t="shared" si="81"/>
        <v>2</v>
      </c>
    </row>
    <row r="151" spans="1:29" hidden="1" x14ac:dyDescent="0.2">
      <c r="A151" s="1043">
        <v>6</v>
      </c>
      <c r="B151" s="91" t="s">
        <v>279</v>
      </c>
      <c r="C151" s="1045"/>
      <c r="D151" s="1045"/>
      <c r="E151" s="1046"/>
      <c r="F151" s="1046"/>
      <c r="G151" s="1046"/>
      <c r="H151" s="1046"/>
      <c r="I151" s="101">
        <f t="shared" si="80"/>
        <v>0</v>
      </c>
      <c r="J151" s="101"/>
      <c r="K151" s="101"/>
      <c r="L151" s="101"/>
      <c r="M151" s="101"/>
      <c r="N151" s="101"/>
      <c r="O151" s="101"/>
      <c r="P151" s="101"/>
      <c r="Q151" s="101"/>
      <c r="R151" s="101"/>
      <c r="S151" s="101"/>
      <c r="T151" s="1047" t="e">
        <f>#REF!/#REF!*100</f>
        <v>#REF!</v>
      </c>
      <c r="U151" s="1046"/>
      <c r="V151" s="1048"/>
      <c r="X151" s="1049"/>
      <c r="Y151" s="169">
        <f t="shared" si="81"/>
        <v>3</v>
      </c>
    </row>
    <row r="152" spans="1:29" hidden="1" x14ac:dyDescent="0.2">
      <c r="A152" s="1043">
        <v>7</v>
      </c>
      <c r="B152" s="91" t="s">
        <v>277</v>
      </c>
      <c r="C152" s="1045"/>
      <c r="D152" s="1045"/>
      <c r="E152" s="1046"/>
      <c r="F152" s="1046"/>
      <c r="G152" s="1046"/>
      <c r="H152" s="1046"/>
      <c r="I152" s="101">
        <f t="shared" si="80"/>
        <v>75</v>
      </c>
      <c r="J152" s="101"/>
      <c r="K152" s="101"/>
      <c r="L152" s="101"/>
      <c r="M152" s="101"/>
      <c r="N152" s="101"/>
      <c r="O152" s="101"/>
      <c r="P152" s="101"/>
      <c r="Q152" s="101"/>
      <c r="R152" s="101"/>
      <c r="S152" s="101"/>
      <c r="T152" s="1047" t="e">
        <f>#REF!/#REF!*100</f>
        <v>#REF!</v>
      </c>
      <c r="U152" s="1046"/>
      <c r="V152" s="1048"/>
      <c r="X152" s="1049"/>
      <c r="Y152" s="169">
        <f t="shared" si="81"/>
        <v>7</v>
      </c>
      <c r="AB152" s="916">
        <v>7</v>
      </c>
      <c r="AC152" s="944" t="e">
        <f>#REF!</f>
        <v>#REF!</v>
      </c>
    </row>
    <row r="153" spans="1:29" hidden="1" x14ac:dyDescent="0.2">
      <c r="A153" s="1043">
        <v>8</v>
      </c>
      <c r="B153" s="91" t="s">
        <v>270</v>
      </c>
      <c r="C153" s="1045"/>
      <c r="D153" s="1045"/>
      <c r="E153" s="1046"/>
      <c r="F153" s="1046"/>
      <c r="G153" s="1046"/>
      <c r="H153" s="1046"/>
      <c r="I153" s="101">
        <f t="shared" si="80"/>
        <v>15</v>
      </c>
      <c r="J153" s="101"/>
      <c r="K153" s="101"/>
      <c r="L153" s="101"/>
      <c r="M153" s="101"/>
      <c r="N153" s="101"/>
      <c r="O153" s="101"/>
      <c r="P153" s="101"/>
      <c r="Q153" s="101"/>
      <c r="R153" s="101"/>
      <c r="S153" s="101"/>
      <c r="T153" s="1047" t="e">
        <f>#REF!/#REF!*100</f>
        <v>#REF!</v>
      </c>
      <c r="U153" s="1046"/>
      <c r="V153" s="1048"/>
      <c r="X153" s="1049"/>
      <c r="Y153" s="169">
        <f t="shared" si="81"/>
        <v>3</v>
      </c>
      <c r="AC153" s="944"/>
    </row>
    <row r="154" spans="1:29" hidden="1" x14ac:dyDescent="0.2">
      <c r="A154" s="1043">
        <v>9</v>
      </c>
      <c r="B154" s="93" t="s">
        <v>276</v>
      </c>
      <c r="C154" s="1045"/>
      <c r="D154" s="1045"/>
      <c r="E154" s="1046"/>
      <c r="F154" s="1046"/>
      <c r="G154" s="1046"/>
      <c r="H154" s="1046"/>
      <c r="I154" s="101">
        <f t="shared" si="80"/>
        <v>15</v>
      </c>
      <c r="J154" s="101"/>
      <c r="K154" s="101"/>
      <c r="L154" s="101"/>
      <c r="M154" s="101"/>
      <c r="N154" s="101"/>
      <c r="O154" s="101"/>
      <c r="P154" s="101"/>
      <c r="Q154" s="101"/>
      <c r="R154" s="101"/>
      <c r="S154" s="101"/>
      <c r="T154" s="1047" t="e">
        <f>#REF!/#REF!*100</f>
        <v>#REF!</v>
      </c>
      <c r="U154" s="1046"/>
      <c r="V154" s="1048"/>
      <c r="X154" s="1049"/>
      <c r="Y154" s="169">
        <f t="shared" si="81"/>
        <v>2</v>
      </c>
    </row>
    <row r="155" spans="1:29" s="914" customFormat="1" hidden="1" x14ac:dyDescent="0.2">
      <c r="A155" s="1043">
        <v>10</v>
      </c>
      <c r="B155" s="91" t="s">
        <v>352</v>
      </c>
      <c r="C155" s="1045"/>
      <c r="D155" s="1045"/>
      <c r="E155" s="1046"/>
      <c r="F155" s="1046"/>
      <c r="G155" s="1046"/>
      <c r="H155" s="1046"/>
      <c r="I155" s="101">
        <f t="shared" si="80"/>
        <v>0</v>
      </c>
      <c r="J155" s="101"/>
      <c r="K155" s="101"/>
      <c r="L155" s="101"/>
      <c r="M155" s="101"/>
      <c r="N155" s="101"/>
      <c r="O155" s="101"/>
      <c r="P155" s="101"/>
      <c r="Q155" s="101"/>
      <c r="R155" s="101"/>
      <c r="S155" s="101"/>
      <c r="T155" s="1047" t="e">
        <f>#REF!/#REF!*100</f>
        <v>#REF!</v>
      </c>
      <c r="U155" s="1046"/>
      <c r="V155" s="1048"/>
      <c r="W155" s="916"/>
      <c r="X155" s="1049"/>
      <c r="Y155" s="169">
        <f t="shared" si="81"/>
        <v>1</v>
      </c>
      <c r="Z155" s="916"/>
      <c r="AA155" s="916"/>
      <c r="AB155" s="916"/>
      <c r="AC155" s="916"/>
    </row>
    <row r="156" spans="1:29" s="914" customFormat="1" hidden="1" x14ac:dyDescent="0.2">
      <c r="A156" s="1043">
        <v>11</v>
      </c>
      <c r="B156" s="91" t="s">
        <v>280</v>
      </c>
      <c r="C156" s="1045"/>
      <c r="D156" s="1045"/>
      <c r="E156" s="1046"/>
      <c r="F156" s="1046"/>
      <c r="G156" s="1046"/>
      <c r="H156" s="1046"/>
      <c r="I156" s="101">
        <f t="shared" si="80"/>
        <v>30</v>
      </c>
      <c r="J156" s="101"/>
      <c r="K156" s="101"/>
      <c r="L156" s="101"/>
      <c r="M156" s="101"/>
      <c r="N156" s="101"/>
      <c r="O156" s="101"/>
      <c r="P156" s="101"/>
      <c r="Q156" s="101"/>
      <c r="R156" s="101"/>
      <c r="S156" s="101"/>
      <c r="T156" s="1047" t="e">
        <f>#REF!/#REF!*100</f>
        <v>#REF!</v>
      </c>
      <c r="U156" s="1046"/>
      <c r="V156" s="1048"/>
      <c r="W156" s="916"/>
      <c r="X156" s="1049"/>
      <c r="Y156" s="169">
        <f t="shared" si="81"/>
        <v>2</v>
      </c>
      <c r="Z156" s="916"/>
      <c r="AA156" s="916"/>
      <c r="AB156" s="916"/>
      <c r="AC156" s="916"/>
    </row>
    <row r="157" spans="1:29" s="914" customFormat="1" hidden="1" x14ac:dyDescent="0.2">
      <c r="A157" s="1043">
        <v>12</v>
      </c>
      <c r="B157" s="91" t="s">
        <v>272</v>
      </c>
      <c r="C157" s="1045"/>
      <c r="D157" s="1045"/>
      <c r="E157" s="1046"/>
      <c r="F157" s="1046"/>
      <c r="G157" s="1046"/>
      <c r="H157" s="1046"/>
      <c r="I157" s="101">
        <f t="shared" si="80"/>
        <v>115</v>
      </c>
      <c r="J157" s="101"/>
      <c r="K157" s="101"/>
      <c r="L157" s="101"/>
      <c r="M157" s="101"/>
      <c r="N157" s="101"/>
      <c r="O157" s="101"/>
      <c r="P157" s="101"/>
      <c r="Q157" s="101"/>
      <c r="R157" s="101"/>
      <c r="S157" s="101"/>
      <c r="T157" s="1047" t="e">
        <f>#REF!/#REF!*100</f>
        <v>#REF!</v>
      </c>
      <c r="U157" s="1046"/>
      <c r="V157" s="1048"/>
      <c r="W157" s="916"/>
      <c r="X157" s="1049"/>
      <c r="Y157" s="169">
        <f t="shared" si="81"/>
        <v>2</v>
      </c>
      <c r="Z157" s="916"/>
      <c r="AA157" s="916"/>
      <c r="AB157" s="916">
        <v>3</v>
      </c>
      <c r="AC157" s="944" t="e">
        <f>#REF!</f>
        <v>#REF!</v>
      </c>
    </row>
    <row r="158" spans="1:29" s="914" customFormat="1" hidden="1" x14ac:dyDescent="0.2">
      <c r="A158" s="1043">
        <v>13</v>
      </c>
      <c r="B158" s="91" t="s">
        <v>278</v>
      </c>
      <c r="C158" s="1045"/>
      <c r="D158" s="1045"/>
      <c r="E158" s="1046"/>
      <c r="F158" s="1046"/>
      <c r="G158" s="1046"/>
      <c r="H158" s="1046"/>
      <c r="I158" s="101">
        <f t="shared" si="80"/>
        <v>170</v>
      </c>
      <c r="J158" s="101"/>
      <c r="K158" s="101"/>
      <c r="L158" s="101"/>
      <c r="M158" s="101"/>
      <c r="N158" s="101"/>
      <c r="O158" s="101"/>
      <c r="P158" s="101"/>
      <c r="Q158" s="101"/>
      <c r="R158" s="101"/>
      <c r="S158" s="101"/>
      <c r="T158" s="1047" t="e">
        <f>#REF!/#REF!*100</f>
        <v>#REF!</v>
      </c>
      <c r="U158" s="1046"/>
      <c r="V158" s="1048"/>
      <c r="W158" s="916"/>
      <c r="X158" s="1049"/>
      <c r="Y158" s="169">
        <f t="shared" si="81"/>
        <v>3</v>
      </c>
      <c r="Z158" s="916"/>
      <c r="AA158" s="916"/>
      <c r="AB158" s="916"/>
      <c r="AC158" s="916"/>
    </row>
    <row r="159" spans="1:29" s="914" customFormat="1" hidden="1" x14ac:dyDescent="0.2">
      <c r="A159" s="1043">
        <v>14</v>
      </c>
      <c r="B159" s="91" t="s">
        <v>271</v>
      </c>
      <c r="C159" s="1045"/>
      <c r="D159" s="1045"/>
      <c r="E159" s="1046"/>
      <c r="F159" s="1046"/>
      <c r="G159" s="1046"/>
      <c r="H159" s="1046"/>
      <c r="I159" s="101">
        <f t="shared" si="80"/>
        <v>165</v>
      </c>
      <c r="J159" s="101"/>
      <c r="K159" s="101"/>
      <c r="L159" s="101"/>
      <c r="M159" s="101"/>
      <c r="N159" s="101"/>
      <c r="O159" s="101"/>
      <c r="P159" s="101"/>
      <c r="Q159" s="101"/>
      <c r="R159" s="101"/>
      <c r="S159" s="101"/>
      <c r="T159" s="1047" t="e">
        <f>#REF!/#REF!*100</f>
        <v>#REF!</v>
      </c>
      <c r="U159" s="1046"/>
      <c r="V159" s="1048"/>
      <c r="W159" s="916"/>
      <c r="X159" s="1049"/>
      <c r="Y159" s="169">
        <f t="shared" si="81"/>
        <v>7</v>
      </c>
      <c r="Z159" s="916"/>
      <c r="AA159" s="916"/>
      <c r="AB159" s="916">
        <v>5</v>
      </c>
      <c r="AC159" s="944" t="e">
        <f>#REF!</f>
        <v>#REF!</v>
      </c>
    </row>
    <row r="160" spans="1:29" s="914" customFormat="1" hidden="1" x14ac:dyDescent="0.2">
      <c r="A160" s="1043">
        <v>15</v>
      </c>
      <c r="B160" s="91" t="s">
        <v>269</v>
      </c>
      <c r="C160" s="1045"/>
      <c r="D160" s="1045"/>
      <c r="E160" s="1046"/>
      <c r="F160" s="1046"/>
      <c r="G160" s="1046"/>
      <c r="H160" s="1046"/>
      <c r="I160" s="101">
        <f t="shared" si="80"/>
        <v>135</v>
      </c>
      <c r="J160" s="101"/>
      <c r="K160" s="101"/>
      <c r="L160" s="101"/>
      <c r="M160" s="101"/>
      <c r="N160" s="101"/>
      <c r="O160" s="101"/>
      <c r="P160" s="101"/>
      <c r="Q160" s="101"/>
      <c r="R160" s="101"/>
      <c r="S160" s="101"/>
      <c r="T160" s="1047" t="e">
        <f>#REF!/#REF!*100</f>
        <v>#REF!</v>
      </c>
      <c r="U160" s="1046"/>
      <c r="V160" s="1048"/>
      <c r="W160" s="916"/>
      <c r="X160" s="1049"/>
      <c r="Y160" s="169">
        <f t="shared" si="81"/>
        <v>4</v>
      </c>
      <c r="Z160" s="916"/>
      <c r="AA160" s="916"/>
      <c r="AB160" s="916">
        <v>6</v>
      </c>
      <c r="AC160" s="944" t="e">
        <f>#REF!</f>
        <v>#REF!</v>
      </c>
    </row>
    <row r="161" spans="1:29" s="914" customFormat="1" hidden="1" x14ac:dyDescent="0.2">
      <c r="A161" s="1043">
        <v>16</v>
      </c>
      <c r="B161" s="91" t="s">
        <v>275</v>
      </c>
      <c r="C161" s="1045"/>
      <c r="D161" s="1045"/>
      <c r="E161" s="1046"/>
      <c r="F161" s="1046"/>
      <c r="G161" s="1046"/>
      <c r="H161" s="1046"/>
      <c r="I161" s="101">
        <f t="shared" si="80"/>
        <v>0</v>
      </c>
      <c r="J161" s="101"/>
      <c r="K161" s="101"/>
      <c r="L161" s="101"/>
      <c r="M161" s="101"/>
      <c r="N161" s="101"/>
      <c r="O161" s="101"/>
      <c r="P161" s="101"/>
      <c r="Q161" s="101"/>
      <c r="R161" s="101"/>
      <c r="S161" s="101"/>
      <c r="T161" s="1047" t="e">
        <f>#REF!/#REF!*100</f>
        <v>#REF!</v>
      </c>
      <c r="U161" s="1046"/>
      <c r="V161" s="1048"/>
      <c r="W161" s="916"/>
      <c r="X161" s="1049"/>
      <c r="Y161" s="169">
        <f t="shared" si="81"/>
        <v>1</v>
      </c>
      <c r="Z161" s="916"/>
      <c r="AA161" s="916"/>
      <c r="AB161" s="916">
        <v>3</v>
      </c>
      <c r="AC161" s="944" t="e">
        <f>#REF!</f>
        <v>#REF!</v>
      </c>
    </row>
    <row r="162" spans="1:29" s="914" customFormat="1" hidden="1" x14ac:dyDescent="0.2">
      <c r="A162" s="1043">
        <v>17</v>
      </c>
      <c r="B162" s="91" t="s">
        <v>273</v>
      </c>
      <c r="C162" s="1045"/>
      <c r="D162" s="1045"/>
      <c r="E162" s="1046"/>
      <c r="F162" s="1046"/>
      <c r="G162" s="1046"/>
      <c r="H162" s="1046"/>
      <c r="I162" s="101">
        <f t="shared" si="80"/>
        <v>85</v>
      </c>
      <c r="J162" s="101"/>
      <c r="K162" s="101"/>
      <c r="L162" s="101"/>
      <c r="M162" s="101"/>
      <c r="N162" s="101"/>
      <c r="O162" s="101"/>
      <c r="P162" s="101"/>
      <c r="Q162" s="101"/>
      <c r="R162" s="101"/>
      <c r="S162" s="101"/>
      <c r="T162" s="1047" t="e">
        <f>#REF!/#REF!*100</f>
        <v>#REF!</v>
      </c>
      <c r="U162" s="1046"/>
      <c r="V162" s="1048"/>
      <c r="W162" s="916"/>
      <c r="X162" s="1049"/>
      <c r="Y162" s="169">
        <f t="shared" si="81"/>
        <v>6</v>
      </c>
      <c r="Z162" s="916"/>
      <c r="AA162" s="916"/>
      <c r="AB162" s="916">
        <v>4</v>
      </c>
      <c r="AC162" s="944" t="e">
        <f>#REF!</f>
        <v>#REF!</v>
      </c>
    </row>
    <row r="163" spans="1:29" s="914" customFormat="1" hidden="1" x14ac:dyDescent="0.2">
      <c r="A163" s="941"/>
      <c r="B163" s="116" t="s">
        <v>536</v>
      </c>
      <c r="C163" s="1001"/>
      <c r="D163" s="1001"/>
      <c r="E163" s="916"/>
      <c r="F163" s="916"/>
      <c r="G163" s="916"/>
      <c r="H163" s="916"/>
      <c r="I163" s="101">
        <f t="shared" si="80"/>
        <v>0</v>
      </c>
      <c r="J163" s="101"/>
      <c r="K163" s="101"/>
      <c r="L163" s="101"/>
      <c r="M163" s="101"/>
      <c r="N163" s="101"/>
      <c r="O163" s="101"/>
      <c r="P163" s="101"/>
      <c r="Q163" s="101"/>
      <c r="R163" s="101"/>
      <c r="S163" s="101"/>
      <c r="T163" s="1047" t="e">
        <f>#REF!/#REF!*100</f>
        <v>#REF!</v>
      </c>
      <c r="U163" s="916"/>
      <c r="V163" s="916"/>
      <c r="W163" s="916"/>
      <c r="X163" s="912"/>
      <c r="Y163" s="169">
        <f t="shared" si="81"/>
        <v>2</v>
      </c>
      <c r="Z163" s="916"/>
      <c r="AA163" s="916"/>
      <c r="AB163" s="916">
        <f>SUM(AB152:AB162)</f>
        <v>28</v>
      </c>
      <c r="AC163" s="916"/>
    </row>
    <row r="164" spans="1:29" s="914" customFormat="1" hidden="1" x14ac:dyDescent="0.2">
      <c r="A164" s="941"/>
      <c r="B164" s="916"/>
      <c r="C164" s="1001"/>
      <c r="D164" s="1001"/>
      <c r="E164" s="916"/>
      <c r="F164" s="916"/>
      <c r="G164" s="916"/>
      <c r="H164" s="916"/>
      <c r="I164" s="916"/>
      <c r="J164" s="916"/>
      <c r="K164" s="916"/>
      <c r="L164" s="916"/>
      <c r="M164" s="916"/>
      <c r="N164" s="916"/>
      <c r="O164" s="916"/>
      <c r="P164" s="916"/>
      <c r="Q164" s="916"/>
      <c r="R164" s="916"/>
      <c r="S164" s="916"/>
      <c r="T164" s="942"/>
      <c r="U164" s="916"/>
      <c r="V164" s="916"/>
      <c r="W164" s="916"/>
      <c r="X164" s="912"/>
      <c r="Y164" s="916"/>
      <c r="Z164" s="916"/>
      <c r="AA164" s="916"/>
      <c r="AB164" s="916"/>
      <c r="AC164" s="916"/>
    </row>
    <row r="169" spans="1:29" s="914" customFormat="1" x14ac:dyDescent="0.2">
      <c r="A169" s="916"/>
      <c r="B169" s="916"/>
      <c r="C169" s="1001"/>
      <c r="D169" s="1001"/>
      <c r="E169" s="916"/>
      <c r="F169" s="916"/>
      <c r="G169" s="916"/>
      <c r="H169" s="916"/>
      <c r="I169" s="944"/>
      <c r="J169" s="944"/>
      <c r="K169" s="944"/>
      <c r="L169" s="944"/>
      <c r="M169" s="944"/>
      <c r="N169" s="944"/>
      <c r="O169" s="944"/>
      <c r="P169" s="944"/>
      <c r="Q169" s="944"/>
      <c r="R169" s="944"/>
      <c r="S169" s="944"/>
      <c r="T169" s="942"/>
      <c r="U169" s="916"/>
      <c r="V169" s="916"/>
      <c r="W169" s="916"/>
      <c r="X169" s="912"/>
      <c r="Y169" s="916"/>
      <c r="Z169" s="916"/>
      <c r="AA169" s="916"/>
      <c r="AB169" s="916"/>
      <c r="AC169" s="916"/>
    </row>
    <row r="208" spans="1:45" s="942" customFormat="1" x14ac:dyDescent="0.2">
      <c r="A208" s="916"/>
      <c r="B208" s="916"/>
      <c r="C208" s="1001"/>
      <c r="D208" s="1001"/>
      <c r="E208" s="916"/>
      <c r="F208" s="916"/>
      <c r="G208" s="916"/>
      <c r="H208" s="916"/>
      <c r="I208" s="916"/>
      <c r="J208" s="916"/>
      <c r="K208" s="916"/>
      <c r="L208" s="916"/>
      <c r="M208" s="916"/>
      <c r="N208" s="916"/>
      <c r="O208" s="916"/>
      <c r="P208" s="916"/>
      <c r="Q208" s="916"/>
      <c r="R208" s="916"/>
      <c r="S208" s="916"/>
      <c r="U208" s="916"/>
      <c r="V208" s="916"/>
      <c r="W208" s="916"/>
      <c r="X208" s="912"/>
      <c r="Y208" s="916"/>
      <c r="Z208" s="916"/>
      <c r="AA208" s="916"/>
      <c r="AB208" s="916"/>
      <c r="AC208" s="916"/>
      <c r="AD208" s="914"/>
      <c r="AE208" s="914"/>
      <c r="AF208" s="914"/>
      <c r="AG208" s="914"/>
      <c r="AH208" s="914"/>
      <c r="AI208" s="914"/>
      <c r="AJ208" s="914"/>
      <c r="AK208" s="914"/>
      <c r="AL208" s="914"/>
      <c r="AM208" s="914"/>
      <c r="AN208" s="914"/>
      <c r="AO208" s="914"/>
      <c r="AP208" s="914"/>
      <c r="AQ208" s="914"/>
      <c r="AR208" s="914"/>
      <c r="AS208" s="914"/>
    </row>
    <row r="209" spans="1:45" s="942" customFormat="1" x14ac:dyDescent="0.2">
      <c r="A209" s="916"/>
      <c r="B209" s="916"/>
      <c r="C209" s="1001"/>
      <c r="D209" s="1001"/>
      <c r="E209" s="916"/>
      <c r="F209" s="916"/>
      <c r="G209" s="916"/>
      <c r="H209" s="916"/>
      <c r="I209" s="916"/>
      <c r="J209" s="916"/>
      <c r="K209" s="916"/>
      <c r="L209" s="916"/>
      <c r="M209" s="916"/>
      <c r="N209" s="916"/>
      <c r="O209" s="916"/>
      <c r="P209" s="916"/>
      <c r="Q209" s="916"/>
      <c r="R209" s="916"/>
      <c r="S209" s="916"/>
      <c r="U209" s="916"/>
      <c r="V209" s="916"/>
      <c r="W209" s="916"/>
      <c r="X209" s="912"/>
      <c r="Y209" s="916"/>
      <c r="Z209" s="916"/>
      <c r="AA209" s="916"/>
      <c r="AB209" s="916"/>
      <c r="AC209" s="916"/>
      <c r="AD209" s="914"/>
      <c r="AE209" s="914"/>
      <c r="AF209" s="914"/>
      <c r="AG209" s="914"/>
      <c r="AH209" s="914"/>
      <c r="AI209" s="914"/>
      <c r="AJ209" s="914"/>
      <c r="AK209" s="914"/>
      <c r="AL209" s="914"/>
      <c r="AM209" s="914"/>
      <c r="AN209" s="914"/>
      <c r="AO209" s="914"/>
      <c r="AP209" s="914"/>
      <c r="AQ209" s="914"/>
      <c r="AR209" s="914"/>
      <c r="AS209" s="914"/>
    </row>
    <row r="210" spans="1:45" s="942" customFormat="1" x14ac:dyDescent="0.2">
      <c r="A210" s="916"/>
      <c r="B210" s="916"/>
      <c r="C210" s="1001"/>
      <c r="D210" s="1001"/>
      <c r="E210" s="916"/>
      <c r="F210" s="916"/>
      <c r="G210" s="916"/>
      <c r="H210" s="916"/>
      <c r="I210" s="916"/>
      <c r="J210" s="916"/>
      <c r="K210" s="916"/>
      <c r="L210" s="916"/>
      <c r="M210" s="916"/>
      <c r="N210" s="916"/>
      <c r="O210" s="916"/>
      <c r="P210" s="916"/>
      <c r="Q210" s="916"/>
      <c r="R210" s="916"/>
      <c r="S210" s="916"/>
      <c r="U210" s="916"/>
      <c r="V210" s="916"/>
      <c r="W210" s="916"/>
      <c r="X210" s="912"/>
      <c r="Y210" s="916"/>
      <c r="Z210" s="916"/>
      <c r="AA210" s="916"/>
      <c r="AB210" s="916"/>
      <c r="AC210" s="916"/>
      <c r="AD210" s="914"/>
      <c r="AE210" s="914"/>
      <c r="AF210" s="914"/>
      <c r="AG210" s="914"/>
      <c r="AH210" s="914"/>
      <c r="AI210" s="914"/>
      <c r="AJ210" s="914"/>
      <c r="AK210" s="914"/>
      <c r="AL210" s="914"/>
      <c r="AM210" s="914"/>
      <c r="AN210" s="914"/>
      <c r="AO210" s="914"/>
      <c r="AP210" s="914"/>
      <c r="AQ210" s="914"/>
      <c r="AR210" s="914"/>
      <c r="AS210" s="914"/>
    </row>
    <row r="212" spans="1:45" s="942" customFormat="1" x14ac:dyDescent="0.2">
      <c r="A212" s="916"/>
      <c r="B212" s="916"/>
      <c r="C212" s="1001"/>
      <c r="D212" s="1001"/>
      <c r="E212" s="916"/>
      <c r="F212" s="916"/>
      <c r="G212" s="916"/>
      <c r="H212" s="916"/>
      <c r="I212" s="916"/>
      <c r="J212" s="916"/>
      <c r="K212" s="916"/>
      <c r="L212" s="916"/>
      <c r="M212" s="916"/>
      <c r="N212" s="916"/>
      <c r="O212" s="916"/>
      <c r="P212" s="916"/>
      <c r="Q212" s="916"/>
      <c r="R212" s="916"/>
      <c r="S212" s="916"/>
      <c r="U212" s="916"/>
      <c r="V212" s="916"/>
      <c r="W212" s="916"/>
      <c r="X212" s="912"/>
      <c r="Y212" s="916"/>
      <c r="Z212" s="916"/>
      <c r="AA212" s="916"/>
      <c r="AB212" s="916"/>
      <c r="AC212" s="916"/>
      <c r="AD212" s="914"/>
      <c r="AE212" s="914"/>
      <c r="AF212" s="914"/>
      <c r="AG212" s="914"/>
      <c r="AH212" s="914"/>
      <c r="AI212" s="914"/>
      <c r="AJ212" s="914"/>
      <c r="AK212" s="914"/>
      <c r="AL212" s="914"/>
      <c r="AM212" s="914"/>
      <c r="AN212" s="914"/>
      <c r="AO212" s="914"/>
      <c r="AP212" s="914"/>
      <c r="AQ212" s="914"/>
      <c r="AR212" s="914"/>
      <c r="AS212" s="914"/>
    </row>
  </sheetData>
  <mergeCells count="23">
    <mergeCell ref="A144:B144"/>
    <mergeCell ref="F6:F7"/>
    <mergeCell ref="G6:I6"/>
    <mergeCell ref="Y5:Y7"/>
    <mergeCell ref="AA5:AA7"/>
    <mergeCell ref="E6:E7"/>
    <mergeCell ref="T5:T7"/>
    <mergeCell ref="A5:A7"/>
    <mergeCell ref="B5:B7"/>
    <mergeCell ref="C5:C7"/>
    <mergeCell ref="D5:D7"/>
    <mergeCell ref="E5:I5"/>
    <mergeCell ref="U5:U7"/>
    <mergeCell ref="J5:J7"/>
    <mergeCell ref="K5:K7"/>
    <mergeCell ref="Q6:S6"/>
    <mergeCell ref="N6:P6"/>
    <mergeCell ref="L6:M6"/>
    <mergeCell ref="L5:S5"/>
    <mergeCell ref="T1:U1"/>
    <mergeCell ref="A2:U2"/>
    <mergeCell ref="A3:U3"/>
    <mergeCell ref="S4:U4"/>
  </mergeCells>
  <printOptions horizontalCentered="1"/>
  <pageMargins left="0.19685039370078741" right="0.19685039370078741" top="0.59055118110236227" bottom="0.39370078740157483" header="0.31496062992125984" footer="0.19685039370078741"/>
  <pageSetup paperSize="9" scale="65"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S329"/>
  <sheetViews>
    <sheetView zoomScale="85" zoomScaleNormal="85" zoomScaleSheetLayoutView="130" workbookViewId="0">
      <pane ySplit="7" topLeftCell="A116" activePane="bottomLeft" state="frozen"/>
      <selection pane="bottomLeft" activeCell="K5" sqref="K5:L5"/>
    </sheetView>
  </sheetViews>
  <sheetFormatPr defaultColWidth="9.33203125" defaultRowHeight="12.75" x14ac:dyDescent="0.2"/>
  <cols>
    <col min="1" max="1" width="5.5" style="74" customWidth="1"/>
    <col min="2" max="2" width="52.83203125" style="74" customWidth="1"/>
    <col min="3" max="3" width="10.1640625" style="83" customWidth="1"/>
    <col min="4" max="4" width="12.1640625" style="83" customWidth="1"/>
    <col min="5" max="5" width="8.6640625" style="83" customWidth="1"/>
    <col min="6" max="6" width="11.5" style="74" customWidth="1"/>
    <col min="7" max="7" width="13.5" style="74" customWidth="1"/>
    <col min="8" max="8" width="14.33203125" style="74" customWidth="1"/>
    <col min="9" max="9" width="14.6640625" style="74" customWidth="1"/>
    <col min="10" max="10" width="11.6640625" style="74" customWidth="1"/>
    <col min="11" max="11" width="12.5" style="81" customWidth="1"/>
    <col min="12" max="12" width="13" style="81" customWidth="1"/>
    <col min="13" max="13" width="11.1640625" style="81" customWidth="1"/>
    <col min="14" max="14" width="12.33203125" style="81" customWidth="1"/>
    <col min="15" max="15" width="9.33203125" style="74" customWidth="1"/>
    <col min="16" max="16" width="21.5" style="74" customWidth="1"/>
    <col min="17" max="17" width="11.1640625" style="74" customWidth="1"/>
    <col min="18" max="18" width="8.33203125" style="118" customWidth="1"/>
    <col min="19" max="19" width="17.33203125" style="74" customWidth="1"/>
    <col min="20" max="20" width="10.5" style="74" customWidth="1"/>
    <col min="21" max="21" width="23.5" style="74" customWidth="1"/>
    <col min="22" max="22" width="22" style="74" customWidth="1"/>
    <col min="23" max="23" width="11.5" style="74" customWidth="1"/>
    <col min="24" max="24" width="11.6640625" style="103" customWidth="1"/>
    <col min="25" max="26" width="9.33203125" style="103" customWidth="1"/>
    <col min="27" max="27" width="9.83203125" style="103" customWidth="1"/>
    <col min="28" max="28" width="9.33203125" style="103" customWidth="1"/>
    <col min="29" max="29" width="9.33203125" style="103"/>
    <col min="30" max="30" width="11.6640625" style="103" bestFit="1" customWidth="1"/>
    <col min="31" max="31" width="12.33203125" style="103" customWidth="1"/>
    <col min="32" max="32" width="11.1640625" style="103" bestFit="1" customWidth="1"/>
    <col min="33" max="39" width="9.33203125" style="103"/>
    <col min="40" max="16384" width="9.33203125" style="74"/>
  </cols>
  <sheetData>
    <row r="1" spans="1:39" ht="15.75" x14ac:dyDescent="0.2">
      <c r="A1" s="903" t="s">
        <v>719</v>
      </c>
      <c r="B1" s="903"/>
      <c r="C1" s="903"/>
      <c r="D1" s="903"/>
      <c r="E1" s="903"/>
      <c r="F1" s="903"/>
      <c r="G1" s="903"/>
      <c r="H1" s="903"/>
      <c r="I1" s="903"/>
      <c r="J1" s="903"/>
      <c r="K1" s="903"/>
      <c r="L1" s="903"/>
      <c r="M1" s="903"/>
      <c r="N1" s="903"/>
      <c r="O1" s="903"/>
      <c r="P1" s="117"/>
      <c r="Q1" s="117"/>
      <c r="U1" s="77"/>
    </row>
    <row r="2" spans="1:39" ht="18.600000000000001" customHeight="1" x14ac:dyDescent="0.2">
      <c r="A2" s="880" t="s">
        <v>686</v>
      </c>
      <c r="B2" s="880"/>
      <c r="C2" s="880"/>
      <c r="D2" s="880"/>
      <c r="E2" s="880"/>
      <c r="F2" s="880"/>
      <c r="G2" s="880"/>
      <c r="H2" s="880"/>
      <c r="I2" s="880"/>
      <c r="J2" s="880"/>
      <c r="K2" s="880"/>
      <c r="L2" s="880"/>
      <c r="M2" s="880"/>
      <c r="N2" s="880"/>
      <c r="O2" s="880"/>
      <c r="P2" s="172"/>
      <c r="Q2" s="172"/>
      <c r="U2" s="733">
        <v>23046.078000000001</v>
      </c>
      <c r="V2" s="143">
        <f>J8+U2</f>
        <v>380193.57999999996</v>
      </c>
    </row>
    <row r="3" spans="1:39" ht="17.25" customHeight="1" x14ac:dyDescent="0.2">
      <c r="A3" s="881" t="s">
        <v>724</v>
      </c>
      <c r="B3" s="881"/>
      <c r="C3" s="881"/>
      <c r="D3" s="881"/>
      <c r="E3" s="881"/>
      <c r="F3" s="881"/>
      <c r="G3" s="881"/>
      <c r="H3" s="881"/>
      <c r="I3" s="881"/>
      <c r="J3" s="881"/>
      <c r="K3" s="881"/>
      <c r="L3" s="881"/>
      <c r="M3" s="881"/>
      <c r="N3" s="881"/>
      <c r="O3" s="881"/>
      <c r="P3" s="173"/>
      <c r="Q3" s="173"/>
      <c r="R3" s="119"/>
      <c r="U3" s="74">
        <v>1506</v>
      </c>
      <c r="V3" s="732">
        <f>U3+U4</f>
        <v>3935</v>
      </c>
    </row>
    <row r="4" spans="1:39" ht="21.75" customHeight="1" x14ac:dyDescent="0.2">
      <c r="A4" s="78"/>
      <c r="B4" s="78"/>
      <c r="C4" s="78"/>
      <c r="D4" s="78"/>
      <c r="E4" s="78"/>
      <c r="F4" s="78"/>
      <c r="G4" s="78"/>
      <c r="H4" s="78"/>
      <c r="I4" s="78"/>
      <c r="J4" s="78"/>
      <c r="K4" s="78"/>
      <c r="L4" s="879" t="s">
        <v>109</v>
      </c>
      <c r="M4" s="879"/>
      <c r="N4" s="879"/>
      <c r="O4" s="879"/>
      <c r="P4" s="120"/>
      <c r="Q4" s="120"/>
      <c r="R4" s="119"/>
      <c r="U4" s="74">
        <v>2429</v>
      </c>
      <c r="V4" s="77">
        <f>J8-V3</f>
        <v>353212.50199999998</v>
      </c>
    </row>
    <row r="5" spans="1:39" ht="31.15" customHeight="1" x14ac:dyDescent="0.2">
      <c r="A5" s="901" t="s">
        <v>84</v>
      </c>
      <c r="B5" s="901" t="s">
        <v>85</v>
      </c>
      <c r="C5" s="902" t="s">
        <v>133</v>
      </c>
      <c r="D5" s="902" t="s">
        <v>134</v>
      </c>
      <c r="E5" s="902" t="s">
        <v>135</v>
      </c>
      <c r="F5" s="901" t="s">
        <v>86</v>
      </c>
      <c r="G5" s="901"/>
      <c r="H5" s="901" t="s">
        <v>662</v>
      </c>
      <c r="I5" s="901" t="s">
        <v>663</v>
      </c>
      <c r="J5" s="901"/>
      <c r="K5" s="900" t="s">
        <v>578</v>
      </c>
      <c r="L5" s="900"/>
      <c r="M5" s="901" t="s">
        <v>684</v>
      </c>
      <c r="N5" s="901" t="s">
        <v>579</v>
      </c>
      <c r="O5" s="901" t="s">
        <v>88</v>
      </c>
      <c r="P5" s="121"/>
      <c r="Q5" s="121"/>
      <c r="S5" s="898" t="s">
        <v>267</v>
      </c>
      <c r="T5" s="122">
        <f>92/173%</f>
        <v>53.179190751445084</v>
      </c>
      <c r="U5" s="899" t="s">
        <v>106</v>
      </c>
      <c r="W5" s="734">
        <f>J97-V3</f>
        <v>133704</v>
      </c>
    </row>
    <row r="6" spans="1:39" ht="18.75" customHeight="1" x14ac:dyDescent="0.2">
      <c r="A6" s="901"/>
      <c r="B6" s="901"/>
      <c r="C6" s="902"/>
      <c r="D6" s="902"/>
      <c r="E6" s="902"/>
      <c r="F6" s="901" t="s">
        <v>89</v>
      </c>
      <c r="G6" s="901" t="s">
        <v>90</v>
      </c>
      <c r="H6" s="901"/>
      <c r="I6" s="901" t="s">
        <v>664</v>
      </c>
      <c r="J6" s="901" t="s">
        <v>414</v>
      </c>
      <c r="K6" s="900" t="s">
        <v>23</v>
      </c>
      <c r="L6" s="900" t="s">
        <v>132</v>
      </c>
      <c r="M6" s="901"/>
      <c r="N6" s="901"/>
      <c r="O6" s="901"/>
      <c r="P6" s="121"/>
      <c r="Q6" s="121"/>
      <c r="S6" s="898"/>
      <c r="U6" s="899"/>
      <c r="W6" s="734">
        <f>J152-V3</f>
        <v>87340</v>
      </c>
    </row>
    <row r="7" spans="1:39" ht="39" customHeight="1" x14ac:dyDescent="0.2">
      <c r="A7" s="901"/>
      <c r="B7" s="901"/>
      <c r="C7" s="902"/>
      <c r="D7" s="902"/>
      <c r="E7" s="902"/>
      <c r="F7" s="901"/>
      <c r="G7" s="901"/>
      <c r="H7" s="901"/>
      <c r="I7" s="901"/>
      <c r="J7" s="901"/>
      <c r="K7" s="900"/>
      <c r="L7" s="900"/>
      <c r="M7" s="901"/>
      <c r="N7" s="901"/>
      <c r="O7" s="901"/>
      <c r="P7" s="121"/>
      <c r="Q7" s="121"/>
      <c r="R7" s="123">
        <f>I8+1813</f>
        <v>877198.3</v>
      </c>
      <c r="S7" s="898"/>
      <c r="U7" s="899"/>
    </row>
    <row r="8" spans="1:39" ht="21" customHeight="1" x14ac:dyDescent="0.2">
      <c r="A8" s="742"/>
      <c r="B8" s="664" t="s">
        <v>23</v>
      </c>
      <c r="C8" s="664"/>
      <c r="D8" s="664"/>
      <c r="E8" s="664"/>
      <c r="F8" s="742"/>
      <c r="G8" s="665">
        <f>G9+G20+G97</f>
        <v>1894475.7960000001</v>
      </c>
      <c r="H8" s="665">
        <f t="shared" ref="H8:N8" si="0">H9+H20+H97</f>
        <v>1353334.2960000001</v>
      </c>
      <c r="I8" s="665">
        <f t="shared" si="0"/>
        <v>875385.3</v>
      </c>
      <c r="J8" s="665">
        <f t="shared" si="0"/>
        <v>357147.50199999998</v>
      </c>
      <c r="K8" s="665">
        <f t="shared" si="0"/>
        <v>355641.50199999998</v>
      </c>
      <c r="L8" s="665">
        <f t="shared" si="0"/>
        <v>355641.50199999998</v>
      </c>
      <c r="M8" s="665">
        <f t="shared" si="0"/>
        <v>585848.30099999998</v>
      </c>
      <c r="N8" s="665">
        <f t="shared" si="0"/>
        <v>362917.60100000002</v>
      </c>
      <c r="O8" s="854"/>
      <c r="P8" s="124"/>
      <c r="Q8" s="124"/>
      <c r="T8" s="125" t="e">
        <f>#REF!-31.84</f>
        <v>#REF!</v>
      </c>
      <c r="V8" s="77">
        <f>I8+66627</f>
        <v>942012.3</v>
      </c>
      <c r="W8" s="126">
        <f>800+45808+43818</f>
        <v>90426</v>
      </c>
    </row>
    <row r="9" spans="1:39" ht="21" customHeight="1" x14ac:dyDescent="0.2">
      <c r="A9" s="743" t="s">
        <v>24</v>
      </c>
      <c r="B9" s="744" t="str">
        <f>'Bieu CKGN (ko in)'!B9</f>
        <v>Nguồn vốn NSTW</v>
      </c>
      <c r="C9" s="744"/>
      <c r="D9" s="744"/>
      <c r="E9" s="744"/>
      <c r="F9" s="745"/>
      <c r="G9" s="746">
        <f>G10+G11+G12+G15+G18</f>
        <v>669000</v>
      </c>
      <c r="H9" s="746">
        <f t="shared" ref="H9:N9" si="1">H10+H11+H12+H15+H18</f>
        <v>584000</v>
      </c>
      <c r="I9" s="746">
        <f t="shared" si="1"/>
        <v>453285</v>
      </c>
      <c r="J9" s="746">
        <f t="shared" si="1"/>
        <v>159823</v>
      </c>
      <c r="K9" s="746">
        <f t="shared" si="1"/>
        <v>159823</v>
      </c>
      <c r="L9" s="746">
        <f t="shared" si="1"/>
        <v>159823</v>
      </c>
      <c r="M9" s="746">
        <f t="shared" si="1"/>
        <v>215715</v>
      </c>
      <c r="N9" s="746">
        <f t="shared" si="1"/>
        <v>98965</v>
      </c>
      <c r="O9" s="855"/>
      <c r="P9" s="83"/>
      <c r="Q9" s="83"/>
    </row>
    <row r="10" spans="1:39" s="82" customFormat="1" ht="30" x14ac:dyDescent="0.2">
      <c r="A10" s="747" t="s">
        <v>28</v>
      </c>
      <c r="B10" s="748" t="s">
        <v>29</v>
      </c>
      <c r="C10" s="806"/>
      <c r="D10" s="806"/>
      <c r="E10" s="806"/>
      <c r="F10" s="807"/>
      <c r="G10" s="749"/>
      <c r="H10" s="749"/>
      <c r="I10" s="749"/>
      <c r="J10" s="749"/>
      <c r="K10" s="750"/>
      <c r="L10" s="750"/>
      <c r="M10" s="750"/>
      <c r="N10" s="750"/>
      <c r="O10" s="807"/>
      <c r="P10" s="129"/>
      <c r="Q10" s="129"/>
      <c r="R10" s="119"/>
      <c r="X10" s="112"/>
      <c r="Y10" s="112"/>
      <c r="Z10" s="112"/>
      <c r="AA10" s="112"/>
      <c r="AB10" s="112"/>
      <c r="AC10" s="112"/>
      <c r="AD10" s="112"/>
      <c r="AE10" s="112"/>
      <c r="AF10" s="112"/>
      <c r="AG10" s="112"/>
      <c r="AH10" s="112"/>
      <c r="AI10" s="112"/>
      <c r="AJ10" s="112"/>
      <c r="AK10" s="112"/>
      <c r="AL10" s="112"/>
      <c r="AM10" s="112"/>
    </row>
    <row r="11" spans="1:39" s="82" customFormat="1" ht="15" x14ac:dyDescent="0.2">
      <c r="A11" s="204" t="s">
        <v>30</v>
      </c>
      <c r="B11" s="307" t="s">
        <v>31</v>
      </c>
      <c r="C11" s="682"/>
      <c r="D11" s="682"/>
      <c r="E11" s="682"/>
      <c r="F11" s="692"/>
      <c r="G11" s="308"/>
      <c r="H11" s="308"/>
      <c r="I11" s="308"/>
      <c r="J11" s="308"/>
      <c r="K11" s="309"/>
      <c r="L11" s="309"/>
      <c r="M11" s="309"/>
      <c r="N11" s="309"/>
      <c r="O11" s="692"/>
      <c r="P11" s="129"/>
      <c r="Q11" s="129"/>
      <c r="R11" s="119"/>
      <c r="T11" s="130" t="e">
        <f>#REF!+#REF!</f>
        <v>#REF!</v>
      </c>
      <c r="V11" s="130" t="e">
        <f>#REF!+#REF!</f>
        <v>#REF!</v>
      </c>
      <c r="W11" s="131" t="e">
        <f>V11/T11*100</f>
        <v>#REF!</v>
      </c>
      <c r="X11" s="112"/>
      <c r="Y11" s="112"/>
      <c r="Z11" s="112"/>
      <c r="AA11" s="112"/>
      <c r="AB11" s="112"/>
      <c r="AC11" s="112"/>
      <c r="AD11" s="112"/>
      <c r="AE11" s="112"/>
      <c r="AF11" s="112"/>
      <c r="AG11" s="112"/>
      <c r="AH11" s="112"/>
      <c r="AI11" s="112"/>
      <c r="AJ11" s="112"/>
      <c r="AK11" s="112"/>
      <c r="AL11" s="112"/>
      <c r="AM11" s="112"/>
    </row>
    <row r="12" spans="1:39" s="85" customFormat="1" ht="40.5" x14ac:dyDescent="0.2">
      <c r="A12" s="204" t="s">
        <v>32</v>
      </c>
      <c r="B12" s="307" t="s">
        <v>416</v>
      </c>
      <c r="C12" s="682"/>
      <c r="D12" s="682"/>
      <c r="E12" s="682"/>
      <c r="F12" s="682"/>
      <c r="G12" s="311">
        <f>SUM(G13:G14)</f>
        <v>244000</v>
      </c>
      <c r="H12" s="311">
        <f t="shared" ref="H12:J12" si="2">SUM(H13:H14)</f>
        <v>229000</v>
      </c>
      <c r="I12" s="311">
        <f t="shared" si="2"/>
        <v>244000</v>
      </c>
      <c r="J12" s="311">
        <f t="shared" si="2"/>
        <v>77923</v>
      </c>
      <c r="K12" s="311">
        <f t="shared" ref="K12:N12" si="3">SUM(K13:K14)</f>
        <v>77923</v>
      </c>
      <c r="L12" s="311">
        <f t="shared" si="3"/>
        <v>77923</v>
      </c>
      <c r="M12" s="311">
        <f t="shared" si="3"/>
        <v>0</v>
      </c>
      <c r="N12" s="311">
        <f t="shared" si="3"/>
        <v>0</v>
      </c>
      <c r="O12" s="682"/>
      <c r="P12" s="132"/>
      <c r="Q12" s="132"/>
      <c r="R12" s="119"/>
      <c r="X12" s="113"/>
      <c r="Y12" s="113"/>
      <c r="Z12" s="113"/>
      <c r="AA12" s="113"/>
      <c r="AB12" s="113"/>
      <c r="AC12" s="113"/>
      <c r="AD12" s="377" t="s">
        <v>411</v>
      </c>
      <c r="AE12" s="113"/>
      <c r="AF12" s="113" t="s">
        <v>412</v>
      </c>
      <c r="AG12" s="113"/>
      <c r="AH12" s="113" t="s">
        <v>413</v>
      </c>
      <c r="AI12" s="113"/>
      <c r="AJ12" s="113"/>
      <c r="AK12" s="113"/>
      <c r="AL12" s="895" t="s">
        <v>574</v>
      </c>
      <c r="AM12" s="895"/>
    </row>
    <row r="13" spans="1:39" ht="60" x14ac:dyDescent="0.2">
      <c r="A13" s="219">
        <f>'Bieu CKGN (ko in)'!A13</f>
        <v>1</v>
      </c>
      <c r="B13" s="242" t="str">
        <f>'Bieu CKGN (ko in)'!B13</f>
        <v>Sắp xếp ổn định các điểm dân cư: Mò Lò, Sa Thàng xã Mù Cả, điểm Nậm Kha Á, Pà Khà, U Na1-2, Tia Ma Mủ, Pa Tết xã Tà Tổng, huyện Mường Tè;</v>
      </c>
      <c r="C13" s="671" t="s">
        <v>137</v>
      </c>
      <c r="D13" s="672"/>
      <c r="E13" s="672" t="s">
        <v>158</v>
      </c>
      <c r="F13" s="672" t="str">
        <f>'Bieu CKGN (ko in)'!C13</f>
        <v>1734-04/12/2020</v>
      </c>
      <c r="G13" s="314">
        <f>'Bieu CKGN (ko in)'!D13</f>
        <v>164000</v>
      </c>
      <c r="H13" s="314">
        <v>149000</v>
      </c>
      <c r="I13" s="314">
        <f>15000+7702+89000+J13</f>
        <v>164000</v>
      </c>
      <c r="J13" s="314">
        <v>52298</v>
      </c>
      <c r="K13" s="230">
        <v>52298</v>
      </c>
      <c r="L13" s="230">
        <v>52298</v>
      </c>
      <c r="M13" s="230">
        <f>G13-I13</f>
        <v>0</v>
      </c>
      <c r="N13" s="230"/>
      <c r="O13" s="672"/>
      <c r="P13" s="83"/>
      <c r="Q13" s="83"/>
      <c r="R13" s="118" t="s">
        <v>122</v>
      </c>
      <c r="S13" s="133" t="s">
        <v>268</v>
      </c>
      <c r="T13" s="134"/>
      <c r="V13" s="74">
        <v>27097</v>
      </c>
      <c r="W13" s="135" t="e">
        <f>V13-#REF!</f>
        <v>#REF!</v>
      </c>
      <c r="X13" s="365" t="e">
        <f>#REF!-8654</f>
        <v>#REF!</v>
      </c>
      <c r="AD13" s="365" t="e">
        <f>I13-#REF!</f>
        <v>#REF!</v>
      </c>
      <c r="AE13" s="365" t="e">
        <f>#REF!-#REF!</f>
        <v>#REF!</v>
      </c>
      <c r="AF13" s="366">
        <v>113000</v>
      </c>
      <c r="AG13" s="103">
        <v>17613</v>
      </c>
      <c r="AH13" s="365">
        <f>AF13-AG13</f>
        <v>95387</v>
      </c>
      <c r="AL13" s="103">
        <v>122900</v>
      </c>
      <c r="AM13" s="103">
        <v>9900</v>
      </c>
    </row>
    <row r="14" spans="1:39" ht="24" x14ac:dyDescent="0.2">
      <c r="A14" s="219">
        <f>'Bieu CKGN (ko in)'!A14</f>
        <v>2</v>
      </c>
      <c r="B14" s="242" t="str">
        <f>'Bieu CKGN (ko in)'!B14</f>
        <v>Sắp xếp ổn định dân cư 02 xã Tà Tổng, Mù Cả</v>
      </c>
      <c r="C14" s="671" t="s">
        <v>136</v>
      </c>
      <c r="D14" s="672"/>
      <c r="E14" s="672" t="s">
        <v>158</v>
      </c>
      <c r="F14" s="672" t="str">
        <f>'Bieu CKGN (ko in)'!C14</f>
        <v>1735-04/12/2020</v>
      </c>
      <c r="G14" s="314">
        <f>'Bieu CKGN (ko in)'!D14</f>
        <v>80000</v>
      </c>
      <c r="H14" s="314">
        <v>80000</v>
      </c>
      <c r="I14" s="314">
        <f>12375+42000+J14</f>
        <v>80000</v>
      </c>
      <c r="J14" s="314">
        <v>25625</v>
      </c>
      <c r="K14" s="314">
        <v>25625</v>
      </c>
      <c r="L14" s="314">
        <v>25625</v>
      </c>
      <c r="M14" s="230">
        <f>G14-I14</f>
        <v>0</v>
      </c>
      <c r="N14" s="314"/>
      <c r="O14" s="672"/>
      <c r="P14" s="83"/>
      <c r="Q14" s="83"/>
      <c r="R14" s="118" t="s">
        <v>122</v>
      </c>
      <c r="S14" s="133" t="s">
        <v>268</v>
      </c>
      <c r="U14" s="135"/>
      <c r="V14" s="74">
        <v>26338</v>
      </c>
      <c r="W14" s="136" t="e">
        <f>#REF!-V14</f>
        <v>#REF!</v>
      </c>
      <c r="Z14" s="365">
        <f>I14</f>
        <v>80000</v>
      </c>
      <c r="AA14" s="103">
        <v>1000</v>
      </c>
      <c r="AB14" s="365">
        <f>AA14+Z14</f>
        <v>81000</v>
      </c>
      <c r="AD14" s="365" t="e">
        <f>I14-#REF!</f>
        <v>#REF!</v>
      </c>
      <c r="AE14" s="365" t="e">
        <f>#REF!-#REF!</f>
        <v>#REF!</v>
      </c>
    </row>
    <row r="15" spans="1:39" s="85" customFormat="1" ht="30" x14ac:dyDescent="0.2">
      <c r="A15" s="204" t="s">
        <v>36</v>
      </c>
      <c r="B15" s="307" t="s">
        <v>417</v>
      </c>
      <c r="C15" s="681"/>
      <c r="D15" s="682"/>
      <c r="E15" s="682"/>
      <c r="F15" s="682"/>
      <c r="G15" s="311">
        <f>SUM(G16:G17)</f>
        <v>275000</v>
      </c>
      <c r="H15" s="311">
        <f t="shared" ref="H15:J15" si="4">SUM(H16:H17)</f>
        <v>275000</v>
      </c>
      <c r="I15" s="311">
        <f t="shared" si="4"/>
        <v>209285</v>
      </c>
      <c r="J15" s="311">
        <f t="shared" si="4"/>
        <v>81900</v>
      </c>
      <c r="K15" s="311">
        <f t="shared" ref="K15:N15" si="5">SUM(K16:K17)</f>
        <v>81900</v>
      </c>
      <c r="L15" s="311">
        <f t="shared" si="5"/>
        <v>81900</v>
      </c>
      <c r="M15" s="311">
        <f t="shared" si="5"/>
        <v>65715</v>
      </c>
      <c r="N15" s="311">
        <f t="shared" si="5"/>
        <v>61465</v>
      </c>
      <c r="O15" s="682"/>
      <c r="P15" s="132"/>
      <c r="Q15" s="132"/>
      <c r="R15" s="155"/>
      <c r="S15" s="643"/>
      <c r="U15" s="718"/>
      <c r="W15" s="719"/>
      <c r="X15" s="113"/>
      <c r="Y15" s="113"/>
      <c r="Z15" s="376"/>
      <c r="AA15" s="113"/>
      <c r="AB15" s="376"/>
      <c r="AC15" s="113"/>
      <c r="AD15" s="376"/>
      <c r="AE15" s="376"/>
      <c r="AF15" s="113"/>
      <c r="AG15" s="113"/>
      <c r="AH15" s="113"/>
      <c r="AI15" s="113"/>
      <c r="AJ15" s="113"/>
      <c r="AK15" s="113"/>
      <c r="AL15" s="113"/>
      <c r="AM15" s="113"/>
    </row>
    <row r="16" spans="1:39" ht="24" x14ac:dyDescent="0.2">
      <c r="A16" s="219">
        <v>1</v>
      </c>
      <c r="B16" s="242" t="str">
        <f>'Bieu CKGN (ko in)'!B15</f>
        <v>Nâng cấp đường giao thông Nậm Lằn - Mốc 17</v>
      </c>
      <c r="C16" s="671" t="s">
        <v>138</v>
      </c>
      <c r="D16" s="672"/>
      <c r="E16" s="808" t="s">
        <v>159</v>
      </c>
      <c r="F16" s="672" t="str">
        <f>'Bieu CKGN (ko in)'!C15</f>
        <v>997-30/07/2021</v>
      </c>
      <c r="G16" s="314">
        <f>'Bieu CKGN (ko in)'!D15</f>
        <v>190000</v>
      </c>
      <c r="H16" s="314">
        <v>190000</v>
      </c>
      <c r="I16" s="314">
        <f>200+75685+J16</f>
        <v>144385</v>
      </c>
      <c r="J16" s="314">
        <v>68500</v>
      </c>
      <c r="K16" s="314">
        <v>68500</v>
      </c>
      <c r="L16" s="314">
        <v>68500</v>
      </c>
      <c r="M16" s="230">
        <f>G16-I16</f>
        <v>45615</v>
      </c>
      <c r="N16" s="314">
        <f>G16-I16</f>
        <v>45615</v>
      </c>
      <c r="O16" s="672"/>
      <c r="P16" s="83"/>
      <c r="Q16" s="83"/>
      <c r="R16" s="118" t="s">
        <v>122</v>
      </c>
      <c r="S16" s="133" t="s">
        <v>268</v>
      </c>
      <c r="V16" s="137">
        <v>60270.32</v>
      </c>
      <c r="W16" s="134" t="e">
        <f>V16-#REF!</f>
        <v>#REF!</v>
      </c>
      <c r="AD16" s="365" t="e">
        <f>I16-#REF!</f>
        <v>#REF!</v>
      </c>
      <c r="AE16" s="365" t="e">
        <f>#REF!-#REF!</f>
        <v>#REF!</v>
      </c>
      <c r="AF16" s="366">
        <v>15000</v>
      </c>
    </row>
    <row r="17" spans="1:39" s="75" customFormat="1" ht="30" x14ac:dyDescent="0.2">
      <c r="A17" s="219">
        <v>2</v>
      </c>
      <c r="B17" s="242" t="s">
        <v>120</v>
      </c>
      <c r="C17" s="671" t="s">
        <v>138</v>
      </c>
      <c r="D17" s="672"/>
      <c r="E17" s="808" t="s">
        <v>160</v>
      </c>
      <c r="F17" s="672" t="s">
        <v>121</v>
      </c>
      <c r="G17" s="314">
        <v>85000</v>
      </c>
      <c r="H17" s="314">
        <v>85000</v>
      </c>
      <c r="I17" s="314">
        <f>14500+37000+J17</f>
        <v>64900</v>
      </c>
      <c r="J17" s="314">
        <v>13400</v>
      </c>
      <c r="K17" s="314">
        <v>13400</v>
      </c>
      <c r="L17" s="314">
        <v>13400</v>
      </c>
      <c r="M17" s="230">
        <f>G17-I17</f>
        <v>20100</v>
      </c>
      <c r="N17" s="314">
        <f>G17*95%-I17</f>
        <v>15850</v>
      </c>
      <c r="O17" s="672"/>
      <c r="P17" s="83"/>
      <c r="Q17" s="83"/>
      <c r="R17" s="118" t="s">
        <v>122</v>
      </c>
      <c r="S17" s="133" t="s">
        <v>268</v>
      </c>
      <c r="V17" s="137" t="e">
        <f>W17-#REF!</f>
        <v>#REF!</v>
      </c>
      <c r="W17" s="77">
        <v>24760</v>
      </c>
      <c r="X17" s="367"/>
      <c r="Y17" s="368"/>
      <c r="Z17" s="369"/>
      <c r="AA17" s="367"/>
      <c r="AB17" s="367"/>
      <c r="AC17" s="367"/>
      <c r="AD17" s="365" t="e">
        <f>I17-#REF!</f>
        <v>#REF!</v>
      </c>
      <c r="AE17" s="365" t="e">
        <f>#REF!-#REF!</f>
        <v>#REF!</v>
      </c>
      <c r="AF17" s="367"/>
      <c r="AG17" s="103">
        <f>9000+7500+8000</f>
        <v>24500</v>
      </c>
      <c r="AH17" s="367"/>
      <c r="AI17" s="367"/>
      <c r="AJ17" s="367"/>
      <c r="AK17" s="367"/>
      <c r="AL17" s="367"/>
      <c r="AM17" s="367"/>
    </row>
    <row r="18" spans="1:39" s="85" customFormat="1" ht="15" x14ac:dyDescent="0.2">
      <c r="A18" s="204" t="s">
        <v>38</v>
      </c>
      <c r="B18" s="649" t="s">
        <v>463</v>
      </c>
      <c r="C18" s="691"/>
      <c r="D18" s="692"/>
      <c r="E18" s="809"/>
      <c r="F18" s="692"/>
      <c r="G18" s="311">
        <f>SUM(G19)</f>
        <v>150000</v>
      </c>
      <c r="H18" s="311">
        <f t="shared" ref="H18:N18" si="6">SUM(H19)</f>
        <v>80000</v>
      </c>
      <c r="I18" s="311">
        <f t="shared" si="6"/>
        <v>0</v>
      </c>
      <c r="J18" s="311">
        <f t="shared" si="6"/>
        <v>0</v>
      </c>
      <c r="K18" s="311">
        <f t="shared" si="6"/>
        <v>0</v>
      </c>
      <c r="L18" s="311">
        <f t="shared" si="6"/>
        <v>0</v>
      </c>
      <c r="M18" s="311">
        <f t="shared" si="6"/>
        <v>150000</v>
      </c>
      <c r="N18" s="311">
        <f t="shared" si="6"/>
        <v>37500</v>
      </c>
      <c r="O18" s="692"/>
      <c r="P18" s="129"/>
      <c r="Q18" s="129"/>
      <c r="R18" s="119"/>
      <c r="S18" s="144"/>
      <c r="V18" s="716"/>
      <c r="W18" s="130"/>
      <c r="X18" s="113"/>
      <c r="Y18" s="376"/>
      <c r="Z18" s="717"/>
      <c r="AA18" s="113"/>
      <c r="AB18" s="113"/>
      <c r="AC18" s="113"/>
      <c r="AD18" s="375"/>
      <c r="AE18" s="375"/>
      <c r="AF18" s="113"/>
      <c r="AG18" s="112"/>
      <c r="AH18" s="113"/>
      <c r="AI18" s="113"/>
      <c r="AJ18" s="113"/>
      <c r="AK18" s="113"/>
      <c r="AL18" s="113"/>
      <c r="AM18" s="113"/>
    </row>
    <row r="19" spans="1:39" s="399" customFormat="1" ht="30" x14ac:dyDescent="0.2">
      <c r="A19" s="219">
        <v>1</v>
      </c>
      <c r="B19" s="242" t="s">
        <v>581</v>
      </c>
      <c r="C19" s="671" t="s">
        <v>138</v>
      </c>
      <c r="D19" s="672"/>
      <c r="E19" s="808" t="s">
        <v>582</v>
      </c>
      <c r="F19" s="672"/>
      <c r="G19" s="314">
        <v>150000</v>
      </c>
      <c r="H19" s="314">
        <v>80000</v>
      </c>
      <c r="I19" s="314"/>
      <c r="J19" s="314"/>
      <c r="K19" s="314"/>
      <c r="L19" s="230"/>
      <c r="M19" s="230">
        <f>G19-I19</f>
        <v>150000</v>
      </c>
      <c r="N19" s="230">
        <f>G19*50%-37500</f>
        <v>37500</v>
      </c>
      <c r="O19" s="672"/>
      <c r="P19" s="384"/>
      <c r="Q19" s="384"/>
      <c r="R19" s="398" t="s">
        <v>123</v>
      </c>
      <c r="S19" s="133" t="s">
        <v>268</v>
      </c>
      <c r="V19" s="400"/>
      <c r="W19" s="401"/>
      <c r="X19" s="402"/>
      <c r="Y19" s="403"/>
      <c r="Z19" s="389"/>
      <c r="AA19" s="402"/>
      <c r="AB19" s="402"/>
      <c r="AC19" s="402"/>
      <c r="AD19" s="404"/>
      <c r="AE19" s="404"/>
      <c r="AF19" s="402"/>
      <c r="AG19" s="405"/>
      <c r="AH19" s="402"/>
      <c r="AI19" s="402"/>
      <c r="AJ19" s="402"/>
      <c r="AK19" s="402"/>
      <c r="AL19" s="402"/>
      <c r="AM19" s="402"/>
    </row>
    <row r="20" spans="1:39" s="399" customFormat="1" ht="24.6" customHeight="1" x14ac:dyDescent="0.2">
      <c r="A20" s="666" t="s">
        <v>26</v>
      </c>
      <c r="B20" s="301" t="s">
        <v>666</v>
      </c>
      <c r="C20" s="680"/>
      <c r="D20" s="680"/>
      <c r="E20" s="680"/>
      <c r="F20" s="810"/>
      <c r="G20" s="739">
        <f t="shared" ref="G20:L20" si="7">G21+G34</f>
        <v>650361</v>
      </c>
      <c r="H20" s="739">
        <f t="shared" si="7"/>
        <v>231502.296</v>
      </c>
      <c r="I20" s="739">
        <f t="shared" si="7"/>
        <v>128914.29999999999</v>
      </c>
      <c r="J20" s="739">
        <f t="shared" si="7"/>
        <v>59685.502</v>
      </c>
      <c r="K20" s="739">
        <f t="shared" si="7"/>
        <v>59685.502</v>
      </c>
      <c r="L20" s="739">
        <f t="shared" si="7"/>
        <v>59685.502</v>
      </c>
      <c r="M20" s="739">
        <f t="shared" ref="M20" si="8">M21+M34</f>
        <v>132946.30100000001</v>
      </c>
      <c r="N20" s="739">
        <f t="shared" ref="N20" si="9">N21+N34</f>
        <v>78376.301000000007</v>
      </c>
      <c r="O20" s="810"/>
      <c r="P20" s="384"/>
      <c r="Q20" s="384"/>
      <c r="R20" s="398"/>
      <c r="S20" s="133"/>
      <c r="V20" s="400"/>
      <c r="W20" s="401"/>
      <c r="X20" s="402"/>
      <c r="Y20" s="403"/>
      <c r="Z20" s="389"/>
      <c r="AA20" s="402"/>
      <c r="AB20" s="402"/>
      <c r="AC20" s="402"/>
      <c r="AD20" s="404"/>
      <c r="AE20" s="404"/>
      <c r="AF20" s="402"/>
      <c r="AG20" s="405"/>
      <c r="AH20" s="402"/>
      <c r="AI20" s="402"/>
      <c r="AJ20" s="402"/>
      <c r="AK20" s="402"/>
      <c r="AL20" s="402"/>
      <c r="AM20" s="402"/>
    </row>
    <row r="21" spans="1:39" s="399" customFormat="1" ht="24.6" customHeight="1" x14ac:dyDescent="0.2">
      <c r="A21" s="751" t="s">
        <v>15</v>
      </c>
      <c r="B21" s="324" t="s">
        <v>645</v>
      </c>
      <c r="C21" s="811"/>
      <c r="D21" s="812"/>
      <c r="E21" s="813"/>
      <c r="F21" s="812"/>
      <c r="G21" s="752">
        <f>G22+G28+G30+G32</f>
        <v>134270</v>
      </c>
      <c r="H21" s="752">
        <f t="shared" ref="H21:N21" si="10">H22+H28+H30+H32</f>
        <v>60497.385999999999</v>
      </c>
      <c r="I21" s="752">
        <f t="shared" si="10"/>
        <v>18018</v>
      </c>
      <c r="J21" s="752">
        <f t="shared" si="10"/>
        <v>12997.386</v>
      </c>
      <c r="K21" s="752">
        <f t="shared" si="10"/>
        <v>12997.386</v>
      </c>
      <c r="L21" s="752">
        <f t="shared" si="10"/>
        <v>12997.386</v>
      </c>
      <c r="M21" s="752">
        <f t="shared" si="10"/>
        <v>61952</v>
      </c>
      <c r="N21" s="752">
        <f t="shared" si="10"/>
        <v>28703</v>
      </c>
      <c r="O21" s="812"/>
      <c r="P21" s="384"/>
      <c r="Q21" s="384"/>
      <c r="R21" s="398"/>
      <c r="S21" s="133"/>
      <c r="V21" s="400"/>
      <c r="W21" s="401"/>
      <c r="X21" s="402"/>
      <c r="Y21" s="403"/>
      <c r="Z21" s="389"/>
      <c r="AA21" s="402"/>
      <c r="AB21" s="402"/>
      <c r="AC21" s="402"/>
      <c r="AD21" s="404"/>
      <c r="AE21" s="404"/>
      <c r="AF21" s="402"/>
      <c r="AG21" s="405"/>
      <c r="AH21" s="402"/>
      <c r="AI21" s="402"/>
      <c r="AJ21" s="402"/>
      <c r="AK21" s="402"/>
      <c r="AL21" s="402"/>
      <c r="AM21" s="402"/>
    </row>
    <row r="22" spans="1:39" s="399" customFormat="1" ht="15" x14ac:dyDescent="0.2">
      <c r="A22" s="204" t="s">
        <v>28</v>
      </c>
      <c r="B22" s="307" t="s">
        <v>34</v>
      </c>
      <c r="C22" s="682"/>
      <c r="D22" s="682"/>
      <c r="E22" s="682"/>
      <c r="F22" s="682"/>
      <c r="G22" s="311">
        <f>SUM(G23:G27)</f>
        <v>54300</v>
      </c>
      <c r="H22" s="311">
        <f t="shared" ref="H22:N22" si="11">SUM(H23:H27)</f>
        <v>527.38599999999997</v>
      </c>
      <c r="I22" s="311">
        <f t="shared" si="11"/>
        <v>0</v>
      </c>
      <c r="J22" s="311">
        <f t="shared" si="11"/>
        <v>527.38599999999997</v>
      </c>
      <c r="K22" s="311">
        <f t="shared" si="11"/>
        <v>527.38599999999997</v>
      </c>
      <c r="L22" s="311">
        <f t="shared" si="11"/>
        <v>527.38599999999997</v>
      </c>
      <c r="M22" s="311">
        <f t="shared" si="11"/>
        <v>0</v>
      </c>
      <c r="N22" s="311">
        <f t="shared" si="11"/>
        <v>0</v>
      </c>
      <c r="O22" s="672"/>
      <c r="P22" s="384"/>
      <c r="Q22" s="384"/>
      <c r="R22" s="398"/>
      <c r="S22" s="133"/>
      <c r="V22" s="400"/>
      <c r="W22" s="401"/>
      <c r="X22" s="402"/>
      <c r="Y22" s="403"/>
      <c r="Z22" s="389"/>
      <c r="AA22" s="402"/>
      <c r="AB22" s="402"/>
      <c r="AC22" s="402"/>
      <c r="AD22" s="404"/>
      <c r="AE22" s="404"/>
      <c r="AF22" s="402"/>
      <c r="AG22" s="405"/>
      <c r="AH22" s="402"/>
      <c r="AI22" s="402"/>
      <c r="AJ22" s="402"/>
      <c r="AK22" s="402"/>
      <c r="AL22" s="402"/>
      <c r="AM22" s="402"/>
    </row>
    <row r="23" spans="1:39" s="399" customFormat="1" ht="30" x14ac:dyDescent="0.2">
      <c r="A23" s="219">
        <v>1</v>
      </c>
      <c r="B23" s="242" t="s">
        <v>418</v>
      </c>
      <c r="C23" s="671" t="s">
        <v>138</v>
      </c>
      <c r="D23" s="672"/>
      <c r="E23" s="672"/>
      <c r="F23" s="672" t="s">
        <v>419</v>
      </c>
      <c r="G23" s="314">
        <v>3500</v>
      </c>
      <c r="H23" s="320">
        <v>26.625</v>
      </c>
      <c r="I23" s="320"/>
      <c r="J23" s="320">
        <v>26.625</v>
      </c>
      <c r="K23" s="320">
        <f>L23</f>
        <v>26.625</v>
      </c>
      <c r="L23" s="222">
        <v>26.625</v>
      </c>
      <c r="M23" s="230"/>
      <c r="N23" s="222"/>
      <c r="O23" s="672"/>
      <c r="P23" s="384"/>
      <c r="Q23" s="384"/>
      <c r="R23" s="398"/>
      <c r="S23" s="133"/>
      <c r="V23" s="400"/>
      <c r="W23" s="401"/>
      <c r="X23" s="402"/>
      <c r="Y23" s="403"/>
      <c r="Z23" s="389"/>
      <c r="AA23" s="402"/>
      <c r="AB23" s="402"/>
      <c r="AC23" s="402"/>
      <c r="AD23" s="404"/>
      <c r="AE23" s="404"/>
      <c r="AF23" s="402"/>
      <c r="AG23" s="405"/>
      <c r="AH23" s="402"/>
      <c r="AI23" s="402"/>
      <c r="AJ23" s="402"/>
      <c r="AK23" s="402"/>
      <c r="AL23" s="402"/>
      <c r="AM23" s="402"/>
    </row>
    <row r="24" spans="1:39" s="399" customFormat="1" ht="30" x14ac:dyDescent="0.2">
      <c r="A24" s="219">
        <v>2</v>
      </c>
      <c r="B24" s="242" t="s">
        <v>420</v>
      </c>
      <c r="C24" s="671" t="s">
        <v>143</v>
      </c>
      <c r="D24" s="672"/>
      <c r="E24" s="673"/>
      <c r="F24" s="672" t="s">
        <v>421</v>
      </c>
      <c r="G24" s="314">
        <v>9800</v>
      </c>
      <c r="H24" s="320">
        <v>201.38300000000001</v>
      </c>
      <c r="I24" s="320"/>
      <c r="J24" s="320">
        <v>201.38300000000001</v>
      </c>
      <c r="K24" s="320">
        <f t="shared" ref="K24:K31" si="12">L24</f>
        <v>201.38300000000001</v>
      </c>
      <c r="L24" s="222">
        <v>201.38300000000001</v>
      </c>
      <c r="M24" s="230"/>
      <c r="N24" s="222"/>
      <c r="O24" s="672"/>
      <c r="P24" s="384"/>
      <c r="Q24" s="384"/>
      <c r="R24" s="398"/>
      <c r="S24" s="133"/>
      <c r="V24" s="400"/>
      <c r="W24" s="401"/>
      <c r="X24" s="402"/>
      <c r="Y24" s="403"/>
      <c r="Z24" s="389"/>
      <c r="AA24" s="402"/>
      <c r="AB24" s="402"/>
      <c r="AC24" s="402"/>
      <c r="AD24" s="404"/>
      <c r="AE24" s="404"/>
      <c r="AF24" s="402"/>
      <c r="AG24" s="405"/>
      <c r="AH24" s="402"/>
      <c r="AI24" s="402"/>
      <c r="AJ24" s="402"/>
      <c r="AK24" s="402"/>
      <c r="AL24" s="402"/>
      <c r="AM24" s="402"/>
    </row>
    <row r="25" spans="1:39" s="399" customFormat="1" ht="30" x14ac:dyDescent="0.2">
      <c r="A25" s="219">
        <v>3</v>
      </c>
      <c r="B25" s="242" t="s">
        <v>422</v>
      </c>
      <c r="C25" s="671" t="s">
        <v>148</v>
      </c>
      <c r="D25" s="672"/>
      <c r="E25" s="672"/>
      <c r="F25" s="672" t="s">
        <v>423</v>
      </c>
      <c r="G25" s="314">
        <v>19700</v>
      </c>
      <c r="H25" s="320">
        <v>156.37799999999999</v>
      </c>
      <c r="I25" s="320"/>
      <c r="J25" s="320">
        <v>156.37799999999999</v>
      </c>
      <c r="K25" s="320">
        <f t="shared" si="12"/>
        <v>156.37799999999999</v>
      </c>
      <c r="L25" s="222">
        <v>156.37799999999999</v>
      </c>
      <c r="M25" s="230"/>
      <c r="N25" s="222"/>
      <c r="O25" s="672"/>
      <c r="P25" s="384"/>
      <c r="Q25" s="384"/>
      <c r="R25" s="398"/>
      <c r="S25" s="133"/>
      <c r="V25" s="400"/>
      <c r="W25" s="401"/>
      <c r="X25" s="402"/>
      <c r="Y25" s="403"/>
      <c r="Z25" s="389"/>
      <c r="AA25" s="402"/>
      <c r="AB25" s="402"/>
      <c r="AC25" s="402"/>
      <c r="AD25" s="404"/>
      <c r="AE25" s="404"/>
      <c r="AF25" s="402"/>
      <c r="AG25" s="405"/>
      <c r="AH25" s="402"/>
      <c r="AI25" s="402"/>
      <c r="AJ25" s="402"/>
      <c r="AK25" s="402"/>
      <c r="AL25" s="402"/>
      <c r="AM25" s="402"/>
    </row>
    <row r="26" spans="1:39" s="399" customFormat="1" ht="30" x14ac:dyDescent="0.2">
      <c r="A26" s="219">
        <v>4</v>
      </c>
      <c r="B26" s="242" t="s">
        <v>424</v>
      </c>
      <c r="C26" s="671" t="s">
        <v>166</v>
      </c>
      <c r="D26" s="672"/>
      <c r="E26" s="672"/>
      <c r="F26" s="672" t="s">
        <v>425</v>
      </c>
      <c r="G26" s="314">
        <v>11300</v>
      </c>
      <c r="H26" s="320">
        <v>112</v>
      </c>
      <c r="I26" s="320"/>
      <c r="J26" s="320">
        <v>112</v>
      </c>
      <c r="K26" s="320">
        <f t="shared" si="12"/>
        <v>112</v>
      </c>
      <c r="L26" s="222">
        <v>112</v>
      </c>
      <c r="M26" s="230"/>
      <c r="N26" s="222"/>
      <c r="O26" s="672"/>
      <c r="P26" s="384"/>
      <c r="Q26" s="384"/>
      <c r="R26" s="398"/>
      <c r="S26" s="133"/>
      <c r="V26" s="400"/>
      <c r="W26" s="401"/>
      <c r="X26" s="402"/>
      <c r="Y26" s="403"/>
      <c r="Z26" s="389"/>
      <c r="AA26" s="402"/>
      <c r="AB26" s="402"/>
      <c r="AC26" s="402"/>
      <c r="AD26" s="404"/>
      <c r="AE26" s="404"/>
      <c r="AF26" s="402"/>
      <c r="AG26" s="405"/>
      <c r="AH26" s="402"/>
      <c r="AI26" s="402"/>
      <c r="AJ26" s="402"/>
      <c r="AK26" s="402"/>
      <c r="AL26" s="402"/>
      <c r="AM26" s="402"/>
    </row>
    <row r="27" spans="1:39" s="399" customFormat="1" ht="45" x14ac:dyDescent="0.2">
      <c r="A27" s="219">
        <v>5</v>
      </c>
      <c r="B27" s="242" t="s">
        <v>426</v>
      </c>
      <c r="C27" s="671" t="s">
        <v>226</v>
      </c>
      <c r="D27" s="672"/>
      <c r="E27" s="672"/>
      <c r="F27" s="672" t="s">
        <v>427</v>
      </c>
      <c r="G27" s="314">
        <v>10000</v>
      </c>
      <c r="H27" s="320">
        <v>31</v>
      </c>
      <c r="I27" s="320"/>
      <c r="J27" s="320">
        <v>31</v>
      </c>
      <c r="K27" s="320">
        <f t="shared" si="12"/>
        <v>31</v>
      </c>
      <c r="L27" s="222">
        <v>31</v>
      </c>
      <c r="M27" s="230"/>
      <c r="N27" s="213"/>
      <c r="O27" s="672"/>
      <c r="P27" s="384"/>
      <c r="Q27" s="384"/>
      <c r="R27" s="398"/>
      <c r="S27" s="133"/>
      <c r="V27" s="400"/>
      <c r="W27" s="401"/>
      <c r="X27" s="402"/>
      <c r="Y27" s="403"/>
      <c r="Z27" s="389"/>
      <c r="AA27" s="402"/>
      <c r="AB27" s="402"/>
      <c r="AC27" s="402"/>
      <c r="AD27" s="404"/>
      <c r="AE27" s="404"/>
      <c r="AF27" s="402"/>
      <c r="AG27" s="405"/>
      <c r="AH27" s="402"/>
      <c r="AI27" s="402"/>
      <c r="AJ27" s="402"/>
      <c r="AK27" s="402"/>
      <c r="AL27" s="402"/>
      <c r="AM27" s="402"/>
    </row>
    <row r="28" spans="1:39" s="399" customFormat="1" ht="15" x14ac:dyDescent="0.2">
      <c r="A28" s="204" t="s">
        <v>30</v>
      </c>
      <c r="B28" s="307" t="s">
        <v>428</v>
      </c>
      <c r="C28" s="682"/>
      <c r="D28" s="682"/>
      <c r="E28" s="682"/>
      <c r="F28" s="692"/>
      <c r="G28" s="311">
        <f>SUM(G29)</f>
        <v>14990</v>
      </c>
      <c r="H28" s="311">
        <f t="shared" ref="H28:N28" si="13">SUM(H29)</f>
        <v>14990</v>
      </c>
      <c r="I28" s="311">
        <f t="shared" si="13"/>
        <v>10268</v>
      </c>
      <c r="J28" s="311">
        <f t="shared" si="13"/>
        <v>4720</v>
      </c>
      <c r="K28" s="311">
        <f t="shared" si="13"/>
        <v>4720</v>
      </c>
      <c r="L28" s="311">
        <f t="shared" si="13"/>
        <v>4720</v>
      </c>
      <c r="M28" s="311">
        <f t="shared" si="13"/>
        <v>4722</v>
      </c>
      <c r="N28" s="311">
        <f t="shared" si="13"/>
        <v>4722</v>
      </c>
      <c r="O28" s="672"/>
      <c r="P28" s="384"/>
      <c r="Q28" s="384"/>
      <c r="R28" s="398"/>
      <c r="S28" s="133"/>
      <c r="V28" s="400"/>
      <c r="W28" s="401"/>
      <c r="X28" s="402"/>
      <c r="Y28" s="403"/>
      <c r="Z28" s="389"/>
      <c r="AA28" s="402"/>
      <c r="AB28" s="402"/>
      <c r="AC28" s="402"/>
      <c r="AD28" s="404"/>
      <c r="AE28" s="404"/>
      <c r="AF28" s="402"/>
      <c r="AG28" s="405"/>
      <c r="AH28" s="402"/>
      <c r="AI28" s="402"/>
      <c r="AJ28" s="402"/>
      <c r="AK28" s="402"/>
      <c r="AL28" s="402"/>
      <c r="AM28" s="402"/>
    </row>
    <row r="29" spans="1:39" s="399" customFormat="1" ht="30" x14ac:dyDescent="0.2">
      <c r="A29" s="240">
        <v>1</v>
      </c>
      <c r="B29" s="184" t="s">
        <v>13</v>
      </c>
      <c r="C29" s="674" t="s">
        <v>142</v>
      </c>
      <c r="D29" s="674"/>
      <c r="E29" s="674" t="s">
        <v>179</v>
      </c>
      <c r="F29" s="674" t="s">
        <v>22</v>
      </c>
      <c r="G29" s="224">
        <v>14990</v>
      </c>
      <c r="H29" s="314">
        <v>14990</v>
      </c>
      <c r="I29" s="224">
        <f>5548+J29</f>
        <v>10268</v>
      </c>
      <c r="J29" s="314">
        <v>4720</v>
      </c>
      <c r="K29" s="314">
        <f t="shared" si="12"/>
        <v>4720</v>
      </c>
      <c r="L29" s="230">
        <v>4720</v>
      </c>
      <c r="M29" s="230">
        <f>G29-I29</f>
        <v>4722</v>
      </c>
      <c r="N29" s="230">
        <f>G29-I29</f>
        <v>4722</v>
      </c>
      <c r="O29" s="672"/>
      <c r="P29" s="384"/>
      <c r="Q29" s="384"/>
      <c r="R29" s="398"/>
      <c r="S29" s="133"/>
      <c r="V29" s="400"/>
      <c r="W29" s="401"/>
      <c r="X29" s="402"/>
      <c r="Y29" s="403"/>
      <c r="Z29" s="389"/>
      <c r="AA29" s="402"/>
      <c r="AB29" s="402"/>
      <c r="AC29" s="402"/>
      <c r="AD29" s="404"/>
      <c r="AE29" s="404"/>
      <c r="AF29" s="402"/>
      <c r="AG29" s="405"/>
      <c r="AH29" s="402"/>
      <c r="AI29" s="402"/>
      <c r="AJ29" s="402"/>
      <c r="AK29" s="402"/>
      <c r="AL29" s="402"/>
      <c r="AM29" s="402"/>
    </row>
    <row r="30" spans="1:39" s="399" customFormat="1" ht="15" x14ac:dyDescent="0.2">
      <c r="A30" s="205" t="s">
        <v>32</v>
      </c>
      <c r="B30" s="307" t="s">
        <v>463</v>
      </c>
      <c r="C30" s="674"/>
      <c r="D30" s="674"/>
      <c r="E30" s="674"/>
      <c r="F30" s="674"/>
      <c r="G30" s="311">
        <f>SUM(G31)</f>
        <v>14980</v>
      </c>
      <c r="H30" s="311">
        <f t="shared" ref="H30:N30" si="14">SUM(H31)</f>
        <v>14980</v>
      </c>
      <c r="I30" s="311">
        <f t="shared" si="14"/>
        <v>7750</v>
      </c>
      <c r="J30" s="311">
        <f t="shared" si="14"/>
        <v>7750</v>
      </c>
      <c r="K30" s="311">
        <f t="shared" si="14"/>
        <v>7750</v>
      </c>
      <c r="L30" s="311">
        <f t="shared" si="14"/>
        <v>7750</v>
      </c>
      <c r="M30" s="311">
        <f t="shared" si="14"/>
        <v>7230</v>
      </c>
      <c r="N30" s="311">
        <f t="shared" si="14"/>
        <v>6481</v>
      </c>
      <c r="O30" s="672"/>
      <c r="P30" s="384"/>
      <c r="Q30" s="384"/>
      <c r="R30" s="398"/>
      <c r="S30" s="133"/>
      <c r="V30" s="400"/>
      <c r="W30" s="401"/>
      <c r="X30" s="402"/>
      <c r="Y30" s="403"/>
      <c r="Z30" s="389"/>
      <c r="AA30" s="402"/>
      <c r="AB30" s="402"/>
      <c r="AC30" s="402"/>
      <c r="AD30" s="404"/>
      <c r="AE30" s="404"/>
      <c r="AF30" s="402"/>
      <c r="AG30" s="405"/>
      <c r="AH30" s="402"/>
      <c r="AI30" s="402"/>
      <c r="AJ30" s="402"/>
      <c r="AK30" s="402"/>
      <c r="AL30" s="402"/>
      <c r="AM30" s="402"/>
    </row>
    <row r="31" spans="1:39" s="399" customFormat="1" ht="30" x14ac:dyDescent="0.2">
      <c r="A31" s="240">
        <v>2</v>
      </c>
      <c r="B31" s="184" t="s">
        <v>532</v>
      </c>
      <c r="C31" s="674" t="s">
        <v>142</v>
      </c>
      <c r="D31" s="674"/>
      <c r="E31" s="674" t="s">
        <v>466</v>
      </c>
      <c r="F31" s="674" t="s">
        <v>687</v>
      </c>
      <c r="G31" s="224">
        <v>14980</v>
      </c>
      <c r="H31" s="314">
        <v>14980</v>
      </c>
      <c r="I31" s="314">
        <f>J31</f>
        <v>7750</v>
      </c>
      <c r="J31" s="314">
        <v>7750</v>
      </c>
      <c r="K31" s="314">
        <f t="shared" si="12"/>
        <v>7750</v>
      </c>
      <c r="L31" s="230">
        <v>7750</v>
      </c>
      <c r="M31" s="230">
        <f>G31-I31</f>
        <v>7230</v>
      </c>
      <c r="N31" s="230">
        <f>G31*95%-I31</f>
        <v>6481</v>
      </c>
      <c r="O31" s="672"/>
      <c r="P31" s="384"/>
      <c r="Q31" s="384"/>
      <c r="R31" s="398"/>
      <c r="S31" s="133"/>
      <c r="V31" s="400"/>
      <c r="W31" s="401"/>
      <c r="X31" s="402"/>
      <c r="Y31" s="403"/>
      <c r="Z31" s="389"/>
      <c r="AA31" s="402"/>
      <c r="AB31" s="402"/>
      <c r="AC31" s="402"/>
      <c r="AD31" s="404"/>
      <c r="AE31" s="404"/>
      <c r="AF31" s="402"/>
      <c r="AG31" s="405"/>
      <c r="AH31" s="402"/>
      <c r="AI31" s="402"/>
      <c r="AJ31" s="402"/>
      <c r="AK31" s="402"/>
      <c r="AL31" s="402"/>
      <c r="AM31" s="402"/>
    </row>
    <row r="32" spans="1:39" s="708" customFormat="1" ht="15" x14ac:dyDescent="0.2">
      <c r="A32" s="753" t="s">
        <v>36</v>
      </c>
      <c r="B32" s="754" t="s">
        <v>583</v>
      </c>
      <c r="C32" s="814"/>
      <c r="D32" s="814"/>
      <c r="E32" s="814"/>
      <c r="F32" s="814"/>
      <c r="G32" s="756">
        <f>SUM(G33)</f>
        <v>50000</v>
      </c>
      <c r="H32" s="756">
        <f t="shared" ref="H32:N32" si="15">SUM(H33)</f>
        <v>30000</v>
      </c>
      <c r="I32" s="756">
        <f t="shared" si="15"/>
        <v>0</v>
      </c>
      <c r="J32" s="756">
        <f t="shared" si="15"/>
        <v>0</v>
      </c>
      <c r="K32" s="756">
        <f t="shared" si="15"/>
        <v>0</v>
      </c>
      <c r="L32" s="756">
        <f t="shared" si="15"/>
        <v>0</v>
      </c>
      <c r="M32" s="756">
        <f t="shared" si="15"/>
        <v>50000</v>
      </c>
      <c r="N32" s="756">
        <f t="shared" si="15"/>
        <v>17500</v>
      </c>
      <c r="O32" s="827"/>
      <c r="P32" s="705"/>
      <c r="Q32" s="705"/>
      <c r="R32" s="706"/>
      <c r="S32" s="707"/>
      <c r="V32" s="709"/>
      <c r="W32" s="710"/>
      <c r="X32" s="711"/>
      <c r="Y32" s="712"/>
      <c r="Z32" s="713"/>
      <c r="AA32" s="711"/>
      <c r="AB32" s="711"/>
      <c r="AC32" s="711"/>
      <c r="AD32" s="714"/>
      <c r="AE32" s="714"/>
      <c r="AF32" s="711"/>
      <c r="AG32" s="715"/>
      <c r="AH32" s="711"/>
      <c r="AI32" s="711"/>
      <c r="AJ32" s="711"/>
      <c r="AK32" s="711"/>
      <c r="AL32" s="711"/>
      <c r="AM32" s="711"/>
    </row>
    <row r="33" spans="1:39" s="708" customFormat="1" ht="30" x14ac:dyDescent="0.2">
      <c r="A33" s="755">
        <v>1</v>
      </c>
      <c r="B33" s="758" t="s">
        <v>584</v>
      </c>
      <c r="C33" s="814" t="s">
        <v>142</v>
      </c>
      <c r="D33" s="814"/>
      <c r="E33" s="814" t="s">
        <v>588</v>
      </c>
      <c r="F33" s="814"/>
      <c r="G33" s="759">
        <v>50000</v>
      </c>
      <c r="H33" s="760">
        <v>30000</v>
      </c>
      <c r="I33" s="760"/>
      <c r="J33" s="760"/>
      <c r="K33" s="761"/>
      <c r="L33" s="762"/>
      <c r="M33" s="763">
        <f>G33-I33</f>
        <v>50000</v>
      </c>
      <c r="N33" s="763">
        <f>G33*35%</f>
        <v>17500</v>
      </c>
      <c r="O33" s="827"/>
      <c r="P33" s="705"/>
      <c r="Q33" s="705"/>
      <c r="R33" s="706"/>
      <c r="S33" s="707"/>
      <c r="V33" s="709"/>
      <c r="W33" s="710"/>
      <c r="X33" s="711"/>
      <c r="Y33" s="712"/>
      <c r="Z33" s="713"/>
      <c r="AA33" s="711"/>
      <c r="AB33" s="711"/>
      <c r="AC33" s="711"/>
      <c r="AD33" s="714"/>
      <c r="AE33" s="714"/>
      <c r="AF33" s="711"/>
      <c r="AG33" s="715"/>
      <c r="AH33" s="711"/>
      <c r="AI33" s="711"/>
      <c r="AJ33" s="711"/>
      <c r="AK33" s="711"/>
      <c r="AL33" s="711"/>
      <c r="AM33" s="711"/>
    </row>
    <row r="34" spans="1:39" s="399" customFormat="1" ht="23.45" customHeight="1" x14ac:dyDescent="0.2">
      <c r="A34" s="751" t="s">
        <v>25</v>
      </c>
      <c r="B34" s="324" t="s">
        <v>27</v>
      </c>
      <c r="C34" s="811"/>
      <c r="D34" s="812"/>
      <c r="E34" s="813"/>
      <c r="F34" s="812"/>
      <c r="G34" s="326">
        <f t="shared" ref="G34:L34" si="16">G35+G87</f>
        <v>516091</v>
      </c>
      <c r="H34" s="326">
        <f t="shared" si="16"/>
        <v>171004.91</v>
      </c>
      <c r="I34" s="326">
        <f t="shared" si="16"/>
        <v>110896.29999999999</v>
      </c>
      <c r="J34" s="326">
        <f t="shared" si="16"/>
        <v>46688.116000000002</v>
      </c>
      <c r="K34" s="326">
        <f t="shared" si="16"/>
        <v>46688.116000000002</v>
      </c>
      <c r="L34" s="326">
        <f t="shared" si="16"/>
        <v>46688.116000000002</v>
      </c>
      <c r="M34" s="326">
        <f t="shared" ref="M34" si="17">M35+M87</f>
        <v>70994.301000000007</v>
      </c>
      <c r="N34" s="326">
        <f t="shared" ref="N34" si="18">N35+N87</f>
        <v>49673.300999999999</v>
      </c>
      <c r="O34" s="812"/>
      <c r="P34" s="384"/>
      <c r="Q34" s="384"/>
      <c r="R34" s="398"/>
      <c r="S34" s="133"/>
      <c r="V34" s="400"/>
      <c r="W34" s="401"/>
      <c r="X34" s="402"/>
      <c r="Y34" s="403"/>
      <c r="Z34" s="389"/>
      <c r="AA34" s="402"/>
      <c r="AB34" s="402"/>
      <c r="AC34" s="402"/>
      <c r="AD34" s="404"/>
      <c r="AE34" s="404"/>
      <c r="AF34" s="402"/>
      <c r="AG34" s="405"/>
      <c r="AH34" s="402"/>
      <c r="AI34" s="402"/>
      <c r="AJ34" s="402"/>
      <c r="AK34" s="402"/>
      <c r="AL34" s="402"/>
      <c r="AM34" s="402"/>
    </row>
    <row r="35" spans="1:39" s="399" customFormat="1" ht="23.45" customHeight="1" x14ac:dyDescent="0.2">
      <c r="A35" s="764" t="s">
        <v>70</v>
      </c>
      <c r="B35" s="295" t="s">
        <v>461</v>
      </c>
      <c r="C35" s="815"/>
      <c r="D35" s="815"/>
      <c r="E35" s="815"/>
      <c r="F35" s="815"/>
      <c r="G35" s="765">
        <f t="shared" ref="G35:L35" si="19">G36+G81</f>
        <v>481761</v>
      </c>
      <c r="H35" s="765">
        <f t="shared" si="19"/>
        <v>139283.91</v>
      </c>
      <c r="I35" s="765">
        <f t="shared" si="19"/>
        <v>86360.299999999988</v>
      </c>
      <c r="J35" s="765">
        <f t="shared" si="19"/>
        <v>33888.116000000002</v>
      </c>
      <c r="K35" s="765">
        <f t="shared" si="19"/>
        <v>33888.116000000002</v>
      </c>
      <c r="L35" s="765">
        <f t="shared" si="19"/>
        <v>33888.116000000002</v>
      </c>
      <c r="M35" s="765">
        <f t="shared" ref="M35" si="20">M36+M81</f>
        <v>64054.300999999999</v>
      </c>
      <c r="N35" s="765">
        <f t="shared" ref="N35" si="21">N36+N81</f>
        <v>41169.300999999999</v>
      </c>
      <c r="O35" s="815"/>
      <c r="P35" s="384"/>
      <c r="Q35" s="384"/>
      <c r="R35" s="398"/>
      <c r="S35" s="133"/>
      <c r="V35" s="400"/>
      <c r="W35" s="401"/>
      <c r="X35" s="402"/>
      <c r="Y35" s="403"/>
      <c r="Z35" s="389"/>
      <c r="AA35" s="402"/>
      <c r="AB35" s="402"/>
      <c r="AC35" s="402"/>
      <c r="AD35" s="404"/>
      <c r="AE35" s="404"/>
      <c r="AF35" s="402"/>
      <c r="AG35" s="405"/>
      <c r="AH35" s="402"/>
      <c r="AI35" s="402"/>
      <c r="AJ35" s="402"/>
      <c r="AK35" s="402"/>
      <c r="AL35" s="402"/>
      <c r="AM35" s="402"/>
    </row>
    <row r="36" spans="1:39" s="399" customFormat="1" ht="27.6" customHeight="1" x14ac:dyDescent="0.2">
      <c r="A36" s="740" t="s">
        <v>667</v>
      </c>
      <c r="B36" s="346" t="s">
        <v>668</v>
      </c>
      <c r="C36" s="816"/>
      <c r="D36" s="817"/>
      <c r="E36" s="818"/>
      <c r="F36" s="817"/>
      <c r="G36" s="347">
        <f>G37+G43+G47+G56+G60+G67+G70</f>
        <v>467809</v>
      </c>
      <c r="H36" s="347">
        <f t="shared" ref="H36:N36" si="22">H37+H43+H47+H56+H60+H67+H70</f>
        <v>125483.91</v>
      </c>
      <c r="I36" s="347">
        <f t="shared" si="22"/>
        <v>78103.299999999988</v>
      </c>
      <c r="J36" s="347">
        <f t="shared" si="22"/>
        <v>27272.116000000002</v>
      </c>
      <c r="K36" s="347">
        <f t="shared" si="22"/>
        <v>27272.116000000002</v>
      </c>
      <c r="L36" s="347">
        <f t="shared" si="22"/>
        <v>27272.116000000002</v>
      </c>
      <c r="M36" s="347">
        <f t="shared" si="22"/>
        <v>58511.300999999999</v>
      </c>
      <c r="N36" s="347">
        <f t="shared" si="22"/>
        <v>35626.300999999999</v>
      </c>
      <c r="O36" s="817"/>
      <c r="P36" s="384"/>
      <c r="Q36" s="384"/>
      <c r="R36" s="398"/>
      <c r="S36" s="133"/>
      <c r="V36" s="400"/>
      <c r="W36" s="401"/>
      <c r="X36" s="402"/>
      <c r="Y36" s="403"/>
      <c r="Z36" s="389"/>
      <c r="AA36" s="402"/>
      <c r="AB36" s="402"/>
      <c r="AC36" s="402"/>
      <c r="AD36" s="404"/>
      <c r="AE36" s="404"/>
      <c r="AF36" s="402"/>
      <c r="AG36" s="405"/>
      <c r="AH36" s="402"/>
      <c r="AI36" s="402"/>
      <c r="AJ36" s="402"/>
      <c r="AK36" s="402"/>
      <c r="AL36" s="402"/>
      <c r="AM36" s="402"/>
    </row>
    <row r="37" spans="1:39" s="399" customFormat="1" ht="23.45" customHeight="1" x14ac:dyDescent="0.2">
      <c r="A37" s="204" t="s">
        <v>28</v>
      </c>
      <c r="B37" s="307" t="s">
        <v>432</v>
      </c>
      <c r="C37" s="681"/>
      <c r="D37" s="682"/>
      <c r="E37" s="819"/>
      <c r="F37" s="682"/>
      <c r="G37" s="334">
        <f>SUM(G38:G42)</f>
        <v>294602</v>
      </c>
      <c r="H37" s="334">
        <f t="shared" ref="H37:N37" si="23">SUM(H38:H42)</f>
        <v>1188.3089999999997</v>
      </c>
      <c r="I37" s="334">
        <f t="shared" si="23"/>
        <v>0</v>
      </c>
      <c r="J37" s="334">
        <f t="shared" si="23"/>
        <v>1188.3089999999997</v>
      </c>
      <c r="K37" s="334">
        <f t="shared" si="23"/>
        <v>1188.3089999999997</v>
      </c>
      <c r="L37" s="334">
        <f t="shared" si="23"/>
        <v>1188.3089999999997</v>
      </c>
      <c r="M37" s="334">
        <f t="shared" si="23"/>
        <v>0</v>
      </c>
      <c r="N37" s="334">
        <f t="shared" si="23"/>
        <v>2500</v>
      </c>
      <c r="O37" s="672"/>
      <c r="P37" s="384"/>
      <c r="Q37" s="384"/>
      <c r="R37" s="398"/>
      <c r="S37" s="133"/>
      <c r="V37" s="400"/>
      <c r="W37" s="401"/>
      <c r="X37" s="402"/>
      <c r="Y37" s="403"/>
      <c r="Z37" s="389"/>
      <c r="AA37" s="402"/>
      <c r="AB37" s="402"/>
      <c r="AC37" s="402"/>
      <c r="AD37" s="404"/>
      <c r="AE37" s="404"/>
      <c r="AF37" s="402"/>
      <c r="AG37" s="405"/>
      <c r="AH37" s="402"/>
      <c r="AI37" s="402"/>
      <c r="AJ37" s="402"/>
      <c r="AK37" s="402"/>
      <c r="AL37" s="402"/>
      <c r="AM37" s="402"/>
    </row>
    <row r="38" spans="1:39" s="399" customFormat="1" ht="24" x14ac:dyDescent="0.2">
      <c r="A38" s="219">
        <v>1</v>
      </c>
      <c r="B38" s="242" t="s">
        <v>433</v>
      </c>
      <c r="C38" s="671" t="s">
        <v>226</v>
      </c>
      <c r="D38" s="672" t="s">
        <v>437</v>
      </c>
      <c r="E38" s="808" t="s">
        <v>439</v>
      </c>
      <c r="F38" s="672" t="s">
        <v>441</v>
      </c>
      <c r="G38" s="314">
        <v>14000</v>
      </c>
      <c r="H38" s="314">
        <v>473.98399999999998</v>
      </c>
      <c r="I38" s="314"/>
      <c r="J38" s="314">
        <v>473.98399999999998</v>
      </c>
      <c r="K38" s="314">
        <v>473.98399999999998</v>
      </c>
      <c r="L38" s="230">
        <v>473.98399999999998</v>
      </c>
      <c r="M38" s="230"/>
      <c r="N38" s="230"/>
      <c r="O38" s="672"/>
      <c r="P38" s="384"/>
      <c r="Q38" s="384"/>
      <c r="R38" s="398"/>
      <c r="S38" s="133"/>
      <c r="V38" s="400"/>
      <c r="W38" s="401"/>
      <c r="X38" s="402"/>
      <c r="Y38" s="403"/>
      <c r="Z38" s="389"/>
      <c r="AA38" s="402"/>
      <c r="AB38" s="402"/>
      <c r="AC38" s="402"/>
      <c r="AD38" s="404"/>
      <c r="AE38" s="404"/>
      <c r="AF38" s="402"/>
      <c r="AG38" s="405"/>
      <c r="AH38" s="402"/>
      <c r="AI38" s="402"/>
      <c r="AJ38" s="402"/>
      <c r="AK38" s="402"/>
      <c r="AL38" s="402"/>
      <c r="AM38" s="402"/>
    </row>
    <row r="39" spans="1:39" s="399" customFormat="1" ht="30" x14ac:dyDescent="0.2">
      <c r="A39" s="219">
        <v>2</v>
      </c>
      <c r="B39" s="242" t="s">
        <v>434</v>
      </c>
      <c r="C39" s="671" t="s">
        <v>143</v>
      </c>
      <c r="D39" s="672" t="s">
        <v>438</v>
      </c>
      <c r="E39" s="808" t="s">
        <v>440</v>
      </c>
      <c r="F39" s="672" t="s">
        <v>442</v>
      </c>
      <c r="G39" s="314">
        <v>211656</v>
      </c>
      <c r="H39" s="314">
        <v>146.08000000000001</v>
      </c>
      <c r="I39" s="314"/>
      <c r="J39" s="314">
        <v>146.08000000000001</v>
      </c>
      <c r="K39" s="314">
        <v>146.08000000000001</v>
      </c>
      <c r="L39" s="230">
        <v>146.08000000000001</v>
      </c>
      <c r="M39" s="230"/>
      <c r="N39" s="230"/>
      <c r="O39" s="672"/>
      <c r="P39" s="384"/>
      <c r="Q39" s="384"/>
      <c r="R39" s="398"/>
      <c r="S39" s="133"/>
      <c r="V39" s="400"/>
      <c r="W39" s="401"/>
      <c r="X39" s="402"/>
      <c r="Y39" s="403"/>
      <c r="Z39" s="389"/>
      <c r="AA39" s="402"/>
      <c r="AB39" s="402"/>
      <c r="AC39" s="402"/>
      <c r="AD39" s="404"/>
      <c r="AE39" s="404"/>
      <c r="AF39" s="402"/>
      <c r="AG39" s="405"/>
      <c r="AH39" s="402"/>
      <c r="AI39" s="402"/>
      <c r="AJ39" s="402"/>
      <c r="AK39" s="402"/>
      <c r="AL39" s="402"/>
      <c r="AM39" s="402"/>
    </row>
    <row r="40" spans="1:39" s="399" customFormat="1" ht="24" x14ac:dyDescent="0.2">
      <c r="A40" s="219">
        <v>3</v>
      </c>
      <c r="B40" s="242" t="s">
        <v>435</v>
      </c>
      <c r="C40" s="671" t="s">
        <v>661</v>
      </c>
      <c r="D40" s="672"/>
      <c r="E40" s="808"/>
      <c r="F40" s="672" t="s">
        <v>443</v>
      </c>
      <c r="G40" s="314">
        <v>68046</v>
      </c>
      <c r="H40" s="314">
        <v>444</v>
      </c>
      <c r="I40" s="314"/>
      <c r="J40" s="314">
        <v>444</v>
      </c>
      <c r="K40" s="314">
        <v>444</v>
      </c>
      <c r="L40" s="230">
        <v>444</v>
      </c>
      <c r="M40" s="230"/>
      <c r="N40" s="230"/>
      <c r="O40" s="672"/>
      <c r="P40" s="384"/>
      <c r="Q40" s="384"/>
      <c r="R40" s="398"/>
      <c r="S40" s="133"/>
      <c r="V40" s="400"/>
      <c r="W40" s="401"/>
      <c r="X40" s="402"/>
      <c r="Y40" s="403"/>
      <c r="Z40" s="389"/>
      <c r="AA40" s="402"/>
      <c r="AB40" s="402"/>
      <c r="AC40" s="402"/>
      <c r="AD40" s="404"/>
      <c r="AE40" s="404"/>
      <c r="AF40" s="402"/>
      <c r="AG40" s="405"/>
      <c r="AH40" s="402"/>
      <c r="AI40" s="402"/>
      <c r="AJ40" s="402"/>
      <c r="AK40" s="402"/>
      <c r="AL40" s="402"/>
      <c r="AM40" s="402"/>
    </row>
    <row r="41" spans="1:39" s="399" customFormat="1" ht="24" x14ac:dyDescent="0.2">
      <c r="A41" s="219">
        <v>4</v>
      </c>
      <c r="B41" s="242" t="s">
        <v>436</v>
      </c>
      <c r="C41" s="671" t="s">
        <v>258</v>
      </c>
      <c r="D41" s="672"/>
      <c r="E41" s="808"/>
      <c r="F41" s="672" t="s">
        <v>444</v>
      </c>
      <c r="G41" s="314">
        <v>900</v>
      </c>
      <c r="H41" s="314">
        <v>124.245</v>
      </c>
      <c r="I41" s="314"/>
      <c r="J41" s="314">
        <v>124.245</v>
      </c>
      <c r="K41" s="314">
        <v>124.245</v>
      </c>
      <c r="L41" s="230">
        <v>124.245</v>
      </c>
      <c r="M41" s="230"/>
      <c r="N41" s="230"/>
      <c r="O41" s="672"/>
      <c r="P41" s="384"/>
      <c r="Q41" s="384"/>
      <c r="R41" s="398"/>
      <c r="S41" s="133"/>
      <c r="V41" s="400"/>
      <c r="W41" s="401"/>
      <c r="X41" s="402"/>
      <c r="Y41" s="403"/>
      <c r="Z41" s="389"/>
      <c r="AA41" s="402"/>
      <c r="AB41" s="402"/>
      <c r="AC41" s="402"/>
      <c r="AD41" s="404"/>
      <c r="AE41" s="404"/>
      <c r="AF41" s="402"/>
      <c r="AG41" s="405"/>
      <c r="AH41" s="402"/>
      <c r="AI41" s="402"/>
      <c r="AJ41" s="402"/>
      <c r="AK41" s="402"/>
      <c r="AL41" s="402"/>
      <c r="AM41" s="402"/>
    </row>
    <row r="42" spans="1:39" s="705" customFormat="1" ht="24" customHeight="1" x14ac:dyDescent="0.2">
      <c r="A42" s="767"/>
      <c r="B42" s="768" t="s">
        <v>689</v>
      </c>
      <c r="C42" s="820"/>
      <c r="D42" s="821"/>
      <c r="E42" s="822"/>
      <c r="F42" s="821"/>
      <c r="G42" s="769"/>
      <c r="H42" s="760"/>
      <c r="I42" s="760"/>
      <c r="J42" s="760"/>
      <c r="K42" s="760"/>
      <c r="L42" s="763"/>
      <c r="M42" s="763"/>
      <c r="N42" s="770">
        <v>2500</v>
      </c>
      <c r="O42" s="827"/>
      <c r="R42" s="706"/>
      <c r="S42" s="707"/>
      <c r="V42" s="709"/>
      <c r="W42" s="710"/>
      <c r="X42" s="715"/>
      <c r="Y42" s="714"/>
      <c r="Z42" s="713"/>
      <c r="AA42" s="715"/>
      <c r="AB42" s="715"/>
      <c r="AC42" s="715"/>
      <c r="AD42" s="714"/>
      <c r="AE42" s="714"/>
      <c r="AF42" s="715"/>
      <c r="AG42" s="715"/>
      <c r="AH42" s="715"/>
      <c r="AI42" s="715"/>
      <c r="AJ42" s="715"/>
      <c r="AK42" s="715"/>
      <c r="AL42" s="715"/>
      <c r="AM42" s="715"/>
    </row>
    <row r="43" spans="1:39" s="399" customFormat="1" ht="30" x14ac:dyDescent="0.2">
      <c r="A43" s="204" t="s">
        <v>30</v>
      </c>
      <c r="B43" s="307" t="s">
        <v>35</v>
      </c>
      <c r="C43" s="681"/>
      <c r="D43" s="682"/>
      <c r="E43" s="819"/>
      <c r="F43" s="682"/>
      <c r="G43" s="334">
        <f>SUM(G44:G46)</f>
        <v>20747</v>
      </c>
      <c r="H43" s="334">
        <f t="shared" ref="H43:N43" si="24">SUM(H44:H46)</f>
        <v>12953.023000000001</v>
      </c>
      <c r="I43" s="334">
        <f t="shared" si="24"/>
        <v>20232.023000000001</v>
      </c>
      <c r="J43" s="334">
        <f t="shared" si="24"/>
        <v>370.93799999999999</v>
      </c>
      <c r="K43" s="334">
        <f t="shared" si="24"/>
        <v>370.93799999999999</v>
      </c>
      <c r="L43" s="334">
        <f t="shared" si="24"/>
        <v>370.93799999999999</v>
      </c>
      <c r="M43" s="334">
        <f t="shared" si="24"/>
        <v>0</v>
      </c>
      <c r="N43" s="334">
        <f t="shared" si="24"/>
        <v>0</v>
      </c>
      <c r="O43" s="672"/>
      <c r="P43" s="384"/>
      <c r="Q43" s="384"/>
      <c r="R43" s="398"/>
      <c r="S43" s="133"/>
      <c r="V43" s="400"/>
      <c r="W43" s="401"/>
      <c r="X43" s="402"/>
      <c r="Y43" s="403"/>
      <c r="Z43" s="389"/>
      <c r="AA43" s="402"/>
      <c r="AB43" s="402"/>
      <c r="AC43" s="402"/>
      <c r="AD43" s="404"/>
      <c r="AE43" s="404"/>
      <c r="AF43" s="402"/>
      <c r="AG43" s="405"/>
      <c r="AH43" s="402"/>
      <c r="AI43" s="402"/>
      <c r="AJ43" s="402"/>
      <c r="AK43" s="402"/>
      <c r="AL43" s="402"/>
      <c r="AM43" s="402"/>
    </row>
    <row r="44" spans="1:39" s="399" customFormat="1" ht="30" x14ac:dyDescent="0.2">
      <c r="A44" s="219">
        <v>1</v>
      </c>
      <c r="B44" s="242" t="s">
        <v>46</v>
      </c>
      <c r="C44" s="671" t="s">
        <v>144</v>
      </c>
      <c r="D44" s="672"/>
      <c r="E44" s="808"/>
      <c r="F44" s="672" t="s">
        <v>49</v>
      </c>
      <c r="G44" s="314">
        <v>6997</v>
      </c>
      <c r="H44" s="314">
        <v>5850.7830000000004</v>
      </c>
      <c r="I44" s="314">
        <f>5800+682.085+J44</f>
        <v>6650.7830000000004</v>
      </c>
      <c r="J44" s="314">
        <v>168.69800000000001</v>
      </c>
      <c r="K44" s="314">
        <v>168.69800000000001</v>
      </c>
      <c r="L44" s="230">
        <v>168.69800000000001</v>
      </c>
      <c r="M44" s="230"/>
      <c r="N44" s="230"/>
      <c r="O44" s="672"/>
      <c r="P44" s="384"/>
      <c r="Q44" s="384"/>
      <c r="R44" s="398"/>
      <c r="S44" s="133"/>
      <c r="V44" s="400"/>
      <c r="W44" s="401"/>
      <c r="X44" s="402"/>
      <c r="Y44" s="403"/>
      <c r="Z44" s="389"/>
      <c r="AA44" s="402"/>
      <c r="AB44" s="402"/>
      <c r="AC44" s="402"/>
      <c r="AD44" s="404"/>
      <c r="AE44" s="404"/>
      <c r="AF44" s="402"/>
      <c r="AG44" s="405"/>
      <c r="AH44" s="402"/>
      <c r="AI44" s="402"/>
      <c r="AJ44" s="402"/>
      <c r="AK44" s="402"/>
      <c r="AL44" s="402"/>
      <c r="AM44" s="402"/>
    </row>
    <row r="45" spans="1:39" s="399" customFormat="1" ht="24" x14ac:dyDescent="0.2">
      <c r="A45" s="219">
        <v>2</v>
      </c>
      <c r="B45" s="242" t="s">
        <v>47</v>
      </c>
      <c r="C45" s="671" t="s">
        <v>140</v>
      </c>
      <c r="D45" s="672"/>
      <c r="E45" s="808" t="s">
        <v>161</v>
      </c>
      <c r="F45" s="672" t="s">
        <v>50</v>
      </c>
      <c r="G45" s="314">
        <v>6800</v>
      </c>
      <c r="H45" s="314">
        <v>4363.24</v>
      </c>
      <c r="I45" s="314">
        <f>4925+1710+J45</f>
        <v>6788.24</v>
      </c>
      <c r="J45" s="314">
        <v>153.24</v>
      </c>
      <c r="K45" s="314">
        <v>153.24</v>
      </c>
      <c r="L45" s="230">
        <v>153.24</v>
      </c>
      <c r="M45" s="230"/>
      <c r="N45" s="230"/>
      <c r="O45" s="672"/>
      <c r="P45" s="384"/>
      <c r="Q45" s="384"/>
      <c r="R45" s="398"/>
      <c r="S45" s="133"/>
      <c r="V45" s="400"/>
      <c r="W45" s="401"/>
      <c r="X45" s="402"/>
      <c r="Y45" s="403"/>
      <c r="Z45" s="389"/>
      <c r="AA45" s="402"/>
      <c r="AB45" s="402"/>
      <c r="AC45" s="402"/>
      <c r="AD45" s="404"/>
      <c r="AE45" s="404"/>
      <c r="AF45" s="402"/>
      <c r="AG45" s="405"/>
      <c r="AH45" s="402"/>
      <c r="AI45" s="402"/>
      <c r="AJ45" s="402"/>
      <c r="AK45" s="402"/>
      <c r="AL45" s="402"/>
      <c r="AM45" s="402"/>
    </row>
    <row r="46" spans="1:39" s="399" customFormat="1" ht="30" x14ac:dyDescent="0.2">
      <c r="A46" s="219">
        <v>3</v>
      </c>
      <c r="B46" s="242" t="s">
        <v>48</v>
      </c>
      <c r="C46" s="671" t="s">
        <v>145</v>
      </c>
      <c r="D46" s="672" t="s">
        <v>150</v>
      </c>
      <c r="E46" s="808" t="s">
        <v>161</v>
      </c>
      <c r="F46" s="672" t="s">
        <v>51</v>
      </c>
      <c r="G46" s="314">
        <v>6950</v>
      </c>
      <c r="H46" s="314">
        <v>2739</v>
      </c>
      <c r="I46" s="314">
        <f>5354+1390+J46</f>
        <v>6793</v>
      </c>
      <c r="J46" s="314">
        <v>49</v>
      </c>
      <c r="K46" s="314">
        <v>49</v>
      </c>
      <c r="L46" s="230">
        <v>49</v>
      </c>
      <c r="M46" s="230"/>
      <c r="N46" s="230"/>
      <c r="O46" s="672"/>
      <c r="P46" s="384"/>
      <c r="Q46" s="384"/>
      <c r="R46" s="398"/>
      <c r="S46" s="133"/>
      <c r="V46" s="400"/>
      <c r="W46" s="401"/>
      <c r="X46" s="402"/>
      <c r="Y46" s="403"/>
      <c r="Z46" s="389"/>
      <c r="AA46" s="402"/>
      <c r="AB46" s="402"/>
      <c r="AC46" s="402"/>
      <c r="AD46" s="404"/>
      <c r="AE46" s="404"/>
      <c r="AF46" s="402"/>
      <c r="AG46" s="405"/>
      <c r="AH46" s="402"/>
      <c r="AI46" s="402"/>
      <c r="AJ46" s="402"/>
      <c r="AK46" s="402"/>
      <c r="AL46" s="402"/>
      <c r="AM46" s="402"/>
    </row>
    <row r="47" spans="1:39" s="399" customFormat="1" ht="15" x14ac:dyDescent="0.2">
      <c r="A47" s="204" t="s">
        <v>32</v>
      </c>
      <c r="B47" s="307" t="s">
        <v>690</v>
      </c>
      <c r="C47" s="681"/>
      <c r="D47" s="682"/>
      <c r="E47" s="819"/>
      <c r="F47" s="682"/>
      <c r="G47" s="334">
        <f>SUM(G48:G55)</f>
        <v>31350</v>
      </c>
      <c r="H47" s="334">
        <f t="shared" ref="H47:N47" si="25">SUM(H48:H55)</f>
        <v>30722.577999999998</v>
      </c>
      <c r="I47" s="334">
        <f t="shared" si="25"/>
        <v>30662.577999999998</v>
      </c>
      <c r="J47" s="334">
        <f t="shared" si="25"/>
        <v>5432.5780000000004</v>
      </c>
      <c r="K47" s="334">
        <f t="shared" si="25"/>
        <v>5432.5780000000004</v>
      </c>
      <c r="L47" s="334">
        <f t="shared" si="25"/>
        <v>5432.5780000000004</v>
      </c>
      <c r="M47" s="334">
        <f t="shared" si="25"/>
        <v>0</v>
      </c>
      <c r="N47" s="334">
        <f t="shared" si="25"/>
        <v>0</v>
      </c>
      <c r="O47" s="672"/>
      <c r="P47" s="384"/>
      <c r="Q47" s="384"/>
      <c r="R47" s="398"/>
      <c r="S47" s="133"/>
      <c r="V47" s="400"/>
      <c r="W47" s="401"/>
      <c r="X47" s="402"/>
      <c r="Y47" s="403"/>
      <c r="Z47" s="389"/>
      <c r="AA47" s="402"/>
      <c r="AB47" s="402"/>
      <c r="AC47" s="402"/>
      <c r="AD47" s="404"/>
      <c r="AE47" s="404"/>
      <c r="AF47" s="402"/>
      <c r="AG47" s="405"/>
      <c r="AH47" s="402"/>
      <c r="AI47" s="402"/>
      <c r="AJ47" s="402"/>
      <c r="AK47" s="402"/>
      <c r="AL47" s="402"/>
      <c r="AM47" s="402"/>
    </row>
    <row r="48" spans="1:39" s="399" customFormat="1" ht="30" x14ac:dyDescent="0.2">
      <c r="A48" s="219">
        <v>1</v>
      </c>
      <c r="B48" s="242" t="s">
        <v>52</v>
      </c>
      <c r="C48" s="671" t="s">
        <v>146</v>
      </c>
      <c r="D48" s="672" t="s">
        <v>151</v>
      </c>
      <c r="E48" s="808" t="s">
        <v>162</v>
      </c>
      <c r="F48" s="672" t="s">
        <v>60</v>
      </c>
      <c r="G48" s="314">
        <v>6000</v>
      </c>
      <c r="H48" s="314">
        <v>5907.4949999999999</v>
      </c>
      <c r="I48" s="314">
        <f>2000+2850+J48</f>
        <v>5907.4949999999999</v>
      </c>
      <c r="J48" s="314">
        <v>1057.4949999999999</v>
      </c>
      <c r="K48" s="314">
        <v>1057.4949999999999</v>
      </c>
      <c r="L48" s="230">
        <f>K48</f>
        <v>1057.4949999999999</v>
      </c>
      <c r="M48" s="230"/>
      <c r="N48" s="230"/>
      <c r="O48" s="672"/>
      <c r="P48" s="384"/>
      <c r="Q48" s="384"/>
      <c r="R48" s="398"/>
      <c r="S48" s="133"/>
      <c r="V48" s="400"/>
      <c r="W48" s="401"/>
      <c r="X48" s="402"/>
      <c r="Y48" s="403"/>
      <c r="Z48" s="389"/>
      <c r="AA48" s="402"/>
      <c r="AB48" s="402"/>
      <c r="AC48" s="402"/>
      <c r="AD48" s="404"/>
      <c r="AE48" s="404"/>
      <c r="AF48" s="402"/>
      <c r="AG48" s="405"/>
      <c r="AH48" s="402"/>
      <c r="AI48" s="402"/>
      <c r="AJ48" s="402"/>
      <c r="AK48" s="402"/>
      <c r="AL48" s="402"/>
      <c r="AM48" s="402"/>
    </row>
    <row r="49" spans="1:39" s="399" customFormat="1" ht="36" x14ac:dyDescent="0.2">
      <c r="A49" s="219">
        <v>2</v>
      </c>
      <c r="B49" s="242" t="s">
        <v>53</v>
      </c>
      <c r="C49" s="671" t="s">
        <v>143</v>
      </c>
      <c r="D49" s="672" t="s">
        <v>152</v>
      </c>
      <c r="E49" s="808" t="s">
        <v>162</v>
      </c>
      <c r="F49" s="672" t="s">
        <v>61</v>
      </c>
      <c r="G49" s="314">
        <v>6500</v>
      </c>
      <c r="H49" s="314">
        <v>6496.9889999999996</v>
      </c>
      <c r="I49" s="314">
        <f>2150+3050+J49</f>
        <v>6496.9889999999996</v>
      </c>
      <c r="J49" s="314">
        <v>1296.989</v>
      </c>
      <c r="K49" s="314">
        <v>1296.989</v>
      </c>
      <c r="L49" s="230">
        <f t="shared" ref="L49:L55" si="26">K49</f>
        <v>1296.989</v>
      </c>
      <c r="M49" s="230"/>
      <c r="N49" s="230"/>
      <c r="O49" s="672"/>
      <c r="P49" s="384"/>
      <c r="Q49" s="384"/>
      <c r="R49" s="398"/>
      <c r="S49" s="133"/>
      <c r="V49" s="400"/>
      <c r="W49" s="401"/>
      <c r="X49" s="402"/>
      <c r="Y49" s="403"/>
      <c r="Z49" s="389"/>
      <c r="AA49" s="402"/>
      <c r="AB49" s="402"/>
      <c r="AC49" s="402"/>
      <c r="AD49" s="404"/>
      <c r="AE49" s="404"/>
      <c r="AF49" s="402"/>
      <c r="AG49" s="405"/>
      <c r="AH49" s="402"/>
      <c r="AI49" s="402"/>
      <c r="AJ49" s="402"/>
      <c r="AK49" s="402"/>
      <c r="AL49" s="402"/>
      <c r="AM49" s="402"/>
    </row>
    <row r="50" spans="1:39" s="399" customFormat="1" ht="30" x14ac:dyDescent="0.2">
      <c r="A50" s="219">
        <v>3</v>
      </c>
      <c r="B50" s="242" t="s">
        <v>54</v>
      </c>
      <c r="C50" s="671" t="s">
        <v>147</v>
      </c>
      <c r="D50" s="672" t="s">
        <v>153</v>
      </c>
      <c r="E50" s="808" t="s">
        <v>162</v>
      </c>
      <c r="F50" s="672" t="s">
        <v>62</v>
      </c>
      <c r="G50" s="314">
        <v>4200</v>
      </c>
      <c r="H50" s="314">
        <v>4192.3190000000004</v>
      </c>
      <c r="I50" s="314">
        <f>1500+1860+J50</f>
        <v>4192.3189999999995</v>
      </c>
      <c r="J50" s="314">
        <v>832.31899999999996</v>
      </c>
      <c r="K50" s="314">
        <v>832.31899999999996</v>
      </c>
      <c r="L50" s="230">
        <f t="shared" si="26"/>
        <v>832.31899999999996</v>
      </c>
      <c r="M50" s="230"/>
      <c r="N50" s="230"/>
      <c r="O50" s="672"/>
      <c r="P50" s="384"/>
      <c r="Q50" s="384"/>
      <c r="R50" s="398"/>
      <c r="S50" s="133"/>
      <c r="V50" s="400"/>
      <c r="W50" s="401"/>
      <c r="X50" s="402"/>
      <c r="Y50" s="403"/>
      <c r="Z50" s="389"/>
      <c r="AA50" s="402"/>
      <c r="AB50" s="402"/>
      <c r="AC50" s="402"/>
      <c r="AD50" s="404"/>
      <c r="AE50" s="404"/>
      <c r="AF50" s="402"/>
      <c r="AG50" s="405"/>
      <c r="AH50" s="402"/>
      <c r="AI50" s="402"/>
      <c r="AJ50" s="402"/>
      <c r="AK50" s="402"/>
      <c r="AL50" s="402"/>
      <c r="AM50" s="402"/>
    </row>
    <row r="51" spans="1:39" s="399" customFormat="1" ht="30" x14ac:dyDescent="0.2">
      <c r="A51" s="219">
        <v>4</v>
      </c>
      <c r="B51" s="242" t="s">
        <v>55</v>
      </c>
      <c r="C51" s="671" t="s">
        <v>148</v>
      </c>
      <c r="D51" s="672"/>
      <c r="E51" s="808" t="s">
        <v>162</v>
      </c>
      <c r="F51" s="672" t="s">
        <v>63</v>
      </c>
      <c r="G51" s="314">
        <v>2050</v>
      </c>
      <c r="H51" s="314">
        <v>2040</v>
      </c>
      <c r="I51" s="314">
        <f>1000+600+J51</f>
        <v>1980</v>
      </c>
      <c r="J51" s="314">
        <v>380</v>
      </c>
      <c r="K51" s="314">
        <v>380</v>
      </c>
      <c r="L51" s="230">
        <f t="shared" si="26"/>
        <v>380</v>
      </c>
      <c r="M51" s="230"/>
      <c r="N51" s="230"/>
      <c r="O51" s="672"/>
      <c r="P51" s="384"/>
      <c r="Q51" s="384"/>
      <c r="R51" s="398"/>
      <c r="S51" s="133"/>
      <c r="V51" s="400"/>
      <c r="W51" s="401"/>
      <c r="X51" s="402"/>
      <c r="Y51" s="403"/>
      <c r="Z51" s="389"/>
      <c r="AA51" s="402"/>
      <c r="AB51" s="402"/>
      <c r="AC51" s="402"/>
      <c r="AD51" s="404"/>
      <c r="AE51" s="404"/>
      <c r="AF51" s="402"/>
      <c r="AG51" s="405"/>
      <c r="AH51" s="402"/>
      <c r="AI51" s="402"/>
      <c r="AJ51" s="402"/>
      <c r="AK51" s="402"/>
      <c r="AL51" s="402"/>
      <c r="AM51" s="402"/>
    </row>
    <row r="52" spans="1:39" s="399" customFormat="1" ht="24" x14ac:dyDescent="0.2">
      <c r="A52" s="219">
        <v>5</v>
      </c>
      <c r="B52" s="242" t="s">
        <v>56</v>
      </c>
      <c r="C52" s="671" t="s">
        <v>144</v>
      </c>
      <c r="D52" s="672" t="s">
        <v>154</v>
      </c>
      <c r="E52" s="808" t="s">
        <v>162</v>
      </c>
      <c r="F52" s="672" t="s">
        <v>112</v>
      </c>
      <c r="G52" s="314">
        <v>2100</v>
      </c>
      <c r="H52" s="314">
        <v>2032.55</v>
      </c>
      <c r="I52" s="314">
        <f>1000+720+J52</f>
        <v>2032.55</v>
      </c>
      <c r="J52" s="314">
        <v>312.55</v>
      </c>
      <c r="K52" s="314">
        <v>312.55</v>
      </c>
      <c r="L52" s="230">
        <f t="shared" si="26"/>
        <v>312.55</v>
      </c>
      <c r="M52" s="230"/>
      <c r="N52" s="230"/>
      <c r="O52" s="672"/>
      <c r="P52" s="384"/>
      <c r="Q52" s="384"/>
      <c r="R52" s="398"/>
      <c r="S52" s="133"/>
      <c r="V52" s="400"/>
      <c r="W52" s="401"/>
      <c r="X52" s="402"/>
      <c r="Y52" s="403"/>
      <c r="Z52" s="389"/>
      <c r="AA52" s="402"/>
      <c r="AB52" s="402"/>
      <c r="AC52" s="402"/>
      <c r="AD52" s="404"/>
      <c r="AE52" s="404"/>
      <c r="AF52" s="402"/>
      <c r="AG52" s="405"/>
      <c r="AH52" s="402"/>
      <c r="AI52" s="402"/>
      <c r="AJ52" s="402"/>
      <c r="AK52" s="402"/>
      <c r="AL52" s="402"/>
      <c r="AM52" s="402"/>
    </row>
    <row r="53" spans="1:39" s="399" customFormat="1" ht="24" x14ac:dyDescent="0.2">
      <c r="A53" s="219">
        <v>6</v>
      </c>
      <c r="B53" s="242" t="s">
        <v>57</v>
      </c>
      <c r="C53" s="671" t="s">
        <v>143</v>
      </c>
      <c r="D53" s="672" t="s">
        <v>155</v>
      </c>
      <c r="E53" s="808" t="s">
        <v>162</v>
      </c>
      <c r="F53" s="672" t="s">
        <v>110</v>
      </c>
      <c r="G53" s="314">
        <v>3500</v>
      </c>
      <c r="H53" s="314">
        <v>3420.828</v>
      </c>
      <c r="I53" s="314">
        <f>1350+1500+J53</f>
        <v>3420.828</v>
      </c>
      <c r="J53" s="314">
        <v>570.82799999999997</v>
      </c>
      <c r="K53" s="314">
        <v>570.82799999999997</v>
      </c>
      <c r="L53" s="230">
        <f t="shared" si="26"/>
        <v>570.82799999999997</v>
      </c>
      <c r="M53" s="230"/>
      <c r="N53" s="230"/>
      <c r="O53" s="672"/>
      <c r="P53" s="384"/>
      <c r="Q53" s="384"/>
      <c r="R53" s="398"/>
      <c r="S53" s="133"/>
      <c r="V53" s="400"/>
      <c r="W53" s="401"/>
      <c r="X53" s="402"/>
      <c r="Y53" s="403"/>
      <c r="Z53" s="389"/>
      <c r="AA53" s="402"/>
      <c r="AB53" s="402"/>
      <c r="AC53" s="402"/>
      <c r="AD53" s="404"/>
      <c r="AE53" s="404"/>
      <c r="AF53" s="402"/>
      <c r="AG53" s="405"/>
      <c r="AH53" s="402"/>
      <c r="AI53" s="402"/>
      <c r="AJ53" s="402"/>
      <c r="AK53" s="402"/>
      <c r="AL53" s="402"/>
      <c r="AM53" s="402"/>
    </row>
    <row r="54" spans="1:39" s="399" customFormat="1" ht="24" x14ac:dyDescent="0.2">
      <c r="A54" s="219">
        <v>7</v>
      </c>
      <c r="B54" s="242" t="s">
        <v>58</v>
      </c>
      <c r="C54" s="671" t="s">
        <v>143</v>
      </c>
      <c r="D54" s="672" t="s">
        <v>156</v>
      </c>
      <c r="E54" s="808" t="s">
        <v>162</v>
      </c>
      <c r="F54" s="672" t="s">
        <v>64</v>
      </c>
      <c r="G54" s="314">
        <v>3600</v>
      </c>
      <c r="H54" s="314">
        <v>3543.5630000000001</v>
      </c>
      <c r="I54" s="314">
        <f>1400+1500+J54</f>
        <v>3543.5630000000001</v>
      </c>
      <c r="J54" s="314">
        <v>643.56299999999999</v>
      </c>
      <c r="K54" s="314">
        <v>643.56299999999999</v>
      </c>
      <c r="L54" s="230">
        <f t="shared" si="26"/>
        <v>643.56299999999999</v>
      </c>
      <c r="M54" s="230"/>
      <c r="N54" s="230"/>
      <c r="O54" s="672"/>
      <c r="P54" s="384"/>
      <c r="Q54" s="384"/>
      <c r="R54" s="398"/>
      <c r="S54" s="133"/>
      <c r="V54" s="400"/>
      <c r="W54" s="401"/>
      <c r="X54" s="402"/>
      <c r="Y54" s="403"/>
      <c r="Z54" s="389"/>
      <c r="AA54" s="402"/>
      <c r="AB54" s="402"/>
      <c r="AC54" s="402"/>
      <c r="AD54" s="404"/>
      <c r="AE54" s="404"/>
      <c r="AF54" s="402"/>
      <c r="AG54" s="405"/>
      <c r="AH54" s="402"/>
      <c r="AI54" s="402"/>
      <c r="AJ54" s="402"/>
      <c r="AK54" s="402"/>
      <c r="AL54" s="402"/>
      <c r="AM54" s="402"/>
    </row>
    <row r="55" spans="1:39" s="399" customFormat="1" ht="24" x14ac:dyDescent="0.2">
      <c r="A55" s="219">
        <v>8</v>
      </c>
      <c r="B55" s="242" t="s">
        <v>59</v>
      </c>
      <c r="C55" s="671" t="s">
        <v>137</v>
      </c>
      <c r="D55" s="672" t="s">
        <v>157</v>
      </c>
      <c r="E55" s="808" t="s">
        <v>162</v>
      </c>
      <c r="F55" s="672" t="s">
        <v>111</v>
      </c>
      <c r="G55" s="314">
        <v>3400</v>
      </c>
      <c r="H55" s="314">
        <v>3088.8339999999998</v>
      </c>
      <c r="I55" s="314">
        <f>1250+1500+J55</f>
        <v>3088.8339999999998</v>
      </c>
      <c r="J55" s="314">
        <v>338.834</v>
      </c>
      <c r="K55" s="314">
        <v>338.834</v>
      </c>
      <c r="L55" s="230">
        <f t="shared" si="26"/>
        <v>338.834</v>
      </c>
      <c r="M55" s="230"/>
      <c r="N55" s="230"/>
      <c r="O55" s="672"/>
      <c r="P55" s="384"/>
      <c r="Q55" s="384"/>
      <c r="R55" s="398"/>
      <c r="S55" s="133"/>
      <c r="V55" s="400"/>
      <c r="W55" s="401"/>
      <c r="X55" s="402"/>
      <c r="Y55" s="403"/>
      <c r="Z55" s="389"/>
      <c r="AA55" s="402"/>
      <c r="AB55" s="402"/>
      <c r="AC55" s="402"/>
      <c r="AD55" s="404"/>
      <c r="AE55" s="404"/>
      <c r="AF55" s="402"/>
      <c r="AG55" s="405"/>
      <c r="AH55" s="402"/>
      <c r="AI55" s="402"/>
      <c r="AJ55" s="402"/>
      <c r="AK55" s="402"/>
      <c r="AL55" s="402"/>
      <c r="AM55" s="402"/>
    </row>
    <row r="56" spans="1:39" s="399" customFormat="1" ht="15" x14ac:dyDescent="0.2">
      <c r="A56" s="204" t="s">
        <v>36</v>
      </c>
      <c r="B56" s="307" t="s">
        <v>416</v>
      </c>
      <c r="C56" s="681"/>
      <c r="D56" s="682"/>
      <c r="E56" s="819"/>
      <c r="F56" s="682"/>
      <c r="G56" s="334">
        <f>SUM(G57:G59)</f>
        <v>15450</v>
      </c>
      <c r="H56" s="334">
        <f t="shared" ref="H56:N56" si="27">SUM(H57:H59)</f>
        <v>15450</v>
      </c>
      <c r="I56" s="334">
        <f t="shared" si="27"/>
        <v>13250.291000000001</v>
      </c>
      <c r="J56" s="334">
        <f t="shared" si="27"/>
        <v>8550.2910000000011</v>
      </c>
      <c r="K56" s="334">
        <f t="shared" si="27"/>
        <v>8550.2910000000011</v>
      </c>
      <c r="L56" s="334">
        <f t="shared" si="27"/>
        <v>8550.2910000000011</v>
      </c>
      <c r="M56" s="334">
        <f t="shared" si="27"/>
        <v>2199.7089999999998</v>
      </c>
      <c r="N56" s="334">
        <f t="shared" si="27"/>
        <v>2199.7089999999998</v>
      </c>
      <c r="O56" s="672"/>
      <c r="P56" s="384"/>
      <c r="Q56" s="384"/>
      <c r="R56" s="398"/>
      <c r="S56" s="133"/>
      <c r="V56" s="400"/>
      <c r="W56" s="401"/>
      <c r="X56" s="402"/>
      <c r="Y56" s="403"/>
      <c r="Z56" s="389"/>
      <c r="AA56" s="402"/>
      <c r="AB56" s="402"/>
      <c r="AC56" s="402"/>
      <c r="AD56" s="404"/>
      <c r="AE56" s="404"/>
      <c r="AF56" s="402"/>
      <c r="AG56" s="405"/>
      <c r="AH56" s="402"/>
      <c r="AI56" s="402"/>
      <c r="AJ56" s="402"/>
      <c r="AK56" s="402"/>
      <c r="AL56" s="402"/>
      <c r="AM56" s="402"/>
    </row>
    <row r="57" spans="1:39" s="399" customFormat="1" ht="30" x14ac:dyDescent="0.2">
      <c r="A57" s="219">
        <v>1</v>
      </c>
      <c r="B57" s="242" t="s">
        <v>65</v>
      </c>
      <c r="C57" s="671" t="s">
        <v>149</v>
      </c>
      <c r="D57" s="672"/>
      <c r="E57" s="808" t="s">
        <v>167</v>
      </c>
      <c r="F57" s="672" t="s">
        <v>113</v>
      </c>
      <c r="G57" s="314">
        <v>2500</v>
      </c>
      <c r="H57" s="314">
        <v>2500</v>
      </c>
      <c r="I57" s="314">
        <f>900+J57</f>
        <v>2250.2910000000002</v>
      </c>
      <c r="J57" s="314">
        <v>1350.2909999999999</v>
      </c>
      <c r="K57" s="314">
        <v>1350.2909999999999</v>
      </c>
      <c r="L57" s="230">
        <f>K57</f>
        <v>1350.2909999999999</v>
      </c>
      <c r="M57" s="230">
        <f>G57-I57</f>
        <v>249.70899999999983</v>
      </c>
      <c r="N57" s="230">
        <f>G57-I57</f>
        <v>249.70899999999983</v>
      </c>
      <c r="O57" s="672"/>
      <c r="P57" s="384"/>
      <c r="Q57" s="384"/>
      <c r="R57" s="398"/>
      <c r="S57" s="133"/>
      <c r="V57" s="400"/>
      <c r="W57" s="401"/>
      <c r="X57" s="402"/>
      <c r="Y57" s="403"/>
      <c r="Z57" s="389"/>
      <c r="AA57" s="402"/>
      <c r="AB57" s="402"/>
      <c r="AC57" s="402"/>
      <c r="AD57" s="404"/>
      <c r="AE57" s="404"/>
      <c r="AF57" s="402"/>
      <c r="AG57" s="405"/>
      <c r="AH57" s="402"/>
      <c r="AI57" s="402"/>
      <c r="AJ57" s="402"/>
      <c r="AK57" s="402"/>
      <c r="AL57" s="402"/>
      <c r="AM57" s="402"/>
    </row>
    <row r="58" spans="1:39" s="399" customFormat="1" ht="30" x14ac:dyDescent="0.2">
      <c r="A58" s="219">
        <v>2</v>
      </c>
      <c r="B58" s="242" t="s">
        <v>66</v>
      </c>
      <c r="C58" s="671" t="s">
        <v>140</v>
      </c>
      <c r="D58" s="672"/>
      <c r="E58" s="808" t="s">
        <v>167</v>
      </c>
      <c r="F58" s="672" t="s">
        <v>114</v>
      </c>
      <c r="G58" s="314">
        <v>6950</v>
      </c>
      <c r="H58" s="314">
        <v>6950</v>
      </c>
      <c r="I58" s="314">
        <f>2000+J58</f>
        <v>5900</v>
      </c>
      <c r="J58" s="314">
        <v>3900</v>
      </c>
      <c r="K58" s="314">
        <v>3900</v>
      </c>
      <c r="L58" s="230">
        <f t="shared" ref="L58:L59" si="28">K58</f>
        <v>3900</v>
      </c>
      <c r="M58" s="230">
        <f t="shared" ref="M58:M69" si="29">G58-I58</f>
        <v>1050</v>
      </c>
      <c r="N58" s="230">
        <f t="shared" ref="N58:N59" si="30">G58-I58</f>
        <v>1050</v>
      </c>
      <c r="O58" s="672"/>
      <c r="P58" s="384"/>
      <c r="Q58" s="384"/>
      <c r="R58" s="398"/>
      <c r="S58" s="133"/>
      <c r="V58" s="400"/>
      <c r="W58" s="401"/>
      <c r="X58" s="402"/>
      <c r="Y58" s="403"/>
      <c r="Z58" s="389"/>
      <c r="AA58" s="402"/>
      <c r="AB58" s="402"/>
      <c r="AC58" s="402"/>
      <c r="AD58" s="404"/>
      <c r="AE58" s="404"/>
      <c r="AF58" s="402"/>
      <c r="AG58" s="405"/>
      <c r="AH58" s="402"/>
      <c r="AI58" s="402"/>
      <c r="AJ58" s="402"/>
      <c r="AK58" s="402"/>
      <c r="AL58" s="402"/>
      <c r="AM58" s="402"/>
    </row>
    <row r="59" spans="1:39" s="399" customFormat="1" ht="30" x14ac:dyDescent="0.2">
      <c r="A59" s="219">
        <v>3</v>
      </c>
      <c r="B59" s="242" t="s">
        <v>67</v>
      </c>
      <c r="C59" s="671" t="s">
        <v>140</v>
      </c>
      <c r="D59" s="672"/>
      <c r="E59" s="808" t="s">
        <v>167</v>
      </c>
      <c r="F59" s="672" t="s">
        <v>115</v>
      </c>
      <c r="G59" s="314">
        <v>6000</v>
      </c>
      <c r="H59" s="314">
        <v>6000</v>
      </c>
      <c r="I59" s="314">
        <f>1800+J59</f>
        <v>5100</v>
      </c>
      <c r="J59" s="314">
        <v>3300</v>
      </c>
      <c r="K59" s="314">
        <v>3300</v>
      </c>
      <c r="L59" s="230">
        <f t="shared" si="28"/>
        <v>3300</v>
      </c>
      <c r="M59" s="230">
        <f t="shared" si="29"/>
        <v>900</v>
      </c>
      <c r="N59" s="230">
        <f t="shared" si="30"/>
        <v>900</v>
      </c>
      <c r="O59" s="672"/>
      <c r="P59" s="384"/>
      <c r="Q59" s="384"/>
      <c r="R59" s="398"/>
      <c r="S59" s="133"/>
      <c r="V59" s="400"/>
      <c r="W59" s="401"/>
      <c r="X59" s="402"/>
      <c r="Y59" s="403"/>
      <c r="Z59" s="389"/>
      <c r="AA59" s="402"/>
      <c r="AB59" s="402"/>
      <c r="AC59" s="402"/>
      <c r="AD59" s="404"/>
      <c r="AE59" s="404"/>
      <c r="AF59" s="402"/>
      <c r="AG59" s="405"/>
      <c r="AH59" s="402"/>
      <c r="AI59" s="402"/>
      <c r="AJ59" s="402"/>
      <c r="AK59" s="402"/>
      <c r="AL59" s="402"/>
      <c r="AM59" s="402"/>
    </row>
    <row r="60" spans="1:39" s="399" customFormat="1" ht="30" x14ac:dyDescent="0.2">
      <c r="A60" s="204" t="s">
        <v>163</v>
      </c>
      <c r="B60" s="307" t="s">
        <v>417</v>
      </c>
      <c r="C60" s="681"/>
      <c r="D60" s="682"/>
      <c r="E60" s="819"/>
      <c r="F60" s="682"/>
      <c r="G60" s="334">
        <f>SUM(G61:G66)</f>
        <v>28820</v>
      </c>
      <c r="H60" s="334">
        <f t="shared" ref="H60:N60" si="31">SUM(H61:H66)</f>
        <v>27070</v>
      </c>
      <c r="I60" s="334">
        <f t="shared" si="31"/>
        <v>13958.407999999999</v>
      </c>
      <c r="J60" s="334">
        <f t="shared" si="31"/>
        <v>11730</v>
      </c>
      <c r="K60" s="334">
        <f t="shared" si="31"/>
        <v>11730</v>
      </c>
      <c r="L60" s="334">
        <f t="shared" si="31"/>
        <v>11730</v>
      </c>
      <c r="M60" s="334">
        <f t="shared" si="31"/>
        <v>14861.592000000001</v>
      </c>
      <c r="N60" s="334">
        <f t="shared" si="31"/>
        <v>12971.592000000001</v>
      </c>
      <c r="O60" s="672"/>
      <c r="P60" s="384"/>
      <c r="Q60" s="384"/>
      <c r="R60" s="398"/>
      <c r="S60" s="133"/>
      <c r="V60" s="400"/>
      <c r="W60" s="401"/>
      <c r="X60" s="402"/>
      <c r="Y60" s="403"/>
      <c r="Z60" s="389"/>
      <c r="AA60" s="402"/>
      <c r="AB60" s="402"/>
      <c r="AC60" s="402"/>
      <c r="AD60" s="404"/>
      <c r="AE60" s="404"/>
      <c r="AF60" s="402"/>
      <c r="AG60" s="405"/>
      <c r="AH60" s="402"/>
      <c r="AI60" s="402"/>
      <c r="AJ60" s="402"/>
      <c r="AK60" s="402"/>
      <c r="AL60" s="402"/>
      <c r="AM60" s="402"/>
    </row>
    <row r="61" spans="1:39" s="399" customFormat="1" ht="30" x14ac:dyDescent="0.2">
      <c r="A61" s="219">
        <v>1</v>
      </c>
      <c r="B61" s="242" t="s">
        <v>68</v>
      </c>
      <c r="C61" s="671" t="s">
        <v>140</v>
      </c>
      <c r="D61" s="672"/>
      <c r="E61" s="808" t="s">
        <v>179</v>
      </c>
      <c r="F61" s="672" t="s">
        <v>116</v>
      </c>
      <c r="G61" s="314">
        <v>20000</v>
      </c>
      <c r="H61" s="314">
        <v>20000</v>
      </c>
      <c r="I61" s="314">
        <f>2000+J61</f>
        <v>11000</v>
      </c>
      <c r="J61" s="314">
        <v>9000</v>
      </c>
      <c r="K61" s="314">
        <v>9000</v>
      </c>
      <c r="L61" s="230">
        <f>K61</f>
        <v>9000</v>
      </c>
      <c r="M61" s="230">
        <f t="shared" si="29"/>
        <v>9000</v>
      </c>
      <c r="N61" s="230">
        <f>G61-I61</f>
        <v>9000</v>
      </c>
      <c r="O61" s="672"/>
      <c r="P61" s="384"/>
      <c r="Q61" s="384"/>
      <c r="R61" s="398"/>
      <c r="S61" s="133"/>
      <c r="V61" s="400"/>
      <c r="W61" s="401"/>
      <c r="X61" s="402"/>
      <c r="Y61" s="403"/>
      <c r="Z61" s="389"/>
      <c r="AA61" s="402"/>
      <c r="AB61" s="402"/>
      <c r="AC61" s="402"/>
      <c r="AD61" s="404"/>
      <c r="AE61" s="404"/>
      <c r="AF61" s="402"/>
      <c r="AG61" s="405"/>
      <c r="AH61" s="402"/>
      <c r="AI61" s="402"/>
      <c r="AJ61" s="402"/>
      <c r="AK61" s="402"/>
      <c r="AL61" s="402"/>
      <c r="AM61" s="402"/>
    </row>
    <row r="62" spans="1:39" s="399" customFormat="1" ht="45" x14ac:dyDescent="0.2">
      <c r="A62" s="219">
        <v>2</v>
      </c>
      <c r="B62" s="242" t="s">
        <v>446</v>
      </c>
      <c r="C62" s="671" t="s">
        <v>226</v>
      </c>
      <c r="D62" s="672" t="s">
        <v>449</v>
      </c>
      <c r="E62" s="808" t="s">
        <v>179</v>
      </c>
      <c r="F62" s="672" t="s">
        <v>448</v>
      </c>
      <c r="G62" s="314">
        <v>5000</v>
      </c>
      <c r="H62" s="314">
        <v>5000</v>
      </c>
      <c r="I62" s="314">
        <f>128.408+J62</f>
        <v>1728.4079999999999</v>
      </c>
      <c r="J62" s="314">
        <v>1600</v>
      </c>
      <c r="K62" s="314">
        <v>1600</v>
      </c>
      <c r="L62" s="230">
        <f t="shared" ref="L62:L64" si="32">K62</f>
        <v>1600</v>
      </c>
      <c r="M62" s="230">
        <f t="shared" si="29"/>
        <v>3271.5920000000001</v>
      </c>
      <c r="N62" s="230">
        <f>G62*80%-I62</f>
        <v>2271.5920000000001</v>
      </c>
      <c r="O62" s="672"/>
      <c r="P62" s="384"/>
      <c r="Q62" s="384"/>
      <c r="R62" s="398"/>
      <c r="S62" s="133"/>
      <c r="V62" s="400"/>
      <c r="W62" s="401"/>
      <c r="X62" s="402"/>
      <c r="Y62" s="403"/>
      <c r="Z62" s="389"/>
      <c r="AA62" s="402"/>
      <c r="AB62" s="402"/>
      <c r="AC62" s="402"/>
      <c r="AD62" s="404"/>
      <c r="AE62" s="404"/>
      <c r="AF62" s="402"/>
      <c r="AG62" s="405"/>
      <c r="AH62" s="402"/>
      <c r="AI62" s="402"/>
      <c r="AJ62" s="402"/>
      <c r="AK62" s="402"/>
      <c r="AL62" s="402"/>
      <c r="AM62" s="402"/>
    </row>
    <row r="63" spans="1:39" s="399" customFormat="1" ht="30" x14ac:dyDescent="0.2">
      <c r="A63" s="219">
        <v>3</v>
      </c>
      <c r="B63" s="242" t="s">
        <v>406</v>
      </c>
      <c r="C63" s="671" t="s">
        <v>141</v>
      </c>
      <c r="D63" s="672" t="s">
        <v>450</v>
      </c>
      <c r="E63" s="808" t="s">
        <v>179</v>
      </c>
      <c r="F63" s="672" t="s">
        <v>407</v>
      </c>
      <c r="G63" s="314">
        <v>1800</v>
      </c>
      <c r="H63" s="314">
        <v>1700</v>
      </c>
      <c r="I63" s="314">
        <f>100+J63</f>
        <v>1000</v>
      </c>
      <c r="J63" s="314">
        <v>900</v>
      </c>
      <c r="K63" s="314">
        <v>900</v>
      </c>
      <c r="L63" s="230">
        <f t="shared" si="32"/>
        <v>900</v>
      </c>
      <c r="M63" s="230">
        <f t="shared" si="29"/>
        <v>800</v>
      </c>
      <c r="N63" s="230">
        <f>G63*80%-I63</f>
        <v>440</v>
      </c>
      <c r="O63" s="672"/>
      <c r="P63" s="384"/>
      <c r="Q63" s="384"/>
      <c r="R63" s="398"/>
      <c r="S63" s="133"/>
      <c r="V63" s="400"/>
      <c r="W63" s="401"/>
      <c r="X63" s="402"/>
      <c r="Y63" s="403"/>
      <c r="Z63" s="389"/>
      <c r="AA63" s="402"/>
      <c r="AB63" s="402"/>
      <c r="AC63" s="402"/>
      <c r="AD63" s="404"/>
      <c r="AE63" s="404"/>
      <c r="AF63" s="402"/>
      <c r="AG63" s="405"/>
      <c r="AH63" s="402"/>
      <c r="AI63" s="402"/>
      <c r="AJ63" s="402"/>
      <c r="AK63" s="402"/>
      <c r="AL63" s="402"/>
      <c r="AM63" s="402"/>
    </row>
    <row r="64" spans="1:39" s="399" customFormat="1" ht="45" x14ac:dyDescent="0.2">
      <c r="A64" s="219">
        <v>4</v>
      </c>
      <c r="B64" s="242" t="s">
        <v>447</v>
      </c>
      <c r="C64" s="671" t="s">
        <v>226</v>
      </c>
      <c r="D64" s="672" t="s">
        <v>450</v>
      </c>
      <c r="E64" s="808" t="s">
        <v>179</v>
      </c>
      <c r="F64" s="672" t="s">
        <v>451</v>
      </c>
      <c r="G64" s="314">
        <v>370</v>
      </c>
      <c r="H64" s="314">
        <v>370</v>
      </c>
      <c r="I64" s="314">
        <f>J64</f>
        <v>230</v>
      </c>
      <c r="J64" s="314">
        <v>230</v>
      </c>
      <c r="K64" s="314">
        <v>230</v>
      </c>
      <c r="L64" s="230">
        <f t="shared" si="32"/>
        <v>230</v>
      </c>
      <c r="M64" s="230">
        <f t="shared" si="29"/>
        <v>140</v>
      </c>
      <c r="N64" s="230">
        <f>G64-I64</f>
        <v>140</v>
      </c>
      <c r="O64" s="672"/>
      <c r="P64" s="384"/>
      <c r="Q64" s="384"/>
      <c r="R64" s="398"/>
      <c r="S64" s="133"/>
      <c r="V64" s="400"/>
      <c r="W64" s="401"/>
      <c r="X64" s="402"/>
      <c r="Y64" s="403"/>
      <c r="Z64" s="389"/>
      <c r="AA64" s="402"/>
      <c r="AB64" s="402"/>
      <c r="AC64" s="402"/>
      <c r="AD64" s="404"/>
      <c r="AE64" s="404"/>
      <c r="AF64" s="402"/>
      <c r="AG64" s="405"/>
      <c r="AH64" s="402"/>
      <c r="AI64" s="402"/>
      <c r="AJ64" s="402"/>
      <c r="AK64" s="402"/>
      <c r="AL64" s="402"/>
      <c r="AM64" s="402"/>
    </row>
    <row r="65" spans="1:39" s="399" customFormat="1" ht="30" x14ac:dyDescent="0.2">
      <c r="A65" s="433">
        <v>5</v>
      </c>
      <c r="B65" s="435" t="s">
        <v>598</v>
      </c>
      <c r="C65" s="823" t="s">
        <v>225</v>
      </c>
      <c r="D65" s="824" t="s">
        <v>450</v>
      </c>
      <c r="E65" s="824" t="s">
        <v>478</v>
      </c>
      <c r="F65" s="825"/>
      <c r="G65" s="421">
        <v>800</v>
      </c>
      <c r="H65" s="314"/>
      <c r="I65" s="314"/>
      <c r="J65" s="314"/>
      <c r="K65" s="314"/>
      <c r="L65" s="230"/>
      <c r="M65" s="421">
        <f t="shared" si="29"/>
        <v>800</v>
      </c>
      <c r="N65" s="421">
        <f>G65*80%-100</f>
        <v>540</v>
      </c>
      <c r="O65" s="672"/>
      <c r="P65" s="384"/>
      <c r="Q65" s="384"/>
      <c r="R65" s="398"/>
      <c r="S65" s="133"/>
      <c r="V65" s="400"/>
      <c r="W65" s="401"/>
      <c r="X65" s="402"/>
      <c r="Y65" s="403"/>
      <c r="Z65" s="389"/>
      <c r="AA65" s="402"/>
      <c r="AB65" s="402"/>
      <c r="AC65" s="402"/>
      <c r="AD65" s="404"/>
      <c r="AE65" s="404"/>
      <c r="AF65" s="402"/>
      <c r="AG65" s="405"/>
      <c r="AH65" s="402"/>
      <c r="AI65" s="402"/>
      <c r="AJ65" s="402"/>
      <c r="AK65" s="402"/>
      <c r="AL65" s="402"/>
      <c r="AM65" s="402"/>
    </row>
    <row r="66" spans="1:39" s="399" customFormat="1" ht="30" x14ac:dyDescent="0.2">
      <c r="A66" s="433">
        <v>6</v>
      </c>
      <c r="B66" s="435" t="s">
        <v>599</v>
      </c>
      <c r="C66" s="823" t="s">
        <v>145</v>
      </c>
      <c r="D66" s="824" t="s">
        <v>450</v>
      </c>
      <c r="E66" s="824" t="s">
        <v>478</v>
      </c>
      <c r="F66" s="825"/>
      <c r="G66" s="421">
        <v>850</v>
      </c>
      <c r="H66" s="314"/>
      <c r="I66" s="314"/>
      <c r="J66" s="314"/>
      <c r="K66" s="314"/>
      <c r="L66" s="230"/>
      <c r="M66" s="421">
        <f t="shared" si="29"/>
        <v>850</v>
      </c>
      <c r="N66" s="421">
        <f>G66*80%-100</f>
        <v>580</v>
      </c>
      <c r="O66" s="672"/>
      <c r="P66" s="384"/>
      <c r="Q66" s="384"/>
      <c r="R66" s="398"/>
      <c r="S66" s="133"/>
      <c r="V66" s="400"/>
      <c r="W66" s="401"/>
      <c r="X66" s="402"/>
      <c r="Y66" s="403"/>
      <c r="Z66" s="389"/>
      <c r="AA66" s="402"/>
      <c r="AB66" s="402"/>
      <c r="AC66" s="402"/>
      <c r="AD66" s="404"/>
      <c r="AE66" s="404"/>
      <c r="AF66" s="402"/>
      <c r="AG66" s="405"/>
      <c r="AH66" s="402"/>
      <c r="AI66" s="402"/>
      <c r="AJ66" s="402"/>
      <c r="AK66" s="402"/>
      <c r="AL66" s="402"/>
      <c r="AM66" s="402"/>
    </row>
    <row r="67" spans="1:39" s="708" customFormat="1" ht="21" customHeight="1" x14ac:dyDescent="0.2">
      <c r="A67" s="753" t="s">
        <v>585</v>
      </c>
      <c r="B67" s="771" t="s">
        <v>586</v>
      </c>
      <c r="C67" s="826"/>
      <c r="D67" s="827"/>
      <c r="E67" s="828"/>
      <c r="F67" s="827"/>
      <c r="G67" s="756">
        <f>SUM(G68:G69)</f>
        <v>13500</v>
      </c>
      <c r="H67" s="756">
        <f t="shared" ref="H67:N67" si="33">SUM(H68:H69)</f>
        <v>9500</v>
      </c>
      <c r="I67" s="756">
        <f t="shared" si="33"/>
        <v>0</v>
      </c>
      <c r="J67" s="756">
        <f t="shared" si="33"/>
        <v>0</v>
      </c>
      <c r="K67" s="756">
        <f t="shared" si="33"/>
        <v>0</v>
      </c>
      <c r="L67" s="756">
        <f t="shared" si="33"/>
        <v>0</v>
      </c>
      <c r="M67" s="756">
        <f t="shared" si="33"/>
        <v>13500</v>
      </c>
      <c r="N67" s="756">
        <f t="shared" si="33"/>
        <v>4725</v>
      </c>
      <c r="O67" s="827"/>
      <c r="P67" s="705"/>
      <c r="Q67" s="705"/>
      <c r="R67" s="706"/>
      <c r="S67" s="707"/>
      <c r="V67" s="709"/>
      <c r="W67" s="710"/>
      <c r="X67" s="711"/>
      <c r="Y67" s="712"/>
      <c r="Z67" s="713"/>
      <c r="AA67" s="711"/>
      <c r="AB67" s="711"/>
      <c r="AC67" s="711"/>
      <c r="AD67" s="714"/>
      <c r="AE67" s="714"/>
      <c r="AF67" s="711"/>
      <c r="AG67" s="715"/>
      <c r="AH67" s="711"/>
      <c r="AI67" s="711"/>
      <c r="AJ67" s="711"/>
      <c r="AK67" s="711"/>
      <c r="AL67" s="711"/>
      <c r="AM67" s="711"/>
    </row>
    <row r="68" spans="1:39" s="708" customFormat="1" ht="30" x14ac:dyDescent="0.2">
      <c r="A68" s="757">
        <v>1</v>
      </c>
      <c r="B68" s="772" t="s">
        <v>589</v>
      </c>
      <c r="C68" s="826" t="s">
        <v>140</v>
      </c>
      <c r="D68" s="829"/>
      <c r="E68" s="829" t="s">
        <v>588</v>
      </c>
      <c r="F68" s="827"/>
      <c r="G68" s="760">
        <v>6500</v>
      </c>
      <c r="H68" s="760">
        <v>4500</v>
      </c>
      <c r="I68" s="760"/>
      <c r="J68" s="760"/>
      <c r="K68" s="760"/>
      <c r="L68" s="763"/>
      <c r="M68" s="760">
        <f t="shared" si="29"/>
        <v>6500</v>
      </c>
      <c r="N68" s="763">
        <f>G68*35%</f>
        <v>2275</v>
      </c>
      <c r="O68" s="827"/>
      <c r="P68" s="705"/>
      <c r="Q68" s="705"/>
      <c r="R68" s="706"/>
      <c r="S68" s="707"/>
      <c r="V68" s="709"/>
      <c r="W68" s="710"/>
      <c r="X68" s="711"/>
      <c r="Y68" s="712"/>
      <c r="Z68" s="713"/>
      <c r="AA68" s="711"/>
      <c r="AB68" s="711"/>
      <c r="AC68" s="711"/>
      <c r="AD68" s="714"/>
      <c r="AE68" s="714"/>
      <c r="AF68" s="711"/>
      <c r="AG68" s="715"/>
      <c r="AH68" s="711"/>
      <c r="AI68" s="711"/>
      <c r="AJ68" s="711"/>
      <c r="AK68" s="711"/>
      <c r="AL68" s="711"/>
      <c r="AM68" s="711"/>
    </row>
    <row r="69" spans="1:39" s="708" customFormat="1" ht="30" x14ac:dyDescent="0.2">
      <c r="A69" s="757">
        <v>2</v>
      </c>
      <c r="B69" s="772" t="s">
        <v>590</v>
      </c>
      <c r="C69" s="826" t="s">
        <v>591</v>
      </c>
      <c r="D69" s="829"/>
      <c r="E69" s="829" t="s">
        <v>588</v>
      </c>
      <c r="F69" s="827"/>
      <c r="G69" s="760">
        <v>7000</v>
      </c>
      <c r="H69" s="760">
        <v>5000</v>
      </c>
      <c r="I69" s="760"/>
      <c r="J69" s="760"/>
      <c r="K69" s="760"/>
      <c r="L69" s="763"/>
      <c r="M69" s="760">
        <f t="shared" si="29"/>
        <v>7000</v>
      </c>
      <c r="N69" s="763">
        <f>G69*35%</f>
        <v>2450</v>
      </c>
      <c r="O69" s="827"/>
      <c r="P69" s="705"/>
      <c r="Q69" s="705"/>
      <c r="R69" s="706"/>
      <c r="S69" s="707"/>
      <c r="V69" s="709"/>
      <c r="W69" s="710"/>
      <c r="X69" s="711"/>
      <c r="Y69" s="712"/>
      <c r="Z69" s="713"/>
      <c r="AA69" s="711"/>
      <c r="AB69" s="711"/>
      <c r="AC69" s="711"/>
      <c r="AD69" s="714"/>
      <c r="AE69" s="714"/>
      <c r="AF69" s="711"/>
      <c r="AG69" s="715"/>
      <c r="AH69" s="711"/>
      <c r="AI69" s="711"/>
      <c r="AJ69" s="711"/>
      <c r="AK69" s="711"/>
      <c r="AL69" s="711"/>
      <c r="AM69" s="711"/>
    </row>
    <row r="70" spans="1:39" s="399" customFormat="1" ht="15" x14ac:dyDescent="0.2">
      <c r="A70" s="204" t="s">
        <v>592</v>
      </c>
      <c r="B70" s="622" t="s">
        <v>593</v>
      </c>
      <c r="C70" s="671"/>
      <c r="D70" s="830"/>
      <c r="E70" s="830"/>
      <c r="F70" s="672"/>
      <c r="G70" s="311">
        <f>G71+G78</f>
        <v>63340</v>
      </c>
      <c r="H70" s="311">
        <f t="shared" ref="H70:N70" si="34">H71+H78</f>
        <v>28600</v>
      </c>
      <c r="I70" s="311">
        <f t="shared" si="34"/>
        <v>0</v>
      </c>
      <c r="J70" s="311">
        <f t="shared" si="34"/>
        <v>0</v>
      </c>
      <c r="K70" s="311">
        <f t="shared" si="34"/>
        <v>0</v>
      </c>
      <c r="L70" s="311">
        <f t="shared" si="34"/>
        <v>0</v>
      </c>
      <c r="M70" s="311">
        <f t="shared" si="34"/>
        <v>27950</v>
      </c>
      <c r="N70" s="311">
        <f t="shared" si="34"/>
        <v>13230</v>
      </c>
      <c r="O70" s="672"/>
      <c r="P70" s="384"/>
      <c r="Q70" s="384"/>
      <c r="R70" s="398"/>
      <c r="S70" s="133"/>
      <c r="V70" s="400"/>
      <c r="W70" s="401"/>
      <c r="X70" s="402"/>
      <c r="Y70" s="403"/>
      <c r="Z70" s="389"/>
      <c r="AA70" s="402"/>
      <c r="AB70" s="402"/>
      <c r="AC70" s="402"/>
      <c r="AD70" s="404"/>
      <c r="AE70" s="404"/>
      <c r="AF70" s="402"/>
      <c r="AG70" s="405"/>
      <c r="AH70" s="402"/>
      <c r="AI70" s="402"/>
      <c r="AJ70" s="402"/>
      <c r="AK70" s="402"/>
      <c r="AL70" s="402"/>
      <c r="AM70" s="402"/>
    </row>
    <row r="71" spans="1:39" s="399" customFormat="1" ht="15" x14ac:dyDescent="0.2">
      <c r="A71" s="219"/>
      <c r="B71" s="773" t="s">
        <v>594</v>
      </c>
      <c r="C71" s="671"/>
      <c r="D71" s="830"/>
      <c r="E71" s="830"/>
      <c r="F71" s="672"/>
      <c r="G71" s="308">
        <f>SUM(G72:G77)</f>
        <v>34500</v>
      </c>
      <c r="H71" s="308">
        <f t="shared" ref="H71:N71" si="35">SUM(H72:H77)</f>
        <v>7000</v>
      </c>
      <c r="I71" s="308">
        <f t="shared" si="35"/>
        <v>0</v>
      </c>
      <c r="J71" s="308">
        <f t="shared" si="35"/>
        <v>0</v>
      </c>
      <c r="K71" s="308">
        <f t="shared" si="35"/>
        <v>0</v>
      </c>
      <c r="L71" s="308">
        <f t="shared" si="35"/>
        <v>0</v>
      </c>
      <c r="M71" s="308">
        <f t="shared" si="35"/>
        <v>6350</v>
      </c>
      <c r="N71" s="308">
        <f t="shared" si="35"/>
        <v>6350</v>
      </c>
      <c r="O71" s="672"/>
      <c r="P71" s="384"/>
      <c r="Q71" s="384"/>
      <c r="R71" s="398"/>
      <c r="S71" s="133"/>
      <c r="V71" s="400"/>
      <c r="W71" s="401"/>
      <c r="X71" s="720"/>
      <c r="Y71" s="721"/>
      <c r="Z71" s="722"/>
      <c r="AA71" s="720"/>
      <c r="AB71" s="720"/>
      <c r="AC71" s="720"/>
      <c r="AD71" s="444"/>
      <c r="AE71" s="444"/>
      <c r="AF71" s="720"/>
      <c r="AG71" s="442"/>
      <c r="AH71" s="720"/>
      <c r="AI71" s="720"/>
      <c r="AJ71" s="720"/>
      <c r="AK71" s="720"/>
      <c r="AL71" s="720"/>
      <c r="AM71" s="720"/>
    </row>
    <row r="72" spans="1:39" s="399" customFormat="1" ht="24" x14ac:dyDescent="0.2">
      <c r="A72" s="219">
        <v>1</v>
      </c>
      <c r="B72" s="226" t="s">
        <v>281</v>
      </c>
      <c r="C72" s="684" t="s">
        <v>292</v>
      </c>
      <c r="D72" s="684" t="s">
        <v>295</v>
      </c>
      <c r="E72" s="830" t="s">
        <v>179</v>
      </c>
      <c r="F72" s="684" t="s">
        <v>306</v>
      </c>
      <c r="G72" s="220">
        <v>6000</v>
      </c>
      <c r="H72" s="220">
        <v>500</v>
      </c>
      <c r="I72" s="314"/>
      <c r="J72" s="314"/>
      <c r="K72" s="314"/>
      <c r="L72" s="230"/>
      <c r="M72" s="314">
        <f>H72-I72</f>
        <v>500</v>
      </c>
      <c r="N72" s="220">
        <v>500</v>
      </c>
      <c r="O72" s="672" t="s">
        <v>693</v>
      </c>
      <c r="P72" s="384"/>
      <c r="Q72" s="384"/>
      <c r="R72" s="398"/>
      <c r="S72" s="133"/>
      <c r="V72" s="400"/>
      <c r="W72" s="401"/>
      <c r="X72" s="720"/>
      <c r="Y72" s="721"/>
      <c r="Z72" s="722"/>
      <c r="AA72" s="720"/>
      <c r="AB72" s="720"/>
      <c r="AC72" s="720"/>
      <c r="AD72" s="444"/>
      <c r="AE72" s="444"/>
      <c r="AF72" s="720"/>
      <c r="AG72" s="442"/>
      <c r="AH72" s="720"/>
      <c r="AI72" s="720"/>
      <c r="AJ72" s="720"/>
      <c r="AK72" s="720"/>
      <c r="AL72" s="720"/>
      <c r="AM72" s="720"/>
    </row>
    <row r="73" spans="1:39" s="399" customFormat="1" ht="36" x14ac:dyDescent="0.2">
      <c r="A73" s="219">
        <v>2</v>
      </c>
      <c r="B73" s="226" t="s">
        <v>282</v>
      </c>
      <c r="C73" s="684" t="s">
        <v>292</v>
      </c>
      <c r="D73" s="685" t="s">
        <v>296</v>
      </c>
      <c r="E73" s="830" t="s">
        <v>179</v>
      </c>
      <c r="F73" s="684" t="s">
        <v>307</v>
      </c>
      <c r="G73" s="220">
        <v>4000</v>
      </c>
      <c r="H73" s="220">
        <v>500</v>
      </c>
      <c r="I73" s="314"/>
      <c r="J73" s="314"/>
      <c r="K73" s="314"/>
      <c r="L73" s="230"/>
      <c r="M73" s="314">
        <f t="shared" ref="M73:M76" si="36">H73-I73</f>
        <v>500</v>
      </c>
      <c r="N73" s="220">
        <v>500</v>
      </c>
      <c r="O73" s="672" t="s">
        <v>693</v>
      </c>
      <c r="P73" s="384"/>
      <c r="Q73" s="384"/>
      <c r="R73" s="398"/>
      <c r="S73" s="133"/>
      <c r="V73" s="400"/>
      <c r="W73" s="401"/>
      <c r="X73" s="720"/>
      <c r="Y73" s="721"/>
      <c r="Z73" s="722"/>
      <c r="AA73" s="720"/>
      <c r="AB73" s="720"/>
      <c r="AC73" s="720"/>
      <c r="AD73" s="444"/>
      <c r="AE73" s="444"/>
      <c r="AF73" s="720"/>
      <c r="AG73" s="442"/>
      <c r="AH73" s="720"/>
      <c r="AI73" s="720"/>
      <c r="AJ73" s="720"/>
      <c r="AK73" s="720"/>
      <c r="AL73" s="720"/>
      <c r="AM73" s="720"/>
    </row>
    <row r="74" spans="1:39" s="399" customFormat="1" ht="48" x14ac:dyDescent="0.2">
      <c r="A74" s="219">
        <v>3</v>
      </c>
      <c r="B74" s="226" t="s">
        <v>283</v>
      </c>
      <c r="C74" s="685" t="s">
        <v>142</v>
      </c>
      <c r="D74" s="685" t="s">
        <v>297</v>
      </c>
      <c r="E74" s="830" t="s">
        <v>179</v>
      </c>
      <c r="F74" s="684" t="s">
        <v>308</v>
      </c>
      <c r="G74" s="220">
        <v>7000</v>
      </c>
      <c r="H74" s="220">
        <v>1000</v>
      </c>
      <c r="I74" s="314"/>
      <c r="J74" s="314"/>
      <c r="K74" s="314"/>
      <c r="L74" s="230"/>
      <c r="M74" s="314">
        <f t="shared" si="36"/>
        <v>1000</v>
      </c>
      <c r="N74" s="220">
        <v>1000</v>
      </c>
      <c r="O74" s="672" t="s">
        <v>693</v>
      </c>
      <c r="P74" s="384"/>
      <c r="Q74" s="384"/>
      <c r="R74" s="398"/>
      <c r="S74" s="133"/>
      <c r="V74" s="400"/>
      <c r="W74" s="401"/>
      <c r="X74" s="720"/>
      <c r="Y74" s="721"/>
      <c r="Z74" s="722"/>
      <c r="AA74" s="720"/>
      <c r="AB74" s="720"/>
      <c r="AC74" s="720"/>
      <c r="AD74" s="444"/>
      <c r="AE74" s="444"/>
      <c r="AF74" s="720"/>
      <c r="AG74" s="442"/>
      <c r="AH74" s="720"/>
      <c r="AI74" s="720"/>
      <c r="AJ74" s="720"/>
      <c r="AK74" s="720"/>
      <c r="AL74" s="720"/>
      <c r="AM74" s="720"/>
    </row>
    <row r="75" spans="1:39" s="399" customFormat="1" ht="36" x14ac:dyDescent="0.2">
      <c r="A75" s="219">
        <v>4</v>
      </c>
      <c r="B75" s="226" t="s">
        <v>284</v>
      </c>
      <c r="C75" s="685" t="s">
        <v>142</v>
      </c>
      <c r="D75" s="685" t="s">
        <v>298</v>
      </c>
      <c r="E75" s="672" t="s">
        <v>179</v>
      </c>
      <c r="F75" s="684" t="s">
        <v>309</v>
      </c>
      <c r="G75" s="220">
        <v>6000</v>
      </c>
      <c r="H75" s="220">
        <v>1000</v>
      </c>
      <c r="I75" s="314"/>
      <c r="J75" s="314"/>
      <c r="K75" s="314"/>
      <c r="L75" s="230"/>
      <c r="M75" s="314">
        <f t="shared" si="36"/>
        <v>1000</v>
      </c>
      <c r="N75" s="220">
        <v>1000</v>
      </c>
      <c r="O75" s="672" t="s">
        <v>693</v>
      </c>
      <c r="P75" s="384"/>
      <c r="Q75" s="384"/>
      <c r="R75" s="398"/>
      <c r="S75" s="133"/>
      <c r="V75" s="400"/>
      <c r="W75" s="401"/>
      <c r="X75" s="720"/>
      <c r="Y75" s="721"/>
      <c r="Z75" s="722"/>
      <c r="AA75" s="720"/>
      <c r="AB75" s="720"/>
      <c r="AC75" s="720"/>
      <c r="AD75" s="444"/>
      <c r="AE75" s="444"/>
      <c r="AF75" s="720"/>
      <c r="AG75" s="442"/>
      <c r="AH75" s="720"/>
      <c r="AI75" s="720"/>
      <c r="AJ75" s="720"/>
      <c r="AK75" s="720"/>
      <c r="AL75" s="720"/>
      <c r="AM75" s="720"/>
    </row>
    <row r="76" spans="1:39" s="399" customFormat="1" ht="48" x14ac:dyDescent="0.2">
      <c r="A76" s="219">
        <v>5</v>
      </c>
      <c r="B76" s="228" t="s">
        <v>285</v>
      </c>
      <c r="C76" s="684" t="s">
        <v>142</v>
      </c>
      <c r="D76" s="684" t="s">
        <v>299</v>
      </c>
      <c r="E76" s="672" t="s">
        <v>179</v>
      </c>
      <c r="F76" s="684" t="s">
        <v>310</v>
      </c>
      <c r="G76" s="220">
        <v>7000</v>
      </c>
      <c r="H76" s="220">
        <v>2000</v>
      </c>
      <c r="I76" s="314"/>
      <c r="J76" s="314"/>
      <c r="K76" s="314"/>
      <c r="L76" s="230"/>
      <c r="M76" s="314">
        <f t="shared" si="36"/>
        <v>2000</v>
      </c>
      <c r="N76" s="220">
        <v>2000</v>
      </c>
      <c r="O76" s="672" t="s">
        <v>693</v>
      </c>
      <c r="P76" s="384"/>
      <c r="Q76" s="384"/>
      <c r="R76" s="398"/>
      <c r="S76" s="133"/>
      <c r="V76" s="400"/>
      <c r="W76" s="401"/>
      <c r="X76" s="720"/>
      <c r="Y76" s="721"/>
      <c r="Z76" s="722"/>
      <c r="AA76" s="720"/>
      <c r="AB76" s="720"/>
      <c r="AC76" s="720"/>
      <c r="AD76" s="444"/>
      <c r="AE76" s="444"/>
      <c r="AF76" s="720"/>
      <c r="AG76" s="442"/>
      <c r="AH76" s="720"/>
      <c r="AI76" s="720"/>
      <c r="AJ76" s="720"/>
      <c r="AK76" s="720"/>
      <c r="AL76" s="720"/>
      <c r="AM76" s="720"/>
    </row>
    <row r="77" spans="1:39" s="399" customFormat="1" ht="24" x14ac:dyDescent="0.2">
      <c r="A77" s="219">
        <v>6</v>
      </c>
      <c r="B77" s="406" t="s">
        <v>587</v>
      </c>
      <c r="C77" s="671" t="s">
        <v>139</v>
      </c>
      <c r="D77" s="830"/>
      <c r="E77" s="672" t="s">
        <v>179</v>
      </c>
      <c r="F77" s="684" t="s">
        <v>191</v>
      </c>
      <c r="G77" s="314">
        <v>4500</v>
      </c>
      <c r="H77" s="220">
        <v>2000</v>
      </c>
      <c r="I77" s="314"/>
      <c r="J77" s="314"/>
      <c r="K77" s="314"/>
      <c r="L77" s="230"/>
      <c r="M77" s="760">
        <v>1350</v>
      </c>
      <c r="N77" s="774">
        <f>M77</f>
        <v>1350</v>
      </c>
      <c r="O77" s="672" t="s">
        <v>693</v>
      </c>
      <c r="P77" s="384"/>
      <c r="Q77" s="384"/>
      <c r="R77" s="398"/>
      <c r="S77" s="133"/>
      <c r="V77" s="400"/>
      <c r="W77" s="401"/>
      <c r="X77" s="720"/>
      <c r="Y77" s="721"/>
      <c r="Z77" s="722"/>
      <c r="AA77" s="720"/>
      <c r="AB77" s="720"/>
      <c r="AC77" s="720"/>
      <c r="AD77" s="444"/>
      <c r="AE77" s="444"/>
      <c r="AF77" s="720"/>
      <c r="AG77" s="442"/>
      <c r="AH77" s="720"/>
      <c r="AI77" s="720"/>
      <c r="AJ77" s="720"/>
      <c r="AK77" s="720"/>
      <c r="AL77" s="720"/>
      <c r="AM77" s="720"/>
    </row>
    <row r="78" spans="1:39" s="641" customFormat="1" ht="30" x14ac:dyDescent="0.2">
      <c r="A78" s="260"/>
      <c r="B78" s="773" t="s">
        <v>601</v>
      </c>
      <c r="C78" s="691"/>
      <c r="D78" s="831"/>
      <c r="E78" s="831"/>
      <c r="F78" s="692"/>
      <c r="G78" s="308">
        <f>SUM(G79:G80)</f>
        <v>28840</v>
      </c>
      <c r="H78" s="308">
        <f t="shared" ref="H78:N78" si="37">SUM(H79:H80)</f>
        <v>21600</v>
      </c>
      <c r="I78" s="308">
        <f t="shared" si="37"/>
        <v>0</v>
      </c>
      <c r="J78" s="308">
        <f t="shared" si="37"/>
        <v>0</v>
      </c>
      <c r="K78" s="308">
        <f t="shared" si="37"/>
        <v>0</v>
      </c>
      <c r="L78" s="308">
        <f t="shared" si="37"/>
        <v>0</v>
      </c>
      <c r="M78" s="308">
        <f t="shared" si="37"/>
        <v>21600</v>
      </c>
      <c r="N78" s="308">
        <f t="shared" si="37"/>
        <v>6880</v>
      </c>
      <c r="O78" s="692"/>
      <c r="P78" s="723"/>
      <c r="Q78" s="723"/>
      <c r="R78" s="724"/>
      <c r="S78" s="144"/>
      <c r="V78" s="725"/>
      <c r="W78" s="726"/>
      <c r="X78" s="727"/>
      <c r="Y78" s="728"/>
      <c r="Z78" s="729"/>
      <c r="AA78" s="727"/>
      <c r="AB78" s="727"/>
      <c r="AC78" s="727"/>
      <c r="AD78" s="730"/>
      <c r="AE78" s="730"/>
      <c r="AF78" s="727"/>
      <c r="AG78" s="731"/>
      <c r="AH78" s="727"/>
      <c r="AI78" s="727"/>
      <c r="AJ78" s="727"/>
      <c r="AK78" s="727"/>
      <c r="AL78" s="727"/>
      <c r="AM78" s="727"/>
    </row>
    <row r="79" spans="1:39" s="399" customFormat="1" ht="30" x14ac:dyDescent="0.2">
      <c r="A79" s="219">
        <v>1</v>
      </c>
      <c r="B79" s="406" t="s">
        <v>597</v>
      </c>
      <c r="C79" s="671" t="s">
        <v>146</v>
      </c>
      <c r="D79" s="830"/>
      <c r="E79" s="672" t="s">
        <v>179</v>
      </c>
      <c r="F79" s="695" t="s">
        <v>223</v>
      </c>
      <c r="G79" s="314">
        <v>8340</v>
      </c>
      <c r="H79" s="314">
        <v>4000</v>
      </c>
      <c r="I79" s="314"/>
      <c r="J79" s="314"/>
      <c r="K79" s="314"/>
      <c r="L79" s="230"/>
      <c r="M79" s="760">
        <f>H79-I79</f>
        <v>4000</v>
      </c>
      <c r="N79" s="230">
        <v>4000</v>
      </c>
      <c r="O79" s="672" t="s">
        <v>694</v>
      </c>
      <c r="P79" s="384"/>
      <c r="Q79" s="384"/>
      <c r="R79" s="398"/>
      <c r="S79" s="133"/>
      <c r="V79" s="400"/>
      <c r="W79" s="401"/>
      <c r="X79" s="720"/>
      <c r="Y79" s="721"/>
      <c r="Z79" s="722"/>
      <c r="AA79" s="720"/>
      <c r="AB79" s="720"/>
      <c r="AC79" s="720"/>
      <c r="AD79" s="444"/>
      <c r="AE79" s="444"/>
      <c r="AF79" s="720"/>
      <c r="AG79" s="442"/>
      <c r="AH79" s="720"/>
      <c r="AI79" s="720"/>
      <c r="AJ79" s="720"/>
      <c r="AK79" s="720"/>
      <c r="AL79" s="720"/>
      <c r="AM79" s="720"/>
    </row>
    <row r="80" spans="1:39" s="399" customFormat="1" ht="30" x14ac:dyDescent="0.2">
      <c r="A80" s="219">
        <v>2</v>
      </c>
      <c r="B80" s="406" t="s">
        <v>600</v>
      </c>
      <c r="C80" s="671" t="s">
        <v>143</v>
      </c>
      <c r="D80" s="830"/>
      <c r="E80" s="830" t="s">
        <v>466</v>
      </c>
      <c r="F80" s="672" t="s">
        <v>602</v>
      </c>
      <c r="G80" s="314">
        <v>20500</v>
      </c>
      <c r="H80" s="314">
        <f>9600+8000</f>
        <v>17600</v>
      </c>
      <c r="I80" s="314"/>
      <c r="J80" s="314"/>
      <c r="K80" s="314"/>
      <c r="L80" s="230"/>
      <c r="M80" s="760">
        <f>H80-I80</f>
        <v>17600</v>
      </c>
      <c r="N80" s="763">
        <f>9600*30%</f>
        <v>2880</v>
      </c>
      <c r="O80" s="672" t="s">
        <v>694</v>
      </c>
      <c r="P80" s="384"/>
      <c r="Q80" s="384"/>
      <c r="R80" s="398"/>
      <c r="S80" s="133"/>
      <c r="V80" s="400"/>
      <c r="W80" s="401"/>
      <c r="X80" s="720"/>
      <c r="Y80" s="721"/>
      <c r="Z80" s="722"/>
      <c r="AA80" s="720"/>
      <c r="AB80" s="720"/>
      <c r="AC80" s="720"/>
      <c r="AD80" s="444"/>
      <c r="AE80" s="444"/>
      <c r="AF80" s="720"/>
      <c r="AG80" s="442"/>
      <c r="AH80" s="720"/>
      <c r="AI80" s="720"/>
      <c r="AJ80" s="720"/>
      <c r="AK80" s="720"/>
      <c r="AL80" s="720"/>
      <c r="AM80" s="720"/>
    </row>
    <row r="81" spans="1:39" s="399" customFormat="1" ht="28.5" x14ac:dyDescent="0.2">
      <c r="A81" s="766" t="s">
        <v>669</v>
      </c>
      <c r="B81" s="346" t="s">
        <v>453</v>
      </c>
      <c r="C81" s="671"/>
      <c r="D81" s="672"/>
      <c r="E81" s="808"/>
      <c r="F81" s="672"/>
      <c r="G81" s="775">
        <f>G82+G84</f>
        <v>13952</v>
      </c>
      <c r="H81" s="775">
        <f t="shared" ref="H81:N81" si="38">H82+H84</f>
        <v>13800</v>
      </c>
      <c r="I81" s="775">
        <f t="shared" si="38"/>
        <v>8257</v>
      </c>
      <c r="J81" s="775">
        <f t="shared" si="38"/>
        <v>6616</v>
      </c>
      <c r="K81" s="775">
        <f t="shared" si="38"/>
        <v>6616</v>
      </c>
      <c r="L81" s="775">
        <f t="shared" si="38"/>
        <v>6616</v>
      </c>
      <c r="M81" s="775">
        <f t="shared" si="38"/>
        <v>5543</v>
      </c>
      <c r="N81" s="775">
        <f t="shared" si="38"/>
        <v>5543</v>
      </c>
      <c r="O81" s="672"/>
      <c r="P81" s="384"/>
      <c r="Q81" s="384"/>
      <c r="R81" s="398"/>
      <c r="S81" s="133"/>
      <c r="V81" s="400"/>
      <c r="W81" s="401"/>
      <c r="X81" s="402"/>
      <c r="Y81" s="403"/>
      <c r="Z81" s="389"/>
      <c r="AA81" s="402"/>
      <c r="AB81" s="402"/>
      <c r="AC81" s="402"/>
      <c r="AD81" s="404"/>
      <c r="AE81" s="404"/>
      <c r="AF81" s="402"/>
      <c r="AG81" s="405"/>
      <c r="AH81" s="402"/>
      <c r="AI81" s="402"/>
      <c r="AJ81" s="402"/>
      <c r="AK81" s="402"/>
      <c r="AL81" s="402"/>
      <c r="AM81" s="402"/>
    </row>
    <row r="82" spans="1:39" s="641" customFormat="1" ht="30" x14ac:dyDescent="0.2">
      <c r="A82" s="204"/>
      <c r="B82" s="307" t="s">
        <v>430</v>
      </c>
      <c r="C82" s="681"/>
      <c r="D82" s="682"/>
      <c r="E82" s="819"/>
      <c r="F82" s="682"/>
      <c r="G82" s="334">
        <f>SUM(G83)</f>
        <v>7752</v>
      </c>
      <c r="H82" s="334">
        <f t="shared" ref="H82:N82" si="39">SUM(H83)</f>
        <v>7600</v>
      </c>
      <c r="I82" s="334">
        <f t="shared" si="39"/>
        <v>4548</v>
      </c>
      <c r="J82" s="334">
        <f t="shared" si="39"/>
        <v>3644</v>
      </c>
      <c r="K82" s="334">
        <f t="shared" si="39"/>
        <v>3644</v>
      </c>
      <c r="L82" s="334">
        <f t="shared" si="39"/>
        <v>3644</v>
      </c>
      <c r="M82" s="334">
        <f t="shared" si="39"/>
        <v>3052</v>
      </c>
      <c r="N82" s="334">
        <f t="shared" si="39"/>
        <v>3052</v>
      </c>
      <c r="O82" s="682"/>
      <c r="R82" s="642"/>
      <c r="S82" s="643"/>
      <c r="V82" s="644"/>
      <c r="W82" s="645"/>
      <c r="X82" s="646"/>
      <c r="Y82" s="647"/>
      <c r="Z82" s="648"/>
      <c r="AA82" s="646"/>
      <c r="AB82" s="646"/>
      <c r="AC82" s="646"/>
      <c r="AD82" s="647"/>
      <c r="AE82" s="647"/>
      <c r="AF82" s="646"/>
      <c r="AG82" s="646"/>
      <c r="AH82" s="646"/>
      <c r="AI82" s="646"/>
      <c r="AJ82" s="646"/>
      <c r="AK82" s="646"/>
      <c r="AL82" s="646"/>
      <c r="AM82" s="646"/>
    </row>
    <row r="83" spans="1:39" s="399" customFormat="1" ht="30" x14ac:dyDescent="0.2">
      <c r="A83" s="219">
        <v>1</v>
      </c>
      <c r="B83" s="242" t="s">
        <v>246</v>
      </c>
      <c r="C83" s="671" t="s">
        <v>429</v>
      </c>
      <c r="D83" s="672" t="s">
        <v>248</v>
      </c>
      <c r="E83" s="808" t="s">
        <v>179</v>
      </c>
      <c r="F83" s="672" t="s">
        <v>251</v>
      </c>
      <c r="G83" s="314">
        <v>7752</v>
      </c>
      <c r="H83" s="314">
        <v>7600</v>
      </c>
      <c r="I83" s="224">
        <f>904+J83</f>
        <v>4548</v>
      </c>
      <c r="J83" s="314">
        <v>3644</v>
      </c>
      <c r="K83" s="314">
        <f>L83</f>
        <v>3644</v>
      </c>
      <c r="L83" s="314">
        <v>3644</v>
      </c>
      <c r="M83" s="421">
        <f>H83-I83</f>
        <v>3052</v>
      </c>
      <c r="N83" s="314">
        <f>M83</f>
        <v>3052</v>
      </c>
      <c r="O83" s="672"/>
      <c r="P83" s="384"/>
      <c r="Q83" s="384"/>
      <c r="R83" s="398"/>
      <c r="S83" s="133"/>
      <c r="V83" s="400"/>
      <c r="W83" s="401"/>
      <c r="X83" s="402"/>
      <c r="Y83" s="403"/>
      <c r="Z83" s="389"/>
      <c r="AA83" s="402"/>
      <c r="AB83" s="402"/>
      <c r="AC83" s="402"/>
      <c r="AD83" s="404"/>
      <c r="AE83" s="404"/>
      <c r="AF83" s="402"/>
      <c r="AG83" s="405"/>
      <c r="AH83" s="402"/>
      <c r="AI83" s="402"/>
      <c r="AJ83" s="402"/>
      <c r="AK83" s="402"/>
      <c r="AL83" s="402"/>
      <c r="AM83" s="402"/>
    </row>
    <row r="84" spans="1:39" s="641" customFormat="1" ht="30" x14ac:dyDescent="0.2">
      <c r="A84" s="204"/>
      <c r="B84" s="307" t="s">
        <v>431</v>
      </c>
      <c r="C84" s="681"/>
      <c r="D84" s="682"/>
      <c r="E84" s="819"/>
      <c r="F84" s="682"/>
      <c r="G84" s="334">
        <f>SUM(G85:G86)</f>
        <v>6200</v>
      </c>
      <c r="H84" s="334">
        <f t="shared" ref="H84:N84" si="40">SUM(H85:H86)</f>
        <v>6200</v>
      </c>
      <c r="I84" s="334">
        <f t="shared" si="40"/>
        <v>3709</v>
      </c>
      <c r="J84" s="334">
        <f t="shared" si="40"/>
        <v>2972</v>
      </c>
      <c r="K84" s="334">
        <f t="shared" si="40"/>
        <v>2972</v>
      </c>
      <c r="L84" s="334">
        <f t="shared" si="40"/>
        <v>2972</v>
      </c>
      <c r="M84" s="334">
        <f t="shared" si="40"/>
        <v>2491</v>
      </c>
      <c r="N84" s="334">
        <f t="shared" si="40"/>
        <v>2491</v>
      </c>
      <c r="O84" s="682"/>
      <c r="R84" s="642"/>
      <c r="S84" s="643"/>
      <c r="V84" s="644"/>
      <c r="W84" s="645"/>
      <c r="X84" s="646"/>
      <c r="Y84" s="647"/>
      <c r="Z84" s="648"/>
      <c r="AA84" s="646"/>
      <c r="AB84" s="646"/>
      <c r="AC84" s="646"/>
      <c r="AD84" s="647"/>
      <c r="AE84" s="647"/>
      <c r="AF84" s="646"/>
      <c r="AG84" s="646"/>
      <c r="AH84" s="646"/>
      <c r="AI84" s="646"/>
      <c r="AJ84" s="646"/>
      <c r="AK84" s="646"/>
      <c r="AL84" s="646"/>
      <c r="AM84" s="646"/>
    </row>
    <row r="85" spans="1:39" s="399" customFormat="1" ht="30" x14ac:dyDescent="0.2">
      <c r="A85" s="219">
        <v>1</v>
      </c>
      <c r="B85" s="242" t="s">
        <v>244</v>
      </c>
      <c r="C85" s="671" t="s">
        <v>145</v>
      </c>
      <c r="D85" s="672" t="s">
        <v>247</v>
      </c>
      <c r="E85" s="808" t="s">
        <v>179</v>
      </c>
      <c r="F85" s="672" t="s">
        <v>249</v>
      </c>
      <c r="G85" s="314">
        <v>4650</v>
      </c>
      <c r="H85" s="314">
        <v>4650</v>
      </c>
      <c r="I85" s="314">
        <f>553+J85</f>
        <v>2782</v>
      </c>
      <c r="J85" s="314">
        <v>2229</v>
      </c>
      <c r="K85" s="314">
        <f>L85</f>
        <v>2229</v>
      </c>
      <c r="L85" s="314">
        <v>2229</v>
      </c>
      <c r="M85" s="421">
        <f t="shared" ref="M85:M86" si="41">G85-I85</f>
        <v>1868</v>
      </c>
      <c r="N85" s="314">
        <f>M85</f>
        <v>1868</v>
      </c>
      <c r="O85" s="672"/>
      <c r="P85" s="384"/>
      <c r="Q85" s="384"/>
      <c r="R85" s="398"/>
      <c r="S85" s="133"/>
      <c r="V85" s="400"/>
      <c r="W85" s="401"/>
      <c r="X85" s="402"/>
      <c r="Y85" s="403"/>
      <c r="Z85" s="389"/>
      <c r="AA85" s="402"/>
      <c r="AB85" s="402"/>
      <c r="AC85" s="402"/>
      <c r="AD85" s="404"/>
      <c r="AE85" s="404"/>
      <c r="AF85" s="402"/>
      <c r="AG85" s="405"/>
      <c r="AH85" s="402"/>
      <c r="AI85" s="402"/>
      <c r="AJ85" s="402"/>
      <c r="AK85" s="402"/>
      <c r="AL85" s="402"/>
      <c r="AM85" s="402"/>
    </row>
    <row r="86" spans="1:39" s="399" customFormat="1" ht="30" x14ac:dyDescent="0.2">
      <c r="A86" s="219">
        <v>2</v>
      </c>
      <c r="B86" s="242" t="s">
        <v>245</v>
      </c>
      <c r="C86" s="671" t="s">
        <v>145</v>
      </c>
      <c r="D86" s="672" t="s">
        <v>247</v>
      </c>
      <c r="E86" s="808" t="s">
        <v>179</v>
      </c>
      <c r="F86" s="672" t="s">
        <v>250</v>
      </c>
      <c r="G86" s="314">
        <v>1550</v>
      </c>
      <c r="H86" s="314">
        <v>1550</v>
      </c>
      <c r="I86" s="314">
        <f>184+J86</f>
        <v>927</v>
      </c>
      <c r="J86" s="314">
        <v>743</v>
      </c>
      <c r="K86" s="314">
        <f>L86</f>
        <v>743</v>
      </c>
      <c r="L86" s="314">
        <v>743</v>
      </c>
      <c r="M86" s="421">
        <f t="shared" si="41"/>
        <v>623</v>
      </c>
      <c r="N86" s="314">
        <f>M86</f>
        <v>623</v>
      </c>
      <c r="O86" s="672"/>
      <c r="P86" s="384"/>
      <c r="Q86" s="384"/>
      <c r="R86" s="398"/>
      <c r="S86" s="133"/>
      <c r="V86" s="400"/>
      <c r="W86" s="401"/>
      <c r="X86" s="402"/>
      <c r="Y86" s="403"/>
      <c r="Z86" s="389"/>
      <c r="AA86" s="402"/>
      <c r="AB86" s="402"/>
      <c r="AC86" s="402"/>
      <c r="AD86" s="404"/>
      <c r="AE86" s="404"/>
      <c r="AF86" s="402"/>
      <c r="AG86" s="405"/>
      <c r="AH86" s="402"/>
      <c r="AI86" s="402"/>
      <c r="AJ86" s="402"/>
      <c r="AK86" s="402"/>
      <c r="AL86" s="402"/>
      <c r="AM86" s="402"/>
    </row>
    <row r="87" spans="1:39" s="399" customFormat="1" ht="24.6" customHeight="1" x14ac:dyDescent="0.2">
      <c r="A87" s="764" t="s">
        <v>76</v>
      </c>
      <c r="B87" s="295" t="s">
        <v>69</v>
      </c>
      <c r="C87" s="832"/>
      <c r="D87" s="833"/>
      <c r="E87" s="834"/>
      <c r="F87" s="833"/>
      <c r="G87" s="297">
        <f>G88+G91</f>
        <v>34330</v>
      </c>
      <c r="H87" s="297">
        <f t="shared" ref="H87:N87" si="42">H88+H91</f>
        <v>31721</v>
      </c>
      <c r="I87" s="297">
        <f t="shared" si="42"/>
        <v>24536</v>
      </c>
      <c r="J87" s="297">
        <f t="shared" si="42"/>
        <v>12800</v>
      </c>
      <c r="K87" s="297">
        <f t="shared" si="42"/>
        <v>12800</v>
      </c>
      <c r="L87" s="297">
        <f t="shared" si="42"/>
        <v>12800</v>
      </c>
      <c r="M87" s="297">
        <f t="shared" si="42"/>
        <v>6940</v>
      </c>
      <c r="N87" s="297">
        <f t="shared" si="42"/>
        <v>8504</v>
      </c>
      <c r="O87" s="833"/>
      <c r="P87" s="384"/>
      <c r="Q87" s="384"/>
      <c r="R87" s="398"/>
      <c r="S87" s="133"/>
      <c r="V87" s="400"/>
      <c r="W87" s="401"/>
      <c r="X87" s="402"/>
      <c r="Y87" s="403"/>
      <c r="Z87" s="389"/>
      <c r="AA87" s="402"/>
      <c r="AB87" s="402"/>
      <c r="AC87" s="402"/>
      <c r="AD87" s="404"/>
      <c r="AE87" s="404"/>
      <c r="AF87" s="402"/>
      <c r="AG87" s="405"/>
      <c r="AH87" s="402"/>
      <c r="AI87" s="402"/>
      <c r="AJ87" s="402"/>
      <c r="AK87" s="402"/>
      <c r="AL87" s="402"/>
      <c r="AM87" s="402"/>
    </row>
    <row r="88" spans="1:39" s="641" customFormat="1" ht="30" x14ac:dyDescent="0.2">
      <c r="A88" s="204" t="s">
        <v>670</v>
      </c>
      <c r="B88" s="307" t="s">
        <v>454</v>
      </c>
      <c r="C88" s="681"/>
      <c r="D88" s="682"/>
      <c r="E88" s="819"/>
      <c r="F88" s="682"/>
      <c r="G88" s="311">
        <f>G89</f>
        <v>28000</v>
      </c>
      <c r="H88" s="311">
        <f t="shared" ref="H88:N88" si="43">H89</f>
        <v>27483</v>
      </c>
      <c r="I88" s="311">
        <f t="shared" si="43"/>
        <v>20543</v>
      </c>
      <c r="J88" s="311">
        <f t="shared" si="43"/>
        <v>10543</v>
      </c>
      <c r="K88" s="311">
        <f t="shared" si="43"/>
        <v>10543</v>
      </c>
      <c r="L88" s="311">
        <f t="shared" si="43"/>
        <v>10543</v>
      </c>
      <c r="M88" s="311">
        <f t="shared" si="43"/>
        <v>6940</v>
      </c>
      <c r="N88" s="311">
        <f t="shared" si="43"/>
        <v>6940</v>
      </c>
      <c r="O88" s="682"/>
      <c r="R88" s="642"/>
      <c r="S88" s="643"/>
      <c r="V88" s="644"/>
      <c r="W88" s="645"/>
      <c r="X88" s="646"/>
      <c r="Y88" s="647"/>
      <c r="Z88" s="648"/>
      <c r="AA88" s="646"/>
      <c r="AB88" s="646"/>
      <c r="AC88" s="646"/>
      <c r="AD88" s="647"/>
      <c r="AE88" s="647"/>
      <c r="AF88" s="646"/>
      <c r="AG88" s="646"/>
      <c r="AH88" s="646"/>
      <c r="AI88" s="646"/>
      <c r="AJ88" s="646"/>
      <c r="AK88" s="646"/>
      <c r="AL88" s="646"/>
      <c r="AM88" s="646"/>
    </row>
    <row r="89" spans="1:39" s="399" customFormat="1" ht="14.25" x14ac:dyDescent="0.2">
      <c r="A89" s="766"/>
      <c r="B89" s="346" t="s">
        <v>455</v>
      </c>
      <c r="C89" s="816"/>
      <c r="D89" s="817"/>
      <c r="E89" s="818"/>
      <c r="F89" s="817"/>
      <c r="G89" s="347">
        <f>SUM(G90)</f>
        <v>28000</v>
      </c>
      <c r="H89" s="347">
        <f t="shared" ref="H89:N89" si="44">SUM(H90)</f>
        <v>27483</v>
      </c>
      <c r="I89" s="347">
        <f t="shared" si="44"/>
        <v>20543</v>
      </c>
      <c r="J89" s="347">
        <f t="shared" si="44"/>
        <v>10543</v>
      </c>
      <c r="K89" s="347">
        <f t="shared" si="44"/>
        <v>10543</v>
      </c>
      <c r="L89" s="347">
        <f t="shared" si="44"/>
        <v>10543</v>
      </c>
      <c r="M89" s="347">
        <f t="shared" si="44"/>
        <v>6940</v>
      </c>
      <c r="N89" s="347">
        <f t="shared" si="44"/>
        <v>6940</v>
      </c>
      <c r="O89" s="817"/>
      <c r="R89" s="636"/>
      <c r="S89" s="637"/>
      <c r="V89" s="638"/>
      <c r="W89" s="639"/>
      <c r="X89" s="402"/>
      <c r="Y89" s="403"/>
      <c r="Z89" s="640"/>
      <c r="AA89" s="402"/>
      <c r="AB89" s="402"/>
      <c r="AC89" s="402"/>
      <c r="AD89" s="403"/>
      <c r="AE89" s="403"/>
      <c r="AF89" s="402"/>
      <c r="AG89" s="402"/>
      <c r="AH89" s="402"/>
      <c r="AI89" s="402"/>
      <c r="AJ89" s="402"/>
      <c r="AK89" s="402"/>
      <c r="AL89" s="402"/>
      <c r="AM89" s="402"/>
    </row>
    <row r="90" spans="1:39" s="399" customFormat="1" ht="30" x14ac:dyDescent="0.2">
      <c r="A90" s="219">
        <v>1</v>
      </c>
      <c r="B90" s="242" t="s">
        <v>80</v>
      </c>
      <c r="C90" s="671" t="s">
        <v>140</v>
      </c>
      <c r="D90" s="672"/>
      <c r="E90" s="808">
        <v>2022</v>
      </c>
      <c r="F90" s="672" t="s">
        <v>81</v>
      </c>
      <c r="G90" s="314">
        <v>28000</v>
      </c>
      <c r="H90" s="314">
        <v>27483</v>
      </c>
      <c r="I90" s="314">
        <f>10000+J90</f>
        <v>20543</v>
      </c>
      <c r="J90" s="314">
        <v>10543</v>
      </c>
      <c r="K90" s="314">
        <f>L90</f>
        <v>10543</v>
      </c>
      <c r="L90" s="314">
        <v>10543</v>
      </c>
      <c r="M90" s="421">
        <f>H90-I90</f>
        <v>6940</v>
      </c>
      <c r="N90" s="314">
        <f>M90</f>
        <v>6940</v>
      </c>
      <c r="O90" s="672"/>
      <c r="P90" s="384"/>
      <c r="Q90" s="384"/>
      <c r="R90" s="398"/>
      <c r="S90" s="133"/>
      <c r="V90" s="400"/>
      <c r="W90" s="401"/>
      <c r="X90" s="402"/>
      <c r="Y90" s="403"/>
      <c r="Z90" s="389"/>
      <c r="AA90" s="402"/>
      <c r="AB90" s="402"/>
      <c r="AC90" s="402"/>
      <c r="AD90" s="404"/>
      <c r="AE90" s="404"/>
      <c r="AF90" s="402"/>
      <c r="AG90" s="405"/>
      <c r="AH90" s="402"/>
      <c r="AI90" s="402"/>
      <c r="AJ90" s="402"/>
      <c r="AK90" s="402"/>
      <c r="AL90" s="402"/>
      <c r="AM90" s="402"/>
    </row>
    <row r="91" spans="1:39" s="641" customFormat="1" ht="30" x14ac:dyDescent="0.2">
      <c r="A91" s="204" t="s">
        <v>671</v>
      </c>
      <c r="B91" s="307" t="s">
        <v>456</v>
      </c>
      <c r="C91" s="681"/>
      <c r="D91" s="682"/>
      <c r="E91" s="819"/>
      <c r="F91" s="682"/>
      <c r="G91" s="311">
        <f>G92+G94</f>
        <v>6330</v>
      </c>
      <c r="H91" s="311">
        <f t="shared" ref="H91:N91" si="45">H92+H94</f>
        <v>4238</v>
      </c>
      <c r="I91" s="311">
        <f t="shared" si="45"/>
        <v>3993</v>
      </c>
      <c r="J91" s="311">
        <f t="shared" si="45"/>
        <v>2257</v>
      </c>
      <c r="K91" s="311">
        <f t="shared" si="45"/>
        <v>2257</v>
      </c>
      <c r="L91" s="311">
        <f t="shared" si="45"/>
        <v>2257</v>
      </c>
      <c r="M91" s="311"/>
      <c r="N91" s="311">
        <f t="shared" si="45"/>
        <v>1564</v>
      </c>
      <c r="O91" s="682"/>
      <c r="R91" s="642"/>
      <c r="S91" s="643"/>
      <c r="V91" s="644"/>
      <c r="W91" s="645"/>
      <c r="X91" s="646"/>
      <c r="Y91" s="647"/>
      <c r="Z91" s="648"/>
      <c r="AA91" s="646"/>
      <c r="AB91" s="646"/>
      <c r="AC91" s="646"/>
      <c r="AD91" s="647"/>
      <c r="AE91" s="647"/>
      <c r="AF91" s="646"/>
      <c r="AG91" s="646"/>
      <c r="AH91" s="646"/>
      <c r="AI91" s="646"/>
      <c r="AJ91" s="646"/>
      <c r="AK91" s="646"/>
      <c r="AL91" s="646"/>
      <c r="AM91" s="646"/>
    </row>
    <row r="92" spans="1:39" s="399" customFormat="1" ht="14.25" x14ac:dyDescent="0.2">
      <c r="A92" s="766" t="s">
        <v>28</v>
      </c>
      <c r="B92" s="346" t="s">
        <v>457</v>
      </c>
      <c r="C92" s="816"/>
      <c r="D92" s="817"/>
      <c r="E92" s="818"/>
      <c r="F92" s="817"/>
      <c r="G92" s="775">
        <f>SUM(G93)</f>
        <v>830</v>
      </c>
      <c r="H92" s="775">
        <f t="shared" ref="H92:N92" si="46">SUM(H93)</f>
        <v>527</v>
      </c>
      <c r="I92" s="775">
        <f t="shared" si="46"/>
        <v>57</v>
      </c>
      <c r="J92" s="775">
        <f t="shared" si="46"/>
        <v>57</v>
      </c>
      <c r="K92" s="775">
        <f t="shared" si="46"/>
        <v>57</v>
      </c>
      <c r="L92" s="775">
        <f t="shared" si="46"/>
        <v>57</v>
      </c>
      <c r="M92" s="775">
        <f t="shared" si="46"/>
        <v>0</v>
      </c>
      <c r="N92" s="775">
        <f t="shared" si="46"/>
        <v>0</v>
      </c>
      <c r="O92" s="817"/>
      <c r="R92" s="636"/>
      <c r="S92" s="637"/>
      <c r="V92" s="638"/>
      <c r="W92" s="639"/>
      <c r="X92" s="402"/>
      <c r="Y92" s="403"/>
      <c r="Z92" s="640"/>
      <c r="AA92" s="402"/>
      <c r="AB92" s="402"/>
      <c r="AC92" s="402"/>
      <c r="AD92" s="403"/>
      <c r="AE92" s="403"/>
      <c r="AF92" s="402"/>
      <c r="AG92" s="402"/>
      <c r="AH92" s="402"/>
      <c r="AI92" s="402"/>
      <c r="AJ92" s="402"/>
      <c r="AK92" s="402"/>
      <c r="AL92" s="402"/>
      <c r="AM92" s="402"/>
    </row>
    <row r="93" spans="1:39" s="399" customFormat="1" ht="30" x14ac:dyDescent="0.2">
      <c r="A93" s="219" t="s">
        <v>458</v>
      </c>
      <c r="B93" s="242" t="s">
        <v>459</v>
      </c>
      <c r="C93" s="671" t="s">
        <v>139</v>
      </c>
      <c r="D93" s="672"/>
      <c r="E93" s="808"/>
      <c r="F93" s="672" t="s">
        <v>460</v>
      </c>
      <c r="G93" s="314">
        <v>830</v>
      </c>
      <c r="H93" s="314">
        <v>527</v>
      </c>
      <c r="I93" s="314">
        <f>J93</f>
        <v>57</v>
      </c>
      <c r="J93" s="314">
        <v>57</v>
      </c>
      <c r="K93" s="314">
        <f>L93</f>
        <v>57</v>
      </c>
      <c r="L93" s="314">
        <v>57</v>
      </c>
      <c r="M93" s="421"/>
      <c r="N93" s="314"/>
      <c r="O93" s="672"/>
      <c r="P93" s="384"/>
      <c r="Q93" s="384"/>
      <c r="R93" s="398"/>
      <c r="S93" s="133"/>
      <c r="V93" s="400"/>
      <c r="W93" s="401"/>
      <c r="X93" s="402"/>
      <c r="Y93" s="403"/>
      <c r="Z93" s="389"/>
      <c r="AA93" s="402"/>
      <c r="AB93" s="402"/>
      <c r="AC93" s="402"/>
      <c r="AD93" s="404"/>
      <c r="AE93" s="404"/>
      <c r="AF93" s="402"/>
      <c r="AG93" s="405"/>
      <c r="AH93" s="402"/>
      <c r="AI93" s="402"/>
      <c r="AJ93" s="402"/>
      <c r="AK93" s="402"/>
      <c r="AL93" s="402"/>
      <c r="AM93" s="402"/>
    </row>
    <row r="94" spans="1:39" s="399" customFormat="1" ht="14.25" x14ac:dyDescent="0.2">
      <c r="A94" s="766" t="s">
        <v>30</v>
      </c>
      <c r="B94" s="346" t="s">
        <v>37</v>
      </c>
      <c r="C94" s="816"/>
      <c r="D94" s="817"/>
      <c r="E94" s="818"/>
      <c r="F94" s="817"/>
      <c r="G94" s="347">
        <f>SUM(G95:G96)</f>
        <v>5500</v>
      </c>
      <c r="H94" s="347">
        <f t="shared" ref="H94:N94" si="47">SUM(H95:H96)</f>
        <v>3711</v>
      </c>
      <c r="I94" s="347">
        <f t="shared" si="47"/>
        <v>3936</v>
      </c>
      <c r="J94" s="347">
        <f t="shared" si="47"/>
        <v>2200</v>
      </c>
      <c r="K94" s="347">
        <f t="shared" si="47"/>
        <v>2200</v>
      </c>
      <c r="L94" s="347">
        <f t="shared" si="47"/>
        <v>2200</v>
      </c>
      <c r="M94" s="347">
        <f t="shared" si="47"/>
        <v>1564</v>
      </c>
      <c r="N94" s="347">
        <f t="shared" si="47"/>
        <v>1564</v>
      </c>
      <c r="O94" s="817"/>
      <c r="R94" s="636"/>
      <c r="S94" s="637"/>
      <c r="V94" s="638"/>
      <c r="W94" s="639"/>
      <c r="X94" s="402"/>
      <c r="Y94" s="403"/>
      <c r="Z94" s="640"/>
      <c r="AA94" s="402"/>
      <c r="AB94" s="402"/>
      <c r="AC94" s="402"/>
      <c r="AD94" s="403"/>
      <c r="AE94" s="403"/>
      <c r="AF94" s="402"/>
      <c r="AG94" s="402"/>
      <c r="AH94" s="402"/>
      <c r="AI94" s="402"/>
      <c r="AJ94" s="402"/>
      <c r="AK94" s="402"/>
      <c r="AL94" s="402"/>
      <c r="AM94" s="402"/>
    </row>
    <row r="95" spans="1:39" s="399" customFormat="1" ht="24" x14ac:dyDescent="0.2">
      <c r="A95" s="219">
        <v>1</v>
      </c>
      <c r="B95" s="242" t="s">
        <v>252</v>
      </c>
      <c r="C95" s="671" t="s">
        <v>146</v>
      </c>
      <c r="D95" s="672" t="s">
        <v>261</v>
      </c>
      <c r="E95" s="808" t="s">
        <v>179</v>
      </c>
      <c r="F95" s="672" t="s">
        <v>264</v>
      </c>
      <c r="G95" s="314">
        <v>3000</v>
      </c>
      <c r="H95" s="314">
        <v>2211</v>
      </c>
      <c r="I95" s="314">
        <f>736+J95</f>
        <v>2136</v>
      </c>
      <c r="J95" s="314">
        <v>1400</v>
      </c>
      <c r="K95" s="314">
        <f t="shared" ref="K95:K96" si="48">L95</f>
        <v>1400</v>
      </c>
      <c r="L95" s="314">
        <v>1400</v>
      </c>
      <c r="M95" s="421">
        <f t="shared" ref="M95:M96" si="49">G95-I95</f>
        <v>864</v>
      </c>
      <c r="N95" s="314">
        <f>G95-I95</f>
        <v>864</v>
      </c>
      <c r="O95" s="672"/>
      <c r="P95" s="384"/>
      <c r="Q95" s="384"/>
      <c r="R95" s="398"/>
      <c r="S95" s="133"/>
      <c r="V95" s="400"/>
      <c r="W95" s="401"/>
      <c r="X95" s="402"/>
      <c r="Y95" s="403"/>
      <c r="Z95" s="389"/>
      <c r="AA95" s="402"/>
      <c r="AB95" s="402"/>
      <c r="AC95" s="402"/>
      <c r="AD95" s="404"/>
      <c r="AE95" s="404"/>
      <c r="AF95" s="402"/>
      <c r="AG95" s="405"/>
      <c r="AH95" s="402"/>
      <c r="AI95" s="402"/>
      <c r="AJ95" s="402"/>
      <c r="AK95" s="402"/>
      <c r="AL95" s="402"/>
      <c r="AM95" s="402"/>
    </row>
    <row r="96" spans="1:39" s="399" customFormat="1" ht="31.9" customHeight="1" x14ac:dyDescent="0.2">
      <c r="A96" s="219">
        <v>2</v>
      </c>
      <c r="B96" s="242" t="s">
        <v>253</v>
      </c>
      <c r="C96" s="671" t="s">
        <v>146</v>
      </c>
      <c r="D96" s="672" t="s">
        <v>262</v>
      </c>
      <c r="E96" s="808" t="s">
        <v>179</v>
      </c>
      <c r="F96" s="672" t="s">
        <v>265</v>
      </c>
      <c r="G96" s="314">
        <v>2500</v>
      </c>
      <c r="H96" s="314">
        <v>1500</v>
      </c>
      <c r="I96" s="314">
        <f>1000+J96</f>
        <v>1800</v>
      </c>
      <c r="J96" s="314">
        <v>800</v>
      </c>
      <c r="K96" s="314">
        <f t="shared" si="48"/>
        <v>800</v>
      </c>
      <c r="L96" s="314">
        <v>800</v>
      </c>
      <c r="M96" s="421">
        <f t="shared" si="49"/>
        <v>700</v>
      </c>
      <c r="N96" s="314">
        <f>G96-I96</f>
        <v>700</v>
      </c>
      <c r="O96" s="672"/>
      <c r="P96" s="384"/>
      <c r="Q96" s="384"/>
      <c r="R96" s="398"/>
      <c r="S96" s="133"/>
      <c r="V96" s="400"/>
      <c r="W96" s="401"/>
      <c r="X96" s="402"/>
      <c r="Y96" s="403"/>
      <c r="Z96" s="389"/>
      <c r="AA96" s="402"/>
      <c r="AB96" s="402"/>
      <c r="AC96" s="402"/>
      <c r="AD96" s="404"/>
      <c r="AE96" s="404"/>
      <c r="AF96" s="402"/>
      <c r="AG96" s="405"/>
      <c r="AH96" s="402"/>
      <c r="AI96" s="402"/>
      <c r="AJ96" s="402"/>
      <c r="AK96" s="402"/>
      <c r="AL96" s="402"/>
      <c r="AM96" s="402"/>
    </row>
    <row r="97" spans="1:39" s="399" customFormat="1" ht="28.9" customHeight="1" x14ac:dyDescent="0.2">
      <c r="A97" s="666" t="s">
        <v>682</v>
      </c>
      <c r="B97" s="301" t="s">
        <v>164</v>
      </c>
      <c r="C97" s="680"/>
      <c r="D97" s="680"/>
      <c r="E97" s="680"/>
      <c r="F97" s="810"/>
      <c r="G97" s="739">
        <f>G98+G123+G152</f>
        <v>575114.79599999997</v>
      </c>
      <c r="H97" s="739">
        <f t="shared" ref="H97:N97" si="50">H98+H123+H152</f>
        <v>537832</v>
      </c>
      <c r="I97" s="739">
        <f t="shared" si="50"/>
        <v>293186</v>
      </c>
      <c r="J97" s="739">
        <f t="shared" si="50"/>
        <v>137639</v>
      </c>
      <c r="K97" s="739">
        <f t="shared" si="50"/>
        <v>136133</v>
      </c>
      <c r="L97" s="739">
        <f t="shared" si="50"/>
        <v>136133</v>
      </c>
      <c r="M97" s="739">
        <f t="shared" si="50"/>
        <v>237187</v>
      </c>
      <c r="N97" s="739">
        <f t="shared" si="50"/>
        <v>185576.3</v>
      </c>
      <c r="O97" s="810"/>
      <c r="P97" s="384"/>
      <c r="Q97" s="384"/>
      <c r="R97" s="398"/>
      <c r="S97" s="133"/>
      <c r="V97" s="400"/>
      <c r="W97" s="401"/>
      <c r="X97" s="402"/>
      <c r="Y97" s="403"/>
      <c r="Z97" s="389"/>
      <c r="AA97" s="402"/>
      <c r="AB97" s="402"/>
      <c r="AC97" s="402"/>
      <c r="AD97" s="404"/>
      <c r="AE97" s="404"/>
      <c r="AF97" s="402"/>
      <c r="AG97" s="405"/>
      <c r="AH97" s="402"/>
      <c r="AI97" s="402"/>
      <c r="AJ97" s="402"/>
      <c r="AK97" s="402"/>
      <c r="AL97" s="402"/>
      <c r="AM97" s="402"/>
    </row>
    <row r="98" spans="1:39" s="399" customFormat="1" ht="28.9" customHeight="1" x14ac:dyDescent="0.2">
      <c r="A98" s="776" t="s">
        <v>15</v>
      </c>
      <c r="B98" s="777" t="s">
        <v>683</v>
      </c>
      <c r="C98" s="835"/>
      <c r="D98" s="835"/>
      <c r="E98" s="835"/>
      <c r="F98" s="836"/>
      <c r="G98" s="778">
        <f>G99+G117+G121</f>
        <v>32263.796000000002</v>
      </c>
      <c r="H98" s="778">
        <f t="shared" ref="H98:L98" si="51">H99+H117+H121</f>
        <v>26695</v>
      </c>
      <c r="I98" s="778">
        <f t="shared" si="51"/>
        <v>22205</v>
      </c>
      <c r="J98" s="778">
        <f t="shared" si="51"/>
        <v>2433</v>
      </c>
      <c r="K98" s="778">
        <f t="shared" si="51"/>
        <v>2433</v>
      </c>
      <c r="L98" s="778">
        <f t="shared" si="51"/>
        <v>2433</v>
      </c>
      <c r="M98" s="778">
        <f t="shared" ref="M98" si="52">M99+M117+M121</f>
        <v>4490</v>
      </c>
      <c r="N98" s="778">
        <f t="shared" ref="N98" si="53">N99+N117+N121</f>
        <v>3838</v>
      </c>
      <c r="O98" s="836"/>
      <c r="P98" s="384"/>
      <c r="Q98" s="384"/>
      <c r="R98" s="383"/>
      <c r="S98" s="133"/>
      <c r="V98" s="400"/>
      <c r="W98" s="401"/>
      <c r="X98" s="659"/>
      <c r="Y98" s="660"/>
      <c r="Z98" s="661"/>
      <c r="AA98" s="659"/>
      <c r="AB98" s="659"/>
      <c r="AC98" s="659"/>
      <c r="AD98" s="662"/>
      <c r="AE98" s="662"/>
      <c r="AF98" s="659"/>
      <c r="AG98" s="663"/>
      <c r="AH98" s="659"/>
      <c r="AI98" s="659"/>
      <c r="AJ98" s="659"/>
      <c r="AK98" s="659"/>
      <c r="AL98" s="659"/>
      <c r="AM98" s="659"/>
    </row>
    <row r="99" spans="1:39" s="399" customFormat="1" ht="15" x14ac:dyDescent="0.2">
      <c r="A99" s="205" t="s">
        <v>28</v>
      </c>
      <c r="B99" s="203" t="s">
        <v>462</v>
      </c>
      <c r="C99" s="681"/>
      <c r="D99" s="700"/>
      <c r="E99" s="682"/>
      <c r="F99" s="700"/>
      <c r="G99" s="206">
        <f>SUM(G100:G116)</f>
        <v>26573.796000000002</v>
      </c>
      <c r="H99" s="206">
        <f t="shared" ref="H99:N99" si="54">SUM(H100:H116)</f>
        <v>21305</v>
      </c>
      <c r="I99" s="206">
        <f t="shared" si="54"/>
        <v>20283</v>
      </c>
      <c r="J99" s="206">
        <f t="shared" si="54"/>
        <v>511</v>
      </c>
      <c r="K99" s="206">
        <f t="shared" si="54"/>
        <v>511</v>
      </c>
      <c r="L99" s="206">
        <f t="shared" si="54"/>
        <v>511</v>
      </c>
      <c r="M99" s="206">
        <f t="shared" si="54"/>
        <v>1022</v>
      </c>
      <c r="N99" s="206">
        <f t="shared" si="54"/>
        <v>1022</v>
      </c>
      <c r="O99" s="672"/>
      <c r="P99" s="384"/>
      <c r="Q99" s="384"/>
      <c r="R99" s="398"/>
      <c r="S99" s="133"/>
      <c r="V99" s="400"/>
      <c r="W99" s="401"/>
      <c r="X99" s="402"/>
      <c r="Y99" s="403"/>
      <c r="Z99" s="389"/>
      <c r="AA99" s="402"/>
      <c r="AB99" s="402"/>
      <c r="AC99" s="402"/>
      <c r="AD99" s="404"/>
      <c r="AE99" s="404"/>
      <c r="AF99" s="402"/>
      <c r="AG99" s="405"/>
      <c r="AH99" s="402"/>
      <c r="AI99" s="402"/>
      <c r="AJ99" s="402"/>
      <c r="AK99" s="402"/>
      <c r="AL99" s="402"/>
      <c r="AM99" s="402"/>
    </row>
    <row r="100" spans="1:39" s="399" customFormat="1" ht="45" x14ac:dyDescent="0.2">
      <c r="A100" s="219">
        <v>1</v>
      </c>
      <c r="B100" s="242" t="s">
        <v>606</v>
      </c>
      <c r="C100" s="683" t="s">
        <v>166</v>
      </c>
      <c r="D100" s="683" t="s">
        <v>613</v>
      </c>
      <c r="E100" s="683" t="s">
        <v>167</v>
      </c>
      <c r="F100" s="683" t="s">
        <v>243</v>
      </c>
      <c r="G100" s="314">
        <v>1000</v>
      </c>
      <c r="H100" s="314">
        <v>950</v>
      </c>
      <c r="I100" s="314">
        <v>800</v>
      </c>
      <c r="J100" s="314"/>
      <c r="K100" s="314"/>
      <c r="L100" s="314"/>
      <c r="M100" s="421">
        <f>H100-I100</f>
        <v>150</v>
      </c>
      <c r="N100" s="314">
        <f>H100-I100</f>
        <v>150</v>
      </c>
      <c r="O100" s="672"/>
      <c r="P100" s="384"/>
      <c r="Q100" s="384"/>
      <c r="R100" s="398"/>
      <c r="S100" s="133"/>
      <c r="V100" s="400"/>
      <c r="W100" s="401"/>
      <c r="X100" s="402"/>
      <c r="Y100" s="403"/>
      <c r="Z100" s="389"/>
      <c r="AA100" s="402"/>
      <c r="AB100" s="402"/>
      <c r="AC100" s="402"/>
      <c r="AD100" s="404"/>
      <c r="AE100" s="404"/>
      <c r="AF100" s="402"/>
      <c r="AG100" s="405"/>
      <c r="AH100" s="402"/>
      <c r="AI100" s="402"/>
      <c r="AJ100" s="402"/>
      <c r="AK100" s="402"/>
      <c r="AL100" s="402"/>
      <c r="AM100" s="402"/>
    </row>
    <row r="101" spans="1:39" s="399" customFormat="1" ht="24" x14ac:dyDescent="0.2">
      <c r="A101" s="219">
        <v>2</v>
      </c>
      <c r="B101" s="242" t="s">
        <v>252</v>
      </c>
      <c r="C101" s="683" t="s">
        <v>255</v>
      </c>
      <c r="D101" s="683" t="s">
        <v>261</v>
      </c>
      <c r="E101" s="683" t="s">
        <v>167</v>
      </c>
      <c r="F101" s="683" t="s">
        <v>264</v>
      </c>
      <c r="G101" s="314">
        <v>2999.9960000000001</v>
      </c>
      <c r="H101" s="314">
        <v>736</v>
      </c>
      <c r="I101" s="314">
        <v>736</v>
      </c>
      <c r="J101" s="314"/>
      <c r="K101" s="314"/>
      <c r="L101" s="314"/>
      <c r="M101" s="421">
        <f t="shared" ref="M101:M116" si="55">H101-I101</f>
        <v>0</v>
      </c>
      <c r="N101" s="314">
        <f t="shared" ref="N101:N116" si="56">H101-I101</f>
        <v>0</v>
      </c>
      <c r="O101" s="672" t="s">
        <v>318</v>
      </c>
      <c r="P101" s="384"/>
      <c r="Q101" s="384"/>
      <c r="R101" s="398"/>
      <c r="S101" s="133"/>
      <c r="V101" s="400"/>
      <c r="W101" s="401"/>
      <c r="X101" s="402"/>
      <c r="Y101" s="403"/>
      <c r="Z101" s="389"/>
      <c r="AA101" s="402"/>
      <c r="AB101" s="402"/>
      <c r="AC101" s="402"/>
      <c r="AD101" s="404"/>
      <c r="AE101" s="404"/>
      <c r="AF101" s="402"/>
      <c r="AG101" s="405"/>
      <c r="AH101" s="402"/>
      <c r="AI101" s="402"/>
      <c r="AJ101" s="402"/>
      <c r="AK101" s="402"/>
      <c r="AL101" s="402"/>
      <c r="AM101" s="402"/>
    </row>
    <row r="102" spans="1:39" s="399" customFormat="1" ht="24" x14ac:dyDescent="0.2">
      <c r="A102" s="219">
        <v>3</v>
      </c>
      <c r="B102" s="242" t="s">
        <v>538</v>
      </c>
      <c r="C102" s="683" t="s">
        <v>256</v>
      </c>
      <c r="D102" s="683" t="s">
        <v>560</v>
      </c>
      <c r="E102" s="683" t="s">
        <v>167</v>
      </c>
      <c r="F102" s="683" t="s">
        <v>548</v>
      </c>
      <c r="G102" s="314">
        <v>950</v>
      </c>
      <c r="H102" s="314">
        <v>900</v>
      </c>
      <c r="I102" s="314">
        <v>850</v>
      </c>
      <c r="J102" s="314"/>
      <c r="K102" s="314"/>
      <c r="L102" s="314"/>
      <c r="M102" s="421">
        <f t="shared" si="55"/>
        <v>50</v>
      </c>
      <c r="N102" s="314">
        <f t="shared" si="56"/>
        <v>50</v>
      </c>
      <c r="O102" s="672"/>
      <c r="P102" s="384"/>
      <c r="Q102" s="384"/>
      <c r="R102" s="398"/>
      <c r="S102" s="133"/>
      <c r="V102" s="400"/>
      <c r="W102" s="401"/>
      <c r="X102" s="402"/>
      <c r="Y102" s="403"/>
      <c r="Z102" s="389"/>
      <c r="AA102" s="402"/>
      <c r="AB102" s="402"/>
      <c r="AC102" s="402"/>
      <c r="AD102" s="404"/>
      <c r="AE102" s="404"/>
      <c r="AF102" s="402"/>
      <c r="AG102" s="405"/>
      <c r="AH102" s="402"/>
      <c r="AI102" s="402"/>
      <c r="AJ102" s="402"/>
      <c r="AK102" s="402"/>
      <c r="AL102" s="402"/>
      <c r="AM102" s="402"/>
    </row>
    <row r="103" spans="1:39" s="399" customFormat="1" ht="30" x14ac:dyDescent="0.2">
      <c r="A103" s="219">
        <v>4</v>
      </c>
      <c r="B103" s="242" t="s">
        <v>607</v>
      </c>
      <c r="C103" s="683" t="s">
        <v>256</v>
      </c>
      <c r="D103" s="683" t="s">
        <v>614</v>
      </c>
      <c r="E103" s="683" t="s">
        <v>167</v>
      </c>
      <c r="F103" s="683" t="s">
        <v>610</v>
      </c>
      <c r="G103" s="314">
        <v>926</v>
      </c>
      <c r="H103" s="314">
        <v>836</v>
      </c>
      <c r="I103" s="314">
        <v>800</v>
      </c>
      <c r="J103" s="314"/>
      <c r="K103" s="314"/>
      <c r="L103" s="314"/>
      <c r="M103" s="421">
        <f t="shared" si="55"/>
        <v>36</v>
      </c>
      <c r="N103" s="314">
        <f t="shared" si="56"/>
        <v>36</v>
      </c>
      <c r="O103" s="672"/>
      <c r="P103" s="384"/>
      <c r="Q103" s="384"/>
      <c r="R103" s="398"/>
      <c r="S103" s="133"/>
      <c r="V103" s="400"/>
      <c r="W103" s="401"/>
      <c r="X103" s="402"/>
      <c r="Y103" s="403"/>
      <c r="Z103" s="389"/>
      <c r="AA103" s="402"/>
      <c r="AB103" s="402"/>
      <c r="AC103" s="402"/>
      <c r="AD103" s="404"/>
      <c r="AE103" s="404"/>
      <c r="AF103" s="402"/>
      <c r="AG103" s="405"/>
      <c r="AH103" s="402"/>
      <c r="AI103" s="402"/>
      <c r="AJ103" s="402"/>
      <c r="AK103" s="402"/>
      <c r="AL103" s="402"/>
      <c r="AM103" s="402"/>
    </row>
    <row r="104" spans="1:39" s="399" customFormat="1" ht="30" x14ac:dyDescent="0.2">
      <c r="A104" s="219">
        <v>5</v>
      </c>
      <c r="B104" s="242" t="s">
        <v>253</v>
      </c>
      <c r="C104" s="683" t="s">
        <v>255</v>
      </c>
      <c r="D104" s="683" t="s">
        <v>262</v>
      </c>
      <c r="E104" s="683" t="s">
        <v>167</v>
      </c>
      <c r="F104" s="683" t="s">
        <v>265</v>
      </c>
      <c r="G104" s="314">
        <v>2500</v>
      </c>
      <c r="H104" s="314">
        <v>1000</v>
      </c>
      <c r="I104" s="314">
        <v>1000</v>
      </c>
      <c r="J104" s="314"/>
      <c r="K104" s="314"/>
      <c r="L104" s="314"/>
      <c r="M104" s="421">
        <f t="shared" si="55"/>
        <v>0</v>
      </c>
      <c r="N104" s="314">
        <f t="shared" si="56"/>
        <v>0</v>
      </c>
      <c r="O104" s="672" t="s">
        <v>318</v>
      </c>
      <c r="P104" s="384"/>
      <c r="Q104" s="384"/>
      <c r="R104" s="398"/>
      <c r="S104" s="133"/>
      <c r="V104" s="400"/>
      <c r="W104" s="401"/>
      <c r="X104" s="402"/>
      <c r="Y104" s="403"/>
      <c r="Z104" s="389"/>
      <c r="AA104" s="402"/>
      <c r="AB104" s="402"/>
      <c r="AC104" s="402"/>
      <c r="AD104" s="404"/>
      <c r="AE104" s="404"/>
      <c r="AF104" s="402"/>
      <c r="AG104" s="405"/>
      <c r="AH104" s="402"/>
      <c r="AI104" s="402"/>
      <c r="AJ104" s="402"/>
      <c r="AK104" s="402"/>
      <c r="AL104" s="402"/>
      <c r="AM104" s="402"/>
    </row>
    <row r="105" spans="1:39" s="399" customFormat="1" ht="48" x14ac:dyDescent="0.2">
      <c r="A105" s="219">
        <v>6</v>
      </c>
      <c r="B105" s="242" t="s">
        <v>539</v>
      </c>
      <c r="C105" s="683" t="s">
        <v>257</v>
      </c>
      <c r="D105" s="683" t="s">
        <v>561</v>
      </c>
      <c r="E105" s="683" t="s">
        <v>167</v>
      </c>
      <c r="F105" s="683" t="s">
        <v>549</v>
      </c>
      <c r="G105" s="314">
        <v>1800</v>
      </c>
      <c r="H105" s="314">
        <v>1736</v>
      </c>
      <c r="I105" s="314">
        <v>1650</v>
      </c>
      <c r="J105" s="314"/>
      <c r="K105" s="314"/>
      <c r="L105" s="314"/>
      <c r="M105" s="421">
        <f t="shared" si="55"/>
        <v>86</v>
      </c>
      <c r="N105" s="314">
        <f t="shared" si="56"/>
        <v>86</v>
      </c>
      <c r="O105" s="672"/>
      <c r="P105" s="384"/>
      <c r="Q105" s="384"/>
      <c r="R105" s="398"/>
      <c r="S105" s="133"/>
      <c r="V105" s="400"/>
      <c r="W105" s="401"/>
      <c r="X105" s="402"/>
      <c r="Y105" s="403"/>
      <c r="Z105" s="389"/>
      <c r="AA105" s="402"/>
      <c r="AB105" s="402"/>
      <c r="AC105" s="402"/>
      <c r="AD105" s="404"/>
      <c r="AE105" s="404"/>
      <c r="AF105" s="402"/>
      <c r="AG105" s="405"/>
      <c r="AH105" s="402"/>
      <c r="AI105" s="402"/>
      <c r="AJ105" s="402"/>
      <c r="AK105" s="402"/>
      <c r="AL105" s="402"/>
      <c r="AM105" s="402"/>
    </row>
    <row r="106" spans="1:39" s="399" customFormat="1" ht="48" x14ac:dyDescent="0.2">
      <c r="A106" s="219">
        <v>7</v>
      </c>
      <c r="B106" s="242" t="s">
        <v>540</v>
      </c>
      <c r="C106" s="683" t="s">
        <v>258</v>
      </c>
      <c r="D106" s="683" t="s">
        <v>561</v>
      </c>
      <c r="E106" s="683" t="s">
        <v>167</v>
      </c>
      <c r="F106" s="683" t="s">
        <v>550</v>
      </c>
      <c r="G106" s="314">
        <v>1786</v>
      </c>
      <c r="H106" s="314">
        <v>1736</v>
      </c>
      <c r="I106" s="314">
        <v>1600</v>
      </c>
      <c r="J106" s="314"/>
      <c r="K106" s="314"/>
      <c r="L106" s="314"/>
      <c r="M106" s="421">
        <f t="shared" si="55"/>
        <v>136</v>
      </c>
      <c r="N106" s="314">
        <f t="shared" si="56"/>
        <v>136</v>
      </c>
      <c r="O106" s="672"/>
      <c r="P106" s="384"/>
      <c r="Q106" s="384"/>
      <c r="R106" s="398"/>
      <c r="S106" s="133"/>
      <c r="V106" s="400"/>
      <c r="W106" s="401"/>
      <c r="X106" s="402"/>
      <c r="Y106" s="403"/>
      <c r="Z106" s="389"/>
      <c r="AA106" s="402"/>
      <c r="AB106" s="402"/>
      <c r="AC106" s="402"/>
      <c r="AD106" s="404"/>
      <c r="AE106" s="404"/>
      <c r="AF106" s="402"/>
      <c r="AG106" s="405"/>
      <c r="AH106" s="402"/>
      <c r="AI106" s="402"/>
      <c r="AJ106" s="402"/>
      <c r="AK106" s="402"/>
      <c r="AL106" s="402"/>
      <c r="AM106" s="402"/>
    </row>
    <row r="107" spans="1:39" s="399" customFormat="1" ht="36" x14ac:dyDescent="0.2">
      <c r="A107" s="219">
        <v>8</v>
      </c>
      <c r="B107" s="242" t="s">
        <v>254</v>
      </c>
      <c r="C107" s="683" t="s">
        <v>259</v>
      </c>
      <c r="D107" s="683" t="s">
        <v>263</v>
      </c>
      <c r="E107" s="683" t="s">
        <v>167</v>
      </c>
      <c r="F107" s="683" t="s">
        <v>266</v>
      </c>
      <c r="G107" s="314">
        <v>2800</v>
      </c>
      <c r="H107" s="314">
        <v>2611</v>
      </c>
      <c r="I107" s="314">
        <f>2100+J107</f>
        <v>2611</v>
      </c>
      <c r="J107" s="314">
        <v>511</v>
      </c>
      <c r="K107" s="314">
        <f>L107</f>
        <v>511</v>
      </c>
      <c r="L107" s="314">
        <v>511</v>
      </c>
      <c r="M107" s="421">
        <f t="shared" si="55"/>
        <v>0</v>
      </c>
      <c r="N107" s="314">
        <f t="shared" si="56"/>
        <v>0</v>
      </c>
      <c r="O107" s="672"/>
      <c r="P107" s="384"/>
      <c r="Q107" s="384"/>
      <c r="R107" s="398"/>
      <c r="S107" s="133"/>
      <c r="V107" s="400"/>
      <c r="W107" s="401"/>
      <c r="X107" s="402"/>
      <c r="Y107" s="403"/>
      <c r="Z107" s="389"/>
      <c r="AA107" s="402"/>
      <c r="AB107" s="402"/>
      <c r="AC107" s="402"/>
      <c r="AD107" s="404"/>
      <c r="AE107" s="404"/>
      <c r="AF107" s="402"/>
      <c r="AG107" s="405"/>
      <c r="AH107" s="402"/>
      <c r="AI107" s="402"/>
      <c r="AJ107" s="402"/>
      <c r="AK107" s="402"/>
      <c r="AL107" s="402"/>
      <c r="AM107" s="402"/>
    </row>
    <row r="108" spans="1:39" s="399" customFormat="1" ht="36" x14ac:dyDescent="0.2">
      <c r="A108" s="219">
        <v>9</v>
      </c>
      <c r="B108" s="242" t="s">
        <v>608</v>
      </c>
      <c r="C108" s="683" t="s">
        <v>677</v>
      </c>
      <c r="D108" s="683" t="s">
        <v>615</v>
      </c>
      <c r="E108" s="683" t="s">
        <v>167</v>
      </c>
      <c r="F108" s="683" t="s">
        <v>611</v>
      </c>
      <c r="G108" s="314">
        <v>765.2</v>
      </c>
      <c r="H108" s="314">
        <v>620</v>
      </c>
      <c r="I108" s="314">
        <v>600</v>
      </c>
      <c r="J108" s="314"/>
      <c r="K108" s="314"/>
      <c r="L108" s="314"/>
      <c r="M108" s="421">
        <f t="shared" si="55"/>
        <v>20</v>
      </c>
      <c r="N108" s="314">
        <f t="shared" si="56"/>
        <v>20</v>
      </c>
      <c r="O108" s="672"/>
      <c r="P108" s="384"/>
      <c r="Q108" s="384"/>
      <c r="R108" s="398"/>
      <c r="S108" s="133"/>
      <c r="V108" s="400"/>
      <c r="W108" s="401"/>
      <c r="X108" s="402"/>
      <c r="Y108" s="403"/>
      <c r="Z108" s="389"/>
      <c r="AA108" s="402"/>
      <c r="AB108" s="402"/>
      <c r="AC108" s="402"/>
      <c r="AD108" s="404"/>
      <c r="AE108" s="404"/>
      <c r="AF108" s="402"/>
      <c r="AG108" s="405"/>
      <c r="AH108" s="402"/>
      <c r="AI108" s="402"/>
      <c r="AJ108" s="402"/>
      <c r="AK108" s="402"/>
      <c r="AL108" s="402"/>
      <c r="AM108" s="402"/>
    </row>
    <row r="109" spans="1:39" s="399" customFormat="1" ht="30" x14ac:dyDescent="0.2">
      <c r="A109" s="219">
        <v>10</v>
      </c>
      <c r="B109" s="242" t="s">
        <v>541</v>
      </c>
      <c r="C109" s="683" t="s">
        <v>678</v>
      </c>
      <c r="D109" s="683" t="s">
        <v>562</v>
      </c>
      <c r="E109" s="683" t="s">
        <v>167</v>
      </c>
      <c r="F109" s="683" t="s">
        <v>551</v>
      </c>
      <c r="G109" s="314">
        <v>1300</v>
      </c>
      <c r="H109" s="314">
        <v>1200</v>
      </c>
      <c r="I109" s="314">
        <v>1150</v>
      </c>
      <c r="J109" s="314"/>
      <c r="K109" s="314"/>
      <c r="L109" s="314"/>
      <c r="M109" s="421">
        <f t="shared" si="55"/>
        <v>50</v>
      </c>
      <c r="N109" s="314">
        <f t="shared" si="56"/>
        <v>50</v>
      </c>
      <c r="O109" s="672"/>
      <c r="P109" s="384"/>
      <c r="Q109" s="384"/>
      <c r="R109" s="398"/>
      <c r="S109" s="133"/>
      <c r="V109" s="400"/>
      <c r="W109" s="401"/>
      <c r="X109" s="402"/>
      <c r="Y109" s="403"/>
      <c r="Z109" s="389"/>
      <c r="AA109" s="402"/>
      <c r="AB109" s="402"/>
      <c r="AC109" s="402"/>
      <c r="AD109" s="404"/>
      <c r="AE109" s="404"/>
      <c r="AF109" s="402"/>
      <c r="AG109" s="405"/>
      <c r="AH109" s="402"/>
      <c r="AI109" s="402"/>
      <c r="AJ109" s="402"/>
      <c r="AK109" s="402"/>
      <c r="AL109" s="402"/>
      <c r="AM109" s="402"/>
    </row>
    <row r="110" spans="1:39" s="399" customFormat="1" ht="30" x14ac:dyDescent="0.2">
      <c r="A110" s="219">
        <v>11</v>
      </c>
      <c r="B110" s="242" t="s">
        <v>609</v>
      </c>
      <c r="C110" s="683" t="s">
        <v>678</v>
      </c>
      <c r="D110" s="683" t="s">
        <v>616</v>
      </c>
      <c r="E110" s="683" t="s">
        <v>167</v>
      </c>
      <c r="F110" s="683" t="s">
        <v>612</v>
      </c>
      <c r="G110" s="314">
        <v>636.6</v>
      </c>
      <c r="H110" s="314">
        <v>536</v>
      </c>
      <c r="I110" s="314">
        <v>496</v>
      </c>
      <c r="J110" s="314"/>
      <c r="K110" s="314"/>
      <c r="L110" s="314"/>
      <c r="M110" s="421">
        <f t="shared" si="55"/>
        <v>40</v>
      </c>
      <c r="N110" s="314">
        <f t="shared" si="56"/>
        <v>40</v>
      </c>
      <c r="O110" s="672"/>
      <c r="P110" s="384"/>
      <c r="Q110" s="384"/>
      <c r="R110" s="398"/>
      <c r="S110" s="133"/>
      <c r="V110" s="400"/>
      <c r="W110" s="401"/>
      <c r="X110" s="402"/>
      <c r="Y110" s="403"/>
      <c r="Z110" s="389"/>
      <c r="AA110" s="402"/>
      <c r="AB110" s="402"/>
      <c r="AC110" s="402"/>
      <c r="AD110" s="404"/>
      <c r="AE110" s="404"/>
      <c r="AF110" s="402"/>
      <c r="AG110" s="405"/>
      <c r="AH110" s="402"/>
      <c r="AI110" s="402"/>
      <c r="AJ110" s="402"/>
      <c r="AK110" s="402"/>
      <c r="AL110" s="402"/>
      <c r="AM110" s="402"/>
    </row>
    <row r="111" spans="1:39" s="399" customFormat="1" ht="30" x14ac:dyDescent="0.2">
      <c r="A111" s="219">
        <v>12</v>
      </c>
      <c r="B111" s="242" t="s">
        <v>542</v>
      </c>
      <c r="C111" s="683" t="s">
        <v>679</v>
      </c>
      <c r="D111" s="683" t="s">
        <v>563</v>
      </c>
      <c r="E111" s="683" t="s">
        <v>167</v>
      </c>
      <c r="F111" s="683" t="s">
        <v>552</v>
      </c>
      <c r="G111" s="314">
        <v>1800</v>
      </c>
      <c r="H111" s="314">
        <v>1736</v>
      </c>
      <c r="I111" s="314">
        <v>1650</v>
      </c>
      <c r="J111" s="314"/>
      <c r="K111" s="314"/>
      <c r="L111" s="314"/>
      <c r="M111" s="421">
        <f t="shared" si="55"/>
        <v>86</v>
      </c>
      <c r="N111" s="314">
        <f t="shared" si="56"/>
        <v>86</v>
      </c>
      <c r="O111" s="672"/>
      <c r="P111" s="384"/>
      <c r="Q111" s="384"/>
      <c r="R111" s="398"/>
      <c r="S111" s="133"/>
      <c r="V111" s="400"/>
      <c r="W111" s="401"/>
      <c r="X111" s="402"/>
      <c r="Y111" s="403"/>
      <c r="Z111" s="389"/>
      <c r="AA111" s="402"/>
      <c r="AB111" s="402"/>
      <c r="AC111" s="402"/>
      <c r="AD111" s="404"/>
      <c r="AE111" s="404"/>
      <c r="AF111" s="402"/>
      <c r="AG111" s="405"/>
      <c r="AH111" s="402"/>
      <c r="AI111" s="402"/>
      <c r="AJ111" s="402"/>
      <c r="AK111" s="402"/>
      <c r="AL111" s="402"/>
      <c r="AM111" s="402"/>
    </row>
    <row r="112" spans="1:39" s="399" customFormat="1" ht="30" x14ac:dyDescent="0.2">
      <c r="A112" s="219">
        <v>13</v>
      </c>
      <c r="B112" s="242" t="s">
        <v>543</v>
      </c>
      <c r="C112" s="683" t="s">
        <v>680</v>
      </c>
      <c r="D112" s="683" t="s">
        <v>564</v>
      </c>
      <c r="E112" s="683" t="s">
        <v>167</v>
      </c>
      <c r="F112" s="683" t="s">
        <v>553</v>
      </c>
      <c r="G112" s="314">
        <v>934.2</v>
      </c>
      <c r="H112" s="314">
        <v>876</v>
      </c>
      <c r="I112" s="314">
        <v>820</v>
      </c>
      <c r="J112" s="314"/>
      <c r="K112" s="314"/>
      <c r="L112" s="314"/>
      <c r="M112" s="421">
        <f t="shared" si="55"/>
        <v>56</v>
      </c>
      <c r="N112" s="314">
        <f t="shared" si="56"/>
        <v>56</v>
      </c>
      <c r="O112" s="672"/>
      <c r="P112" s="384"/>
      <c r="Q112" s="384"/>
      <c r="R112" s="398"/>
      <c r="S112" s="133"/>
      <c r="V112" s="400"/>
      <c r="W112" s="401"/>
      <c r="X112" s="402"/>
      <c r="Y112" s="403"/>
      <c r="Z112" s="389"/>
      <c r="AA112" s="402"/>
      <c r="AB112" s="402"/>
      <c r="AC112" s="402"/>
      <c r="AD112" s="404"/>
      <c r="AE112" s="404"/>
      <c r="AF112" s="402"/>
      <c r="AG112" s="405"/>
      <c r="AH112" s="402"/>
      <c r="AI112" s="402"/>
      <c r="AJ112" s="402"/>
      <c r="AK112" s="402"/>
      <c r="AL112" s="402"/>
      <c r="AM112" s="402"/>
    </row>
    <row r="113" spans="1:39" s="399" customFormat="1" ht="24" x14ac:dyDescent="0.2">
      <c r="A113" s="219">
        <v>14</v>
      </c>
      <c r="B113" s="242" t="s">
        <v>544</v>
      </c>
      <c r="C113" s="683" t="s">
        <v>680</v>
      </c>
      <c r="D113" s="683" t="s">
        <v>565</v>
      </c>
      <c r="E113" s="683" t="s">
        <v>167</v>
      </c>
      <c r="F113" s="683" t="s">
        <v>554</v>
      </c>
      <c r="G113" s="314">
        <v>981.9</v>
      </c>
      <c r="H113" s="314">
        <v>860</v>
      </c>
      <c r="I113" s="314">
        <v>820</v>
      </c>
      <c r="J113" s="314"/>
      <c r="K113" s="314"/>
      <c r="L113" s="314"/>
      <c r="M113" s="421">
        <f t="shared" si="55"/>
        <v>40</v>
      </c>
      <c r="N113" s="314">
        <f t="shared" si="56"/>
        <v>40</v>
      </c>
      <c r="O113" s="672"/>
      <c r="P113" s="384"/>
      <c r="Q113" s="384"/>
      <c r="R113" s="398"/>
      <c r="S113" s="133"/>
      <c r="V113" s="400"/>
      <c r="W113" s="401"/>
      <c r="X113" s="402"/>
      <c r="Y113" s="403"/>
      <c r="Z113" s="389"/>
      <c r="AA113" s="402"/>
      <c r="AB113" s="402"/>
      <c r="AC113" s="402"/>
      <c r="AD113" s="404"/>
      <c r="AE113" s="404"/>
      <c r="AF113" s="402"/>
      <c r="AG113" s="405"/>
      <c r="AH113" s="402"/>
      <c r="AI113" s="402"/>
      <c r="AJ113" s="402"/>
      <c r="AK113" s="402"/>
      <c r="AL113" s="402"/>
      <c r="AM113" s="402"/>
    </row>
    <row r="114" spans="1:39" s="399" customFormat="1" ht="36" x14ac:dyDescent="0.2">
      <c r="A114" s="219">
        <v>15</v>
      </c>
      <c r="B114" s="242" t="s">
        <v>545</v>
      </c>
      <c r="C114" s="683" t="s">
        <v>681</v>
      </c>
      <c r="D114" s="683" t="s">
        <v>566</v>
      </c>
      <c r="E114" s="683" t="s">
        <v>167</v>
      </c>
      <c r="F114" s="683" t="s">
        <v>555</v>
      </c>
      <c r="G114" s="314">
        <v>1650</v>
      </c>
      <c r="H114" s="314">
        <v>1500</v>
      </c>
      <c r="I114" s="314">
        <v>1500</v>
      </c>
      <c r="J114" s="314"/>
      <c r="K114" s="314"/>
      <c r="L114" s="314"/>
      <c r="M114" s="421">
        <f t="shared" si="55"/>
        <v>0</v>
      </c>
      <c r="N114" s="314">
        <f t="shared" si="56"/>
        <v>0</v>
      </c>
      <c r="O114" s="672"/>
      <c r="P114" s="384"/>
      <c r="Q114" s="384"/>
      <c r="R114" s="398"/>
      <c r="S114" s="133"/>
      <c r="V114" s="400"/>
      <c r="W114" s="401"/>
      <c r="X114" s="402"/>
      <c r="Y114" s="403"/>
      <c r="Z114" s="389"/>
      <c r="AA114" s="402"/>
      <c r="AB114" s="402"/>
      <c r="AC114" s="402"/>
      <c r="AD114" s="404"/>
      <c r="AE114" s="404"/>
      <c r="AF114" s="402"/>
      <c r="AG114" s="405"/>
      <c r="AH114" s="402"/>
      <c r="AI114" s="402"/>
      <c r="AJ114" s="402"/>
      <c r="AK114" s="402"/>
      <c r="AL114" s="402"/>
      <c r="AM114" s="402"/>
    </row>
    <row r="115" spans="1:39" s="399" customFormat="1" ht="36" x14ac:dyDescent="0.2">
      <c r="A115" s="219">
        <v>16</v>
      </c>
      <c r="B115" s="242" t="s">
        <v>546</v>
      </c>
      <c r="C115" s="683" t="s">
        <v>260</v>
      </c>
      <c r="D115" s="683" t="s">
        <v>567</v>
      </c>
      <c r="E115" s="683" t="s">
        <v>167</v>
      </c>
      <c r="F115" s="683" t="s">
        <v>556</v>
      </c>
      <c r="G115" s="314">
        <v>1843.9</v>
      </c>
      <c r="H115" s="314">
        <v>1736</v>
      </c>
      <c r="I115" s="314">
        <v>1600</v>
      </c>
      <c r="J115" s="314"/>
      <c r="K115" s="314"/>
      <c r="L115" s="314"/>
      <c r="M115" s="421">
        <f t="shared" si="55"/>
        <v>136</v>
      </c>
      <c r="N115" s="314">
        <f t="shared" si="56"/>
        <v>136</v>
      </c>
      <c r="O115" s="672"/>
      <c r="P115" s="384"/>
      <c r="Q115" s="384"/>
      <c r="R115" s="398"/>
      <c r="S115" s="133"/>
      <c r="V115" s="400"/>
      <c r="W115" s="401"/>
      <c r="X115" s="402"/>
      <c r="Y115" s="403"/>
      <c r="Z115" s="389"/>
      <c r="AA115" s="402"/>
      <c r="AB115" s="402"/>
      <c r="AC115" s="402"/>
      <c r="AD115" s="404"/>
      <c r="AE115" s="404"/>
      <c r="AF115" s="402"/>
      <c r="AG115" s="405"/>
      <c r="AH115" s="402"/>
      <c r="AI115" s="402"/>
      <c r="AJ115" s="402"/>
      <c r="AK115" s="402"/>
      <c r="AL115" s="402"/>
      <c r="AM115" s="402"/>
    </row>
    <row r="116" spans="1:39" s="399" customFormat="1" ht="36" x14ac:dyDescent="0.2">
      <c r="A116" s="219">
        <v>17</v>
      </c>
      <c r="B116" s="242" t="s">
        <v>547</v>
      </c>
      <c r="C116" s="683" t="s">
        <v>568</v>
      </c>
      <c r="D116" s="683" t="s">
        <v>569</v>
      </c>
      <c r="E116" s="683" t="s">
        <v>167</v>
      </c>
      <c r="F116" s="683" t="s">
        <v>557</v>
      </c>
      <c r="G116" s="314">
        <v>1900</v>
      </c>
      <c r="H116" s="314">
        <v>1736</v>
      </c>
      <c r="I116" s="314">
        <v>1600</v>
      </c>
      <c r="J116" s="314"/>
      <c r="K116" s="314"/>
      <c r="L116" s="314"/>
      <c r="M116" s="421">
        <f t="shared" si="55"/>
        <v>136</v>
      </c>
      <c r="N116" s="314">
        <f t="shared" si="56"/>
        <v>136</v>
      </c>
      <c r="O116" s="672"/>
      <c r="P116" s="384"/>
      <c r="Q116" s="384"/>
      <c r="R116" s="398"/>
      <c r="S116" s="133"/>
      <c r="V116" s="400"/>
      <c r="W116" s="401"/>
      <c r="X116" s="402"/>
      <c r="Y116" s="403"/>
      <c r="Z116" s="389"/>
      <c r="AA116" s="402"/>
      <c r="AB116" s="402"/>
      <c r="AC116" s="402"/>
      <c r="AD116" s="404"/>
      <c r="AE116" s="404"/>
      <c r="AF116" s="402"/>
      <c r="AG116" s="405"/>
      <c r="AH116" s="402"/>
      <c r="AI116" s="402"/>
      <c r="AJ116" s="402"/>
      <c r="AK116" s="402"/>
      <c r="AL116" s="402"/>
      <c r="AM116" s="402"/>
    </row>
    <row r="117" spans="1:39" s="399" customFormat="1" ht="15" x14ac:dyDescent="0.2">
      <c r="A117" s="668" t="s">
        <v>30</v>
      </c>
      <c r="B117" s="649" t="s">
        <v>463</v>
      </c>
      <c r="C117" s="671"/>
      <c r="D117" s="674"/>
      <c r="E117" s="684"/>
      <c r="F117" s="684"/>
      <c r="G117" s="311">
        <f>SUM(G118:G120)</f>
        <v>4840</v>
      </c>
      <c r="H117" s="311">
        <f t="shared" ref="H117:N117" si="57">SUM(H118:H120)</f>
        <v>4540</v>
      </c>
      <c r="I117" s="311">
        <f t="shared" si="57"/>
        <v>1922</v>
      </c>
      <c r="J117" s="311">
        <f t="shared" si="57"/>
        <v>1922</v>
      </c>
      <c r="K117" s="311">
        <f t="shared" si="57"/>
        <v>1922</v>
      </c>
      <c r="L117" s="311">
        <f t="shared" si="57"/>
        <v>1922</v>
      </c>
      <c r="M117" s="311">
        <f t="shared" si="57"/>
        <v>2618</v>
      </c>
      <c r="N117" s="311">
        <f t="shared" si="57"/>
        <v>2391</v>
      </c>
      <c r="O117" s="672"/>
      <c r="P117" s="384"/>
      <c r="Q117" s="384"/>
      <c r="R117" s="398"/>
      <c r="S117" s="133"/>
      <c r="V117" s="400"/>
      <c r="W117" s="401"/>
      <c r="X117" s="402"/>
      <c r="Y117" s="403"/>
      <c r="Z117" s="389"/>
      <c r="AA117" s="402"/>
      <c r="AB117" s="402"/>
      <c r="AC117" s="402"/>
      <c r="AD117" s="404"/>
      <c r="AE117" s="404"/>
      <c r="AF117" s="402"/>
      <c r="AG117" s="405"/>
      <c r="AH117" s="402"/>
      <c r="AI117" s="402"/>
      <c r="AJ117" s="402"/>
      <c r="AK117" s="402"/>
      <c r="AL117" s="402"/>
      <c r="AM117" s="402"/>
    </row>
    <row r="118" spans="1:39" s="399" customFormat="1" ht="36" x14ac:dyDescent="0.2">
      <c r="A118" s="219" t="s">
        <v>458</v>
      </c>
      <c r="B118" s="209" t="s">
        <v>464</v>
      </c>
      <c r="C118" s="671" t="s">
        <v>143</v>
      </c>
      <c r="D118" s="674" t="s">
        <v>465</v>
      </c>
      <c r="E118" s="684" t="s">
        <v>466</v>
      </c>
      <c r="F118" s="684" t="s">
        <v>467</v>
      </c>
      <c r="G118" s="314">
        <v>670</v>
      </c>
      <c r="H118" s="314">
        <v>620</v>
      </c>
      <c r="I118" s="314">
        <f>J118</f>
        <v>300</v>
      </c>
      <c r="J118" s="314">
        <v>300</v>
      </c>
      <c r="K118" s="314">
        <f>L118</f>
        <v>300</v>
      </c>
      <c r="L118" s="314">
        <v>300</v>
      </c>
      <c r="M118" s="421">
        <f>H118-I118</f>
        <v>320</v>
      </c>
      <c r="N118" s="314">
        <f>H118*95%-I118</f>
        <v>289</v>
      </c>
      <c r="O118" s="672"/>
      <c r="P118" s="384"/>
      <c r="Q118" s="384"/>
      <c r="R118" s="398"/>
      <c r="S118" s="133"/>
      <c r="V118" s="400"/>
      <c r="W118" s="401"/>
      <c r="X118" s="402"/>
      <c r="Y118" s="403"/>
      <c r="Z118" s="389"/>
      <c r="AA118" s="402"/>
      <c r="AB118" s="402"/>
      <c r="AC118" s="402"/>
      <c r="AD118" s="404"/>
      <c r="AE118" s="404"/>
      <c r="AF118" s="402"/>
      <c r="AG118" s="405"/>
      <c r="AH118" s="402"/>
      <c r="AI118" s="402"/>
      <c r="AJ118" s="402"/>
      <c r="AK118" s="402"/>
      <c r="AL118" s="402"/>
      <c r="AM118" s="402"/>
    </row>
    <row r="119" spans="1:39" s="399" customFormat="1" ht="30" x14ac:dyDescent="0.2">
      <c r="A119" s="219" t="s">
        <v>468</v>
      </c>
      <c r="B119" s="209" t="s">
        <v>469</v>
      </c>
      <c r="C119" s="671" t="s">
        <v>147</v>
      </c>
      <c r="D119" s="674" t="s">
        <v>470</v>
      </c>
      <c r="E119" s="684" t="s">
        <v>466</v>
      </c>
      <c r="F119" s="684" t="s">
        <v>471</v>
      </c>
      <c r="G119" s="314">
        <v>2500</v>
      </c>
      <c r="H119" s="314">
        <v>2400</v>
      </c>
      <c r="I119" s="314">
        <f t="shared" ref="I119:I120" si="58">J119</f>
        <v>811</v>
      </c>
      <c r="J119" s="314">
        <v>811</v>
      </c>
      <c r="K119" s="314">
        <f t="shared" ref="K119:K120" si="59">L119</f>
        <v>811</v>
      </c>
      <c r="L119" s="314">
        <v>811</v>
      </c>
      <c r="M119" s="421">
        <f t="shared" ref="M119:M120" si="60">H119-I119</f>
        <v>1589</v>
      </c>
      <c r="N119" s="314">
        <f t="shared" ref="N119:N120" si="61">H119*95%-I119</f>
        <v>1469</v>
      </c>
      <c r="O119" s="672"/>
      <c r="P119" s="384"/>
      <c r="Q119" s="384"/>
      <c r="R119" s="398"/>
      <c r="S119" s="133"/>
      <c r="V119" s="400"/>
      <c r="W119" s="401"/>
      <c r="X119" s="402"/>
      <c r="Y119" s="403"/>
      <c r="Z119" s="389"/>
      <c r="AA119" s="402"/>
      <c r="AB119" s="402"/>
      <c r="AC119" s="402"/>
      <c r="AD119" s="404"/>
      <c r="AE119" s="404"/>
      <c r="AF119" s="402"/>
      <c r="AG119" s="405"/>
      <c r="AH119" s="402"/>
      <c r="AI119" s="402"/>
      <c r="AJ119" s="402"/>
      <c r="AK119" s="402"/>
      <c r="AL119" s="402"/>
      <c r="AM119" s="402"/>
    </row>
    <row r="120" spans="1:39" s="399" customFormat="1" ht="30" x14ac:dyDescent="0.2">
      <c r="A120" s="219" t="s">
        <v>472</v>
      </c>
      <c r="B120" s="209" t="s">
        <v>473</v>
      </c>
      <c r="C120" s="671" t="s">
        <v>139</v>
      </c>
      <c r="D120" s="674" t="s">
        <v>474</v>
      </c>
      <c r="E120" s="684" t="s">
        <v>466</v>
      </c>
      <c r="F120" s="684" t="s">
        <v>475</v>
      </c>
      <c r="G120" s="314">
        <v>1670</v>
      </c>
      <c r="H120" s="314">
        <v>1520</v>
      </c>
      <c r="I120" s="314">
        <f t="shared" si="58"/>
        <v>811</v>
      </c>
      <c r="J120" s="314">
        <v>811</v>
      </c>
      <c r="K120" s="314">
        <f t="shared" si="59"/>
        <v>811</v>
      </c>
      <c r="L120" s="314">
        <v>811</v>
      </c>
      <c r="M120" s="421">
        <f t="shared" si="60"/>
        <v>709</v>
      </c>
      <c r="N120" s="314">
        <f t="shared" si="61"/>
        <v>633</v>
      </c>
      <c r="O120" s="672"/>
      <c r="P120" s="384"/>
      <c r="Q120" s="384"/>
      <c r="R120" s="398"/>
      <c r="S120" s="133"/>
      <c r="V120" s="400"/>
      <c r="W120" s="401"/>
      <c r="X120" s="402"/>
      <c r="Y120" s="403"/>
      <c r="Z120" s="389"/>
      <c r="AA120" s="402"/>
      <c r="AB120" s="402"/>
      <c r="AC120" s="402"/>
      <c r="AD120" s="404"/>
      <c r="AE120" s="404"/>
      <c r="AF120" s="402"/>
      <c r="AG120" s="405"/>
      <c r="AH120" s="402"/>
      <c r="AI120" s="402"/>
      <c r="AJ120" s="402"/>
      <c r="AK120" s="402"/>
      <c r="AL120" s="402"/>
      <c r="AM120" s="402"/>
    </row>
    <row r="121" spans="1:39" s="708" customFormat="1" ht="15" x14ac:dyDescent="0.2">
      <c r="A121" s="779" t="s">
        <v>32</v>
      </c>
      <c r="B121" s="780" t="s">
        <v>583</v>
      </c>
      <c r="C121" s="826"/>
      <c r="D121" s="827"/>
      <c r="E121" s="828"/>
      <c r="F121" s="827"/>
      <c r="G121" s="756">
        <f>SUM(G122)</f>
        <v>850</v>
      </c>
      <c r="H121" s="756">
        <f t="shared" ref="H121:N121" si="62">SUM(H122)</f>
        <v>850</v>
      </c>
      <c r="I121" s="756">
        <f t="shared" si="62"/>
        <v>0</v>
      </c>
      <c r="J121" s="756">
        <f t="shared" si="62"/>
        <v>0</v>
      </c>
      <c r="K121" s="756">
        <f t="shared" si="62"/>
        <v>0</v>
      </c>
      <c r="L121" s="756">
        <f t="shared" si="62"/>
        <v>0</v>
      </c>
      <c r="M121" s="756">
        <f t="shared" si="62"/>
        <v>850</v>
      </c>
      <c r="N121" s="756">
        <f t="shared" si="62"/>
        <v>425</v>
      </c>
      <c r="O121" s="827"/>
      <c r="P121" s="705"/>
      <c r="Q121" s="705"/>
      <c r="R121" s="706"/>
      <c r="S121" s="707"/>
      <c r="V121" s="709"/>
      <c r="W121" s="710"/>
      <c r="X121" s="711"/>
      <c r="Y121" s="712"/>
      <c r="Z121" s="713"/>
      <c r="AA121" s="711"/>
      <c r="AB121" s="711"/>
      <c r="AC121" s="711"/>
      <c r="AD121" s="714"/>
      <c r="AE121" s="714"/>
      <c r="AF121" s="711"/>
      <c r="AG121" s="715"/>
      <c r="AH121" s="711"/>
      <c r="AI121" s="711"/>
      <c r="AJ121" s="711"/>
      <c r="AK121" s="711"/>
      <c r="AL121" s="711"/>
      <c r="AM121" s="711"/>
    </row>
    <row r="122" spans="1:39" s="708" customFormat="1" ht="30" x14ac:dyDescent="0.2">
      <c r="A122" s="757">
        <v>1</v>
      </c>
      <c r="B122" s="781" t="s">
        <v>604</v>
      </c>
      <c r="C122" s="837" t="s">
        <v>166</v>
      </c>
      <c r="D122" s="837" t="s">
        <v>470</v>
      </c>
      <c r="E122" s="838" t="s">
        <v>605</v>
      </c>
      <c r="F122" s="827"/>
      <c r="G122" s="760">
        <v>850</v>
      </c>
      <c r="H122" s="760">
        <v>850</v>
      </c>
      <c r="I122" s="760"/>
      <c r="J122" s="760"/>
      <c r="K122" s="760"/>
      <c r="L122" s="760"/>
      <c r="M122" s="760">
        <f t="shared" ref="M122" si="63">G122-I122</f>
        <v>850</v>
      </c>
      <c r="N122" s="760">
        <f>G122*50%</f>
        <v>425</v>
      </c>
      <c r="O122" s="827"/>
      <c r="P122" s="705"/>
      <c r="Q122" s="705"/>
      <c r="R122" s="706"/>
      <c r="S122" s="707"/>
      <c r="V122" s="709"/>
      <c r="W122" s="710"/>
      <c r="X122" s="711"/>
      <c r="Y122" s="712"/>
      <c r="Z122" s="713"/>
      <c r="AA122" s="711"/>
      <c r="AB122" s="711"/>
      <c r="AC122" s="711"/>
      <c r="AD122" s="714"/>
      <c r="AE122" s="714"/>
      <c r="AF122" s="711"/>
      <c r="AG122" s="715"/>
      <c r="AH122" s="711"/>
      <c r="AI122" s="711"/>
      <c r="AJ122" s="711"/>
      <c r="AK122" s="711"/>
      <c r="AL122" s="711"/>
      <c r="AM122" s="711"/>
    </row>
    <row r="123" spans="1:39" s="399" customFormat="1" ht="23.45" customHeight="1" x14ac:dyDescent="0.2">
      <c r="A123" s="776" t="s">
        <v>25</v>
      </c>
      <c r="B123" s="777" t="s">
        <v>402</v>
      </c>
      <c r="C123" s="839"/>
      <c r="D123" s="836"/>
      <c r="E123" s="840"/>
      <c r="F123" s="836"/>
      <c r="G123" s="778">
        <f>G124+G147+G149</f>
        <v>205447</v>
      </c>
      <c r="H123" s="778">
        <f t="shared" ref="H123:N123" si="64">H124+H147+H149</f>
        <v>194897</v>
      </c>
      <c r="I123" s="778">
        <f t="shared" si="64"/>
        <v>113034</v>
      </c>
      <c r="J123" s="778">
        <f t="shared" si="64"/>
        <v>43931</v>
      </c>
      <c r="K123" s="778">
        <f t="shared" si="64"/>
        <v>43931</v>
      </c>
      <c r="L123" s="778">
        <f t="shared" si="64"/>
        <v>43931</v>
      </c>
      <c r="M123" s="778">
        <f t="shared" si="64"/>
        <v>71863</v>
      </c>
      <c r="N123" s="778">
        <f t="shared" si="64"/>
        <v>75313</v>
      </c>
      <c r="O123" s="836"/>
      <c r="P123" s="384"/>
      <c r="Q123" s="384"/>
      <c r="R123" s="398"/>
      <c r="S123" s="133"/>
      <c r="V123" s="400"/>
      <c r="W123" s="401"/>
      <c r="X123" s="402"/>
      <c r="Y123" s="403"/>
      <c r="Z123" s="389"/>
      <c r="AA123" s="402"/>
      <c r="AB123" s="402"/>
      <c r="AC123" s="402"/>
      <c r="AD123" s="404"/>
      <c r="AE123" s="404"/>
      <c r="AF123" s="402"/>
      <c r="AG123" s="405"/>
      <c r="AH123" s="402"/>
      <c r="AI123" s="402"/>
      <c r="AJ123" s="402"/>
      <c r="AK123" s="402"/>
      <c r="AL123" s="402"/>
      <c r="AM123" s="402"/>
    </row>
    <row r="124" spans="1:39" s="399" customFormat="1" ht="15" x14ac:dyDescent="0.2">
      <c r="A124" s="205"/>
      <c r="B124" s="203" t="s">
        <v>462</v>
      </c>
      <c r="C124" s="681"/>
      <c r="D124" s="700"/>
      <c r="E124" s="682"/>
      <c r="F124" s="700"/>
      <c r="G124" s="206">
        <f>SUM(G125:G146)</f>
        <v>194447</v>
      </c>
      <c r="H124" s="206">
        <f t="shared" ref="H124:N124" si="65">SUM(H125:H146)</f>
        <v>183897</v>
      </c>
      <c r="I124" s="206">
        <f t="shared" si="65"/>
        <v>112834</v>
      </c>
      <c r="J124" s="206">
        <f t="shared" si="65"/>
        <v>43731</v>
      </c>
      <c r="K124" s="206">
        <f t="shared" si="65"/>
        <v>43731</v>
      </c>
      <c r="L124" s="206">
        <f t="shared" si="65"/>
        <v>43731</v>
      </c>
      <c r="M124" s="206">
        <f t="shared" si="65"/>
        <v>71063</v>
      </c>
      <c r="N124" s="206">
        <f t="shared" si="65"/>
        <v>71063</v>
      </c>
      <c r="O124" s="672"/>
      <c r="P124" s="384"/>
      <c r="Q124" s="384"/>
      <c r="R124" s="398"/>
      <c r="S124" s="133"/>
      <c r="V124" s="400"/>
      <c r="W124" s="401"/>
      <c r="X124" s="402"/>
      <c r="Y124" s="403"/>
      <c r="Z124" s="389"/>
      <c r="AA124" s="402"/>
      <c r="AB124" s="402"/>
      <c r="AC124" s="402"/>
      <c r="AD124" s="404"/>
      <c r="AE124" s="404"/>
      <c r="AF124" s="402"/>
      <c r="AG124" s="405"/>
      <c r="AH124" s="402"/>
      <c r="AI124" s="402"/>
      <c r="AJ124" s="402"/>
      <c r="AK124" s="402"/>
      <c r="AL124" s="402"/>
      <c r="AM124" s="402"/>
    </row>
    <row r="125" spans="1:39" s="399" customFormat="1" ht="30" x14ac:dyDescent="0.2">
      <c r="A125" s="219">
        <v>1</v>
      </c>
      <c r="B125" s="209" t="s">
        <v>168</v>
      </c>
      <c r="C125" s="671" t="s">
        <v>144</v>
      </c>
      <c r="D125" s="674"/>
      <c r="E125" s="672" t="s">
        <v>179</v>
      </c>
      <c r="F125" s="684" t="s">
        <v>184</v>
      </c>
      <c r="G125" s="220">
        <v>20000</v>
      </c>
      <c r="H125" s="314">
        <v>20000</v>
      </c>
      <c r="I125" s="314">
        <f>8000+J125</f>
        <v>12000</v>
      </c>
      <c r="J125" s="314">
        <v>4000</v>
      </c>
      <c r="K125" s="314">
        <f>L125</f>
        <v>4000</v>
      </c>
      <c r="L125" s="314">
        <v>4000</v>
      </c>
      <c r="M125" s="421">
        <f>H125-I125</f>
        <v>8000</v>
      </c>
      <c r="N125" s="314">
        <f>H125-I125</f>
        <v>8000</v>
      </c>
      <c r="O125" s="672"/>
      <c r="P125" s="384"/>
      <c r="Q125" s="384"/>
      <c r="R125" s="398"/>
      <c r="S125" s="133"/>
      <c r="V125" s="400"/>
      <c r="W125" s="401"/>
      <c r="X125" s="402"/>
      <c r="Y125" s="403"/>
      <c r="Z125" s="389"/>
      <c r="AA125" s="402"/>
      <c r="AB125" s="402"/>
      <c r="AC125" s="402"/>
      <c r="AD125" s="404"/>
      <c r="AE125" s="404"/>
      <c r="AF125" s="402"/>
      <c r="AG125" s="405"/>
      <c r="AH125" s="402"/>
      <c r="AI125" s="402"/>
      <c r="AJ125" s="402"/>
      <c r="AK125" s="402"/>
      <c r="AL125" s="402"/>
      <c r="AM125" s="402"/>
    </row>
    <row r="126" spans="1:39" s="399" customFormat="1" ht="48" x14ac:dyDescent="0.2">
      <c r="A126" s="219">
        <v>2</v>
      </c>
      <c r="B126" s="209" t="s">
        <v>169</v>
      </c>
      <c r="C126" s="671" t="s">
        <v>180</v>
      </c>
      <c r="D126" s="674"/>
      <c r="E126" s="672" t="s">
        <v>179</v>
      </c>
      <c r="F126" s="684" t="s">
        <v>185</v>
      </c>
      <c r="G126" s="220">
        <v>35000</v>
      </c>
      <c r="H126" s="314">
        <v>35000</v>
      </c>
      <c r="I126" s="314">
        <f>9612+J126</f>
        <v>15863</v>
      </c>
      <c r="J126" s="314">
        <v>6251</v>
      </c>
      <c r="K126" s="314">
        <f>L126</f>
        <v>6251</v>
      </c>
      <c r="L126" s="314">
        <v>6251</v>
      </c>
      <c r="M126" s="421">
        <f t="shared" ref="M126:M146" si="66">H126-I126</f>
        <v>19137</v>
      </c>
      <c r="N126" s="314">
        <f t="shared" ref="N126:N146" si="67">H126-I126</f>
        <v>19137</v>
      </c>
      <c r="O126" s="672"/>
      <c r="P126" s="384"/>
      <c r="Q126" s="384"/>
      <c r="R126" s="398"/>
      <c r="S126" s="133"/>
      <c r="V126" s="400"/>
      <c r="W126" s="401"/>
      <c r="X126" s="402"/>
      <c r="Y126" s="403"/>
      <c r="Z126" s="389"/>
      <c r="AA126" s="402"/>
      <c r="AB126" s="402"/>
      <c r="AC126" s="402"/>
      <c r="AD126" s="404"/>
      <c r="AE126" s="404"/>
      <c r="AF126" s="402"/>
      <c r="AG126" s="405"/>
      <c r="AH126" s="402"/>
      <c r="AI126" s="402"/>
      <c r="AJ126" s="402"/>
      <c r="AK126" s="402"/>
      <c r="AL126" s="402"/>
      <c r="AM126" s="402"/>
    </row>
    <row r="127" spans="1:39" s="399" customFormat="1" ht="45" x14ac:dyDescent="0.2">
      <c r="A127" s="219">
        <v>3</v>
      </c>
      <c r="B127" s="209" t="s">
        <v>170</v>
      </c>
      <c r="C127" s="671" t="s">
        <v>181</v>
      </c>
      <c r="D127" s="674"/>
      <c r="E127" s="672" t="s">
        <v>179</v>
      </c>
      <c r="F127" s="684" t="s">
        <v>186</v>
      </c>
      <c r="G127" s="220">
        <v>35000</v>
      </c>
      <c r="H127" s="314">
        <v>35000</v>
      </c>
      <c r="I127" s="314">
        <f>9613+J127</f>
        <v>17613</v>
      </c>
      <c r="J127" s="314">
        <v>8000</v>
      </c>
      <c r="K127" s="314">
        <f t="shared" ref="K127:K148" si="68">L127</f>
        <v>8000</v>
      </c>
      <c r="L127" s="314">
        <v>8000</v>
      </c>
      <c r="M127" s="421">
        <f t="shared" si="66"/>
        <v>17387</v>
      </c>
      <c r="N127" s="314">
        <f t="shared" si="67"/>
        <v>17387</v>
      </c>
      <c r="O127" s="672"/>
      <c r="P127" s="384"/>
      <c r="Q127" s="384"/>
      <c r="R127" s="398"/>
      <c r="S127" s="133"/>
      <c r="V127" s="400"/>
      <c r="W127" s="401"/>
      <c r="X127" s="402"/>
      <c r="Y127" s="403"/>
      <c r="Z127" s="389"/>
      <c r="AA127" s="402"/>
      <c r="AB127" s="402"/>
      <c r="AC127" s="402"/>
      <c r="AD127" s="404"/>
      <c r="AE127" s="404"/>
      <c r="AF127" s="402"/>
      <c r="AG127" s="405"/>
      <c r="AH127" s="402"/>
      <c r="AI127" s="402"/>
      <c r="AJ127" s="402"/>
      <c r="AK127" s="402"/>
      <c r="AL127" s="402"/>
      <c r="AM127" s="402"/>
    </row>
    <row r="128" spans="1:39" s="399" customFormat="1" ht="30" x14ac:dyDescent="0.2">
      <c r="A128" s="219">
        <v>4</v>
      </c>
      <c r="B128" s="209" t="s">
        <v>171</v>
      </c>
      <c r="C128" s="671" t="s">
        <v>182</v>
      </c>
      <c r="D128" s="674"/>
      <c r="E128" s="672" t="s">
        <v>179</v>
      </c>
      <c r="F128" s="684" t="s">
        <v>187</v>
      </c>
      <c r="G128" s="220">
        <v>4556</v>
      </c>
      <c r="H128" s="314">
        <v>4556</v>
      </c>
      <c r="I128" s="314">
        <f>1823+J128</f>
        <v>3123</v>
      </c>
      <c r="J128" s="314">
        <v>1300</v>
      </c>
      <c r="K128" s="314">
        <f t="shared" si="68"/>
        <v>1300</v>
      </c>
      <c r="L128" s="314">
        <v>1300</v>
      </c>
      <c r="M128" s="421">
        <f t="shared" si="66"/>
        <v>1433</v>
      </c>
      <c r="N128" s="314">
        <f t="shared" si="67"/>
        <v>1433</v>
      </c>
      <c r="O128" s="672"/>
      <c r="P128" s="384"/>
      <c r="Q128" s="384"/>
      <c r="R128" s="398"/>
      <c r="S128" s="133"/>
      <c r="V128" s="400"/>
      <c r="W128" s="401"/>
      <c r="X128" s="402"/>
      <c r="Y128" s="403"/>
      <c r="Z128" s="389"/>
      <c r="AA128" s="402"/>
      <c r="AB128" s="402"/>
      <c r="AC128" s="402"/>
      <c r="AD128" s="404"/>
      <c r="AE128" s="404"/>
      <c r="AF128" s="402"/>
      <c r="AG128" s="405"/>
      <c r="AH128" s="402"/>
      <c r="AI128" s="402"/>
      <c r="AJ128" s="402"/>
      <c r="AK128" s="402"/>
      <c r="AL128" s="402"/>
      <c r="AM128" s="402"/>
    </row>
    <row r="129" spans="1:39" s="399" customFormat="1" ht="24" x14ac:dyDescent="0.2">
      <c r="A129" s="219">
        <v>5</v>
      </c>
      <c r="B129" s="209" t="s">
        <v>172</v>
      </c>
      <c r="C129" s="671" t="s">
        <v>182</v>
      </c>
      <c r="D129" s="674"/>
      <c r="E129" s="672" t="s">
        <v>179</v>
      </c>
      <c r="F129" s="684" t="s">
        <v>188</v>
      </c>
      <c r="G129" s="220">
        <v>4000</v>
      </c>
      <c r="H129" s="314">
        <v>4000</v>
      </c>
      <c r="I129" s="314">
        <f>1600+J129</f>
        <v>2800</v>
      </c>
      <c r="J129" s="314">
        <v>1200</v>
      </c>
      <c r="K129" s="314">
        <f t="shared" si="68"/>
        <v>1200</v>
      </c>
      <c r="L129" s="314">
        <v>1200</v>
      </c>
      <c r="M129" s="421">
        <f t="shared" si="66"/>
        <v>1200</v>
      </c>
      <c r="N129" s="314">
        <f t="shared" si="67"/>
        <v>1200</v>
      </c>
      <c r="O129" s="672"/>
      <c r="P129" s="384"/>
      <c r="Q129" s="384"/>
      <c r="R129" s="398"/>
      <c r="S129" s="133"/>
      <c r="V129" s="400"/>
      <c r="W129" s="401"/>
      <c r="X129" s="402"/>
      <c r="Y129" s="403"/>
      <c r="Z129" s="389"/>
      <c r="AA129" s="402"/>
      <c r="AB129" s="402"/>
      <c r="AC129" s="402"/>
      <c r="AD129" s="404"/>
      <c r="AE129" s="404"/>
      <c r="AF129" s="402"/>
      <c r="AG129" s="405"/>
      <c r="AH129" s="402"/>
      <c r="AI129" s="402"/>
      <c r="AJ129" s="402"/>
      <c r="AK129" s="402"/>
      <c r="AL129" s="402"/>
      <c r="AM129" s="402"/>
    </row>
    <row r="130" spans="1:39" s="399" customFormat="1" ht="24" x14ac:dyDescent="0.2">
      <c r="A130" s="219">
        <v>6</v>
      </c>
      <c r="B130" s="209" t="s">
        <v>173</v>
      </c>
      <c r="C130" s="671" t="s">
        <v>143</v>
      </c>
      <c r="D130" s="674"/>
      <c r="E130" s="672" t="s">
        <v>179</v>
      </c>
      <c r="F130" s="684" t="s">
        <v>189</v>
      </c>
      <c r="G130" s="220">
        <v>5400</v>
      </c>
      <c r="H130" s="314">
        <v>5400</v>
      </c>
      <c r="I130" s="314">
        <f>2160+J130</f>
        <v>3760</v>
      </c>
      <c r="J130" s="314">
        <v>1600</v>
      </c>
      <c r="K130" s="314">
        <f t="shared" si="68"/>
        <v>1600</v>
      </c>
      <c r="L130" s="314">
        <v>1600</v>
      </c>
      <c r="M130" s="421">
        <f t="shared" si="66"/>
        <v>1640</v>
      </c>
      <c r="N130" s="314">
        <f t="shared" si="67"/>
        <v>1640</v>
      </c>
      <c r="O130" s="672"/>
      <c r="P130" s="384"/>
      <c r="Q130" s="384"/>
      <c r="R130" s="398"/>
      <c r="S130" s="133"/>
      <c r="V130" s="400"/>
      <c r="W130" s="401"/>
      <c r="X130" s="402"/>
      <c r="Y130" s="403"/>
      <c r="Z130" s="389"/>
      <c r="AA130" s="402"/>
      <c r="AB130" s="402"/>
      <c r="AC130" s="402"/>
      <c r="AD130" s="404"/>
      <c r="AE130" s="404"/>
      <c r="AF130" s="402"/>
      <c r="AG130" s="405"/>
      <c r="AH130" s="402"/>
      <c r="AI130" s="402"/>
      <c r="AJ130" s="402"/>
      <c r="AK130" s="402"/>
      <c r="AL130" s="402"/>
      <c r="AM130" s="402"/>
    </row>
    <row r="131" spans="1:39" s="399" customFormat="1" ht="24" x14ac:dyDescent="0.2">
      <c r="A131" s="219">
        <v>7</v>
      </c>
      <c r="B131" s="209" t="s">
        <v>174</v>
      </c>
      <c r="C131" s="671" t="s">
        <v>182</v>
      </c>
      <c r="D131" s="674"/>
      <c r="E131" s="672" t="s">
        <v>179</v>
      </c>
      <c r="F131" s="684" t="s">
        <v>190</v>
      </c>
      <c r="G131" s="220">
        <v>5000</v>
      </c>
      <c r="H131" s="314">
        <v>5000</v>
      </c>
      <c r="I131" s="314">
        <f>2000+J131</f>
        <v>3500</v>
      </c>
      <c r="J131" s="314">
        <v>1500</v>
      </c>
      <c r="K131" s="314">
        <f t="shared" si="68"/>
        <v>1500</v>
      </c>
      <c r="L131" s="314">
        <v>1500</v>
      </c>
      <c r="M131" s="421">
        <f t="shared" si="66"/>
        <v>1500</v>
      </c>
      <c r="N131" s="314">
        <f t="shared" si="67"/>
        <v>1500</v>
      </c>
      <c r="O131" s="672"/>
      <c r="P131" s="384"/>
      <c r="Q131" s="384"/>
      <c r="R131" s="398"/>
      <c r="S131" s="133"/>
      <c r="V131" s="400"/>
      <c r="W131" s="401"/>
      <c r="X131" s="402"/>
      <c r="Y131" s="403"/>
      <c r="Z131" s="389"/>
      <c r="AA131" s="402"/>
      <c r="AB131" s="402"/>
      <c r="AC131" s="402"/>
      <c r="AD131" s="404"/>
      <c r="AE131" s="404"/>
      <c r="AF131" s="402"/>
      <c r="AG131" s="405"/>
      <c r="AH131" s="402"/>
      <c r="AI131" s="402"/>
      <c r="AJ131" s="402"/>
      <c r="AK131" s="402"/>
      <c r="AL131" s="402"/>
      <c r="AM131" s="402"/>
    </row>
    <row r="132" spans="1:39" s="399" customFormat="1" ht="30" x14ac:dyDescent="0.2">
      <c r="A132" s="219">
        <v>8</v>
      </c>
      <c r="B132" s="209" t="s">
        <v>175</v>
      </c>
      <c r="C132" s="671" t="s">
        <v>182</v>
      </c>
      <c r="D132" s="674"/>
      <c r="E132" s="672" t="s">
        <v>179</v>
      </c>
      <c r="F132" s="684" t="s">
        <v>191</v>
      </c>
      <c r="G132" s="220">
        <v>4500</v>
      </c>
      <c r="H132" s="760">
        <v>3150</v>
      </c>
      <c r="I132" s="314">
        <f>1800+J132</f>
        <v>3150</v>
      </c>
      <c r="J132" s="760">
        <v>1350</v>
      </c>
      <c r="K132" s="314">
        <f t="shared" si="68"/>
        <v>1350</v>
      </c>
      <c r="L132" s="314">
        <v>1350</v>
      </c>
      <c r="M132" s="421">
        <f t="shared" si="66"/>
        <v>0</v>
      </c>
      <c r="N132" s="314">
        <f t="shared" si="67"/>
        <v>0</v>
      </c>
      <c r="O132" s="672" t="s">
        <v>318</v>
      </c>
      <c r="P132" s="384"/>
      <c r="Q132" s="401"/>
      <c r="R132" s="398"/>
      <c r="S132" s="133"/>
      <c r="V132" s="400"/>
      <c r="W132" s="401"/>
      <c r="X132" s="402"/>
      <c r="Y132" s="403"/>
      <c r="Z132" s="389"/>
      <c r="AA132" s="402"/>
      <c r="AB132" s="402"/>
      <c r="AC132" s="402"/>
      <c r="AD132" s="404"/>
      <c r="AE132" s="404"/>
      <c r="AF132" s="402"/>
      <c r="AG132" s="405"/>
      <c r="AH132" s="402"/>
      <c r="AI132" s="402"/>
      <c r="AJ132" s="402"/>
      <c r="AK132" s="402"/>
      <c r="AL132" s="402"/>
      <c r="AM132" s="402"/>
    </row>
    <row r="133" spans="1:39" s="399" customFormat="1" ht="45" x14ac:dyDescent="0.2">
      <c r="A133" s="219">
        <v>9</v>
      </c>
      <c r="B133" s="209" t="s">
        <v>176</v>
      </c>
      <c r="C133" s="671" t="s">
        <v>183</v>
      </c>
      <c r="D133" s="674"/>
      <c r="E133" s="672" t="s">
        <v>179</v>
      </c>
      <c r="F133" s="684" t="s">
        <v>192</v>
      </c>
      <c r="G133" s="220">
        <v>24841</v>
      </c>
      <c r="H133" s="314">
        <v>20671</v>
      </c>
      <c r="I133" s="314">
        <f>7000+J133</f>
        <v>12000</v>
      </c>
      <c r="J133" s="314">
        <v>5000</v>
      </c>
      <c r="K133" s="314">
        <f t="shared" si="68"/>
        <v>5000</v>
      </c>
      <c r="L133" s="314">
        <v>5000</v>
      </c>
      <c r="M133" s="421">
        <f t="shared" si="66"/>
        <v>8671</v>
      </c>
      <c r="N133" s="314">
        <f t="shared" si="67"/>
        <v>8671</v>
      </c>
      <c r="O133" s="672"/>
      <c r="P133" s="384"/>
      <c r="Q133" s="384"/>
      <c r="R133" s="398"/>
      <c r="S133" s="133"/>
      <c r="V133" s="400"/>
      <c r="W133" s="401"/>
      <c r="X133" s="402"/>
      <c r="Y133" s="403"/>
      <c r="Z133" s="389"/>
      <c r="AA133" s="402"/>
      <c r="AB133" s="402"/>
      <c r="AC133" s="402"/>
      <c r="AD133" s="404"/>
      <c r="AE133" s="404"/>
      <c r="AF133" s="402"/>
      <c r="AG133" s="405"/>
      <c r="AH133" s="402"/>
      <c r="AI133" s="402"/>
      <c r="AJ133" s="402"/>
      <c r="AK133" s="402"/>
      <c r="AL133" s="402"/>
      <c r="AM133" s="402"/>
    </row>
    <row r="134" spans="1:39" s="399" customFormat="1" ht="24" x14ac:dyDescent="0.2">
      <c r="A134" s="219">
        <v>10</v>
      </c>
      <c r="B134" s="209" t="s">
        <v>177</v>
      </c>
      <c r="C134" s="671" t="s">
        <v>143</v>
      </c>
      <c r="D134" s="674"/>
      <c r="E134" s="672" t="s">
        <v>179</v>
      </c>
      <c r="F134" s="684" t="s">
        <v>193</v>
      </c>
      <c r="G134" s="220">
        <v>4000</v>
      </c>
      <c r="H134" s="314">
        <v>4000</v>
      </c>
      <c r="I134" s="314">
        <f>1600+J134</f>
        <v>2800</v>
      </c>
      <c r="J134" s="314">
        <v>1200</v>
      </c>
      <c r="K134" s="314">
        <f t="shared" si="68"/>
        <v>1200</v>
      </c>
      <c r="L134" s="314">
        <v>1200</v>
      </c>
      <c r="M134" s="421">
        <f t="shared" si="66"/>
        <v>1200</v>
      </c>
      <c r="N134" s="314">
        <f t="shared" si="67"/>
        <v>1200</v>
      </c>
      <c r="O134" s="672"/>
      <c r="P134" s="384"/>
      <c r="Q134" s="384"/>
      <c r="R134" s="398"/>
      <c r="S134" s="133"/>
      <c r="V134" s="400"/>
      <c r="W134" s="401"/>
      <c r="X134" s="402"/>
      <c r="Y134" s="403"/>
      <c r="Z134" s="389"/>
      <c r="AA134" s="402"/>
      <c r="AB134" s="402"/>
      <c r="AC134" s="402"/>
      <c r="AD134" s="404"/>
      <c r="AE134" s="404"/>
      <c r="AF134" s="402"/>
      <c r="AG134" s="405"/>
      <c r="AH134" s="402"/>
      <c r="AI134" s="402"/>
      <c r="AJ134" s="402"/>
      <c r="AK134" s="402"/>
      <c r="AL134" s="402"/>
      <c r="AM134" s="402"/>
    </row>
    <row r="135" spans="1:39" s="399" customFormat="1" ht="30" x14ac:dyDescent="0.2">
      <c r="A135" s="219">
        <v>11</v>
      </c>
      <c r="B135" s="209" t="s">
        <v>178</v>
      </c>
      <c r="C135" s="671" t="s">
        <v>182</v>
      </c>
      <c r="D135" s="674"/>
      <c r="E135" s="672" t="s">
        <v>179</v>
      </c>
      <c r="F135" s="684" t="s">
        <v>194</v>
      </c>
      <c r="G135" s="220">
        <v>1500</v>
      </c>
      <c r="H135" s="314">
        <v>1500</v>
      </c>
      <c r="I135" s="314">
        <f>600+J135</f>
        <v>1400</v>
      </c>
      <c r="J135" s="314">
        <v>800</v>
      </c>
      <c r="K135" s="314">
        <f t="shared" si="68"/>
        <v>800</v>
      </c>
      <c r="L135" s="314">
        <v>800</v>
      </c>
      <c r="M135" s="421">
        <f t="shared" si="66"/>
        <v>100</v>
      </c>
      <c r="N135" s="314">
        <f t="shared" si="67"/>
        <v>100</v>
      </c>
      <c r="O135" s="672"/>
      <c r="P135" s="384"/>
      <c r="Q135" s="384"/>
      <c r="R135" s="398"/>
      <c r="S135" s="133"/>
      <c r="V135" s="400"/>
      <c r="W135" s="401"/>
      <c r="X135" s="402"/>
      <c r="Y135" s="403"/>
      <c r="Z135" s="389"/>
      <c r="AA135" s="402"/>
      <c r="AB135" s="402"/>
      <c r="AC135" s="402"/>
      <c r="AD135" s="404"/>
      <c r="AE135" s="404"/>
      <c r="AF135" s="402"/>
      <c r="AG135" s="405"/>
      <c r="AH135" s="402"/>
      <c r="AI135" s="402"/>
      <c r="AJ135" s="402"/>
      <c r="AK135" s="402"/>
      <c r="AL135" s="402"/>
      <c r="AM135" s="402"/>
    </row>
    <row r="136" spans="1:39" s="399" customFormat="1" ht="24" x14ac:dyDescent="0.2">
      <c r="A136" s="219">
        <v>12</v>
      </c>
      <c r="B136" s="226" t="s">
        <v>281</v>
      </c>
      <c r="C136" s="684" t="s">
        <v>292</v>
      </c>
      <c r="D136" s="684" t="s">
        <v>295</v>
      </c>
      <c r="E136" s="672" t="s">
        <v>179</v>
      </c>
      <c r="F136" s="684" t="s">
        <v>306</v>
      </c>
      <c r="G136" s="220">
        <v>6000</v>
      </c>
      <c r="H136" s="314">
        <v>5500</v>
      </c>
      <c r="I136" s="760">
        <f>2400+J136</f>
        <v>4200</v>
      </c>
      <c r="J136" s="314">
        <v>1800</v>
      </c>
      <c r="K136" s="314">
        <f t="shared" si="68"/>
        <v>1800</v>
      </c>
      <c r="L136" s="314">
        <v>1800</v>
      </c>
      <c r="M136" s="421">
        <f t="shared" si="66"/>
        <v>1300</v>
      </c>
      <c r="N136" s="314">
        <f t="shared" si="67"/>
        <v>1300</v>
      </c>
      <c r="O136" s="672" t="s">
        <v>318</v>
      </c>
      <c r="P136" s="384"/>
      <c r="Q136" s="384"/>
      <c r="R136" s="398"/>
      <c r="S136" s="133"/>
      <c r="V136" s="400"/>
      <c r="W136" s="401"/>
      <c r="X136" s="402"/>
      <c r="Y136" s="403"/>
      <c r="Z136" s="389"/>
      <c r="AA136" s="402"/>
      <c r="AB136" s="402"/>
      <c r="AC136" s="402"/>
      <c r="AD136" s="404"/>
      <c r="AE136" s="404"/>
      <c r="AF136" s="402"/>
      <c r="AG136" s="405"/>
      <c r="AH136" s="402"/>
      <c r="AI136" s="402"/>
      <c r="AJ136" s="402"/>
      <c r="AK136" s="402"/>
      <c r="AL136" s="402"/>
      <c r="AM136" s="402"/>
    </row>
    <row r="137" spans="1:39" s="399" customFormat="1" ht="36" x14ac:dyDescent="0.2">
      <c r="A137" s="219">
        <v>13</v>
      </c>
      <c r="B137" s="226" t="s">
        <v>282</v>
      </c>
      <c r="C137" s="684" t="s">
        <v>292</v>
      </c>
      <c r="D137" s="685" t="s">
        <v>296</v>
      </c>
      <c r="E137" s="672" t="s">
        <v>179</v>
      </c>
      <c r="F137" s="684" t="s">
        <v>307</v>
      </c>
      <c r="G137" s="220">
        <v>4000</v>
      </c>
      <c r="H137" s="314">
        <v>3500</v>
      </c>
      <c r="I137" s="760">
        <f>1600+J137</f>
        <v>2800</v>
      </c>
      <c r="J137" s="314">
        <v>1200</v>
      </c>
      <c r="K137" s="314">
        <f t="shared" si="68"/>
        <v>1200</v>
      </c>
      <c r="L137" s="314">
        <v>1200</v>
      </c>
      <c r="M137" s="421">
        <f t="shared" si="66"/>
        <v>700</v>
      </c>
      <c r="N137" s="314">
        <f t="shared" si="67"/>
        <v>700</v>
      </c>
      <c r="O137" s="672" t="s">
        <v>318</v>
      </c>
      <c r="P137" s="384"/>
      <c r="Q137" s="384"/>
      <c r="R137" s="398"/>
      <c r="S137" s="133"/>
      <c r="V137" s="400"/>
      <c r="W137" s="401"/>
      <c r="X137" s="402"/>
      <c r="Y137" s="403"/>
      <c r="Z137" s="389"/>
      <c r="AA137" s="402"/>
      <c r="AB137" s="402"/>
      <c r="AC137" s="402"/>
      <c r="AD137" s="404"/>
      <c r="AE137" s="404"/>
      <c r="AF137" s="402"/>
      <c r="AG137" s="405"/>
      <c r="AH137" s="402"/>
      <c r="AI137" s="402"/>
      <c r="AJ137" s="402"/>
      <c r="AK137" s="402"/>
      <c r="AL137" s="402"/>
      <c r="AM137" s="402"/>
    </row>
    <row r="138" spans="1:39" s="399" customFormat="1" ht="48" x14ac:dyDescent="0.2">
      <c r="A138" s="219">
        <v>14</v>
      </c>
      <c r="B138" s="226" t="s">
        <v>283</v>
      </c>
      <c r="C138" s="685" t="s">
        <v>142</v>
      </c>
      <c r="D138" s="685" t="s">
        <v>297</v>
      </c>
      <c r="E138" s="672" t="s">
        <v>179</v>
      </c>
      <c r="F138" s="684" t="s">
        <v>308</v>
      </c>
      <c r="G138" s="220">
        <v>7000</v>
      </c>
      <c r="H138" s="314">
        <v>6000</v>
      </c>
      <c r="I138" s="760">
        <f>2800+J138</f>
        <v>4900</v>
      </c>
      <c r="J138" s="314">
        <v>2100</v>
      </c>
      <c r="K138" s="314">
        <f t="shared" si="68"/>
        <v>2100</v>
      </c>
      <c r="L138" s="314">
        <v>2100</v>
      </c>
      <c r="M138" s="421">
        <f t="shared" si="66"/>
        <v>1100</v>
      </c>
      <c r="N138" s="314">
        <f t="shared" si="67"/>
        <v>1100</v>
      </c>
      <c r="O138" s="672" t="s">
        <v>318</v>
      </c>
      <c r="P138" s="384"/>
      <c r="Q138" s="384"/>
      <c r="R138" s="398"/>
      <c r="S138" s="133"/>
      <c r="V138" s="400"/>
      <c r="W138" s="401"/>
      <c r="X138" s="402"/>
      <c r="Y138" s="403"/>
      <c r="Z138" s="389"/>
      <c r="AA138" s="402"/>
      <c r="AB138" s="402"/>
      <c r="AC138" s="402"/>
      <c r="AD138" s="404"/>
      <c r="AE138" s="404"/>
      <c r="AF138" s="402"/>
      <c r="AG138" s="405"/>
      <c r="AH138" s="402"/>
      <c r="AI138" s="402"/>
      <c r="AJ138" s="402"/>
      <c r="AK138" s="402"/>
      <c r="AL138" s="402"/>
      <c r="AM138" s="402"/>
    </row>
    <row r="139" spans="1:39" s="399" customFormat="1" ht="36" x14ac:dyDescent="0.2">
      <c r="A139" s="219">
        <v>15</v>
      </c>
      <c r="B139" s="226" t="s">
        <v>284</v>
      </c>
      <c r="C139" s="685" t="s">
        <v>142</v>
      </c>
      <c r="D139" s="685" t="s">
        <v>298</v>
      </c>
      <c r="E139" s="672" t="s">
        <v>179</v>
      </c>
      <c r="F139" s="684" t="s">
        <v>309</v>
      </c>
      <c r="G139" s="220">
        <v>6000</v>
      </c>
      <c r="H139" s="314">
        <v>5000</v>
      </c>
      <c r="I139" s="760">
        <f>2400+J139</f>
        <v>4200</v>
      </c>
      <c r="J139" s="314">
        <v>1800</v>
      </c>
      <c r="K139" s="314">
        <f t="shared" si="68"/>
        <v>1800</v>
      </c>
      <c r="L139" s="314">
        <v>1800</v>
      </c>
      <c r="M139" s="421">
        <f t="shared" si="66"/>
        <v>800</v>
      </c>
      <c r="N139" s="314">
        <f t="shared" si="67"/>
        <v>800</v>
      </c>
      <c r="O139" s="672" t="s">
        <v>318</v>
      </c>
      <c r="P139" s="384"/>
      <c r="Q139" s="384"/>
      <c r="R139" s="398"/>
      <c r="S139" s="133"/>
      <c r="V139" s="400"/>
      <c r="W139" s="401"/>
      <c r="X139" s="402"/>
      <c r="Y139" s="403"/>
      <c r="Z139" s="389"/>
      <c r="AA139" s="402"/>
      <c r="AB139" s="402"/>
      <c r="AC139" s="402"/>
      <c r="AD139" s="404"/>
      <c r="AE139" s="404"/>
      <c r="AF139" s="402"/>
      <c r="AG139" s="405"/>
      <c r="AH139" s="402"/>
      <c r="AI139" s="402"/>
      <c r="AJ139" s="402"/>
      <c r="AK139" s="402"/>
      <c r="AL139" s="402"/>
      <c r="AM139" s="402"/>
    </row>
    <row r="140" spans="1:39" s="399" customFormat="1" ht="48" x14ac:dyDescent="0.2">
      <c r="A140" s="219">
        <v>16</v>
      </c>
      <c r="B140" s="228" t="s">
        <v>285</v>
      </c>
      <c r="C140" s="684" t="s">
        <v>142</v>
      </c>
      <c r="D140" s="684" t="s">
        <v>299</v>
      </c>
      <c r="E140" s="672" t="s">
        <v>179</v>
      </c>
      <c r="F140" s="684" t="s">
        <v>310</v>
      </c>
      <c r="G140" s="220">
        <v>7000</v>
      </c>
      <c r="H140" s="314">
        <v>5000</v>
      </c>
      <c r="I140" s="760">
        <f>2800+J140</f>
        <v>4300</v>
      </c>
      <c r="J140" s="314">
        <v>1500</v>
      </c>
      <c r="K140" s="314">
        <f t="shared" si="68"/>
        <v>1500</v>
      </c>
      <c r="L140" s="314">
        <v>1500</v>
      </c>
      <c r="M140" s="421">
        <f t="shared" si="66"/>
        <v>700</v>
      </c>
      <c r="N140" s="314">
        <f t="shared" si="67"/>
        <v>700</v>
      </c>
      <c r="O140" s="672" t="s">
        <v>318</v>
      </c>
      <c r="P140" s="384"/>
      <c r="Q140" s="384"/>
      <c r="R140" s="398"/>
      <c r="S140" s="133"/>
      <c r="V140" s="400"/>
      <c r="W140" s="401"/>
      <c r="X140" s="402"/>
      <c r="Y140" s="403"/>
      <c r="Z140" s="389"/>
      <c r="AA140" s="402"/>
      <c r="AB140" s="402"/>
      <c r="AC140" s="402"/>
      <c r="AD140" s="404"/>
      <c r="AE140" s="404"/>
      <c r="AF140" s="402"/>
      <c r="AG140" s="405"/>
      <c r="AH140" s="402"/>
      <c r="AI140" s="402"/>
      <c r="AJ140" s="402"/>
      <c r="AK140" s="402"/>
      <c r="AL140" s="402"/>
      <c r="AM140" s="402"/>
    </row>
    <row r="141" spans="1:39" s="399" customFormat="1" ht="30" x14ac:dyDescent="0.2">
      <c r="A141" s="219">
        <v>17</v>
      </c>
      <c r="B141" s="228" t="s">
        <v>286</v>
      </c>
      <c r="C141" s="684" t="s">
        <v>293</v>
      </c>
      <c r="D141" s="684" t="s">
        <v>300</v>
      </c>
      <c r="E141" s="672" t="s">
        <v>179</v>
      </c>
      <c r="F141" s="686" t="s">
        <v>311</v>
      </c>
      <c r="G141" s="220">
        <v>3150</v>
      </c>
      <c r="H141" s="314">
        <v>3150</v>
      </c>
      <c r="I141" s="314">
        <f>1800+J141</f>
        <v>2200</v>
      </c>
      <c r="J141" s="314">
        <v>400</v>
      </c>
      <c r="K141" s="314">
        <f t="shared" si="68"/>
        <v>400</v>
      </c>
      <c r="L141" s="314">
        <v>400</v>
      </c>
      <c r="M141" s="421">
        <f t="shared" si="66"/>
        <v>950</v>
      </c>
      <c r="N141" s="314">
        <f t="shared" si="67"/>
        <v>950</v>
      </c>
      <c r="O141" s="672"/>
      <c r="P141" s="384"/>
      <c r="Q141" s="384"/>
      <c r="R141" s="398"/>
      <c r="S141" s="133"/>
      <c r="V141" s="400"/>
      <c r="W141" s="401"/>
      <c r="X141" s="402"/>
      <c r="Y141" s="403"/>
      <c r="Z141" s="389"/>
      <c r="AA141" s="402"/>
      <c r="AB141" s="402"/>
      <c r="AC141" s="402"/>
      <c r="AD141" s="404"/>
      <c r="AE141" s="404"/>
      <c r="AF141" s="402"/>
      <c r="AG141" s="405"/>
      <c r="AH141" s="402"/>
      <c r="AI141" s="402"/>
      <c r="AJ141" s="402"/>
      <c r="AK141" s="402"/>
      <c r="AL141" s="402"/>
      <c r="AM141" s="402"/>
    </row>
    <row r="142" spans="1:39" s="399" customFormat="1" ht="48" x14ac:dyDescent="0.2">
      <c r="A142" s="219">
        <v>18</v>
      </c>
      <c r="B142" s="239" t="s">
        <v>287</v>
      </c>
      <c r="C142" s="686" t="s">
        <v>294</v>
      </c>
      <c r="D142" s="686" t="s">
        <v>301</v>
      </c>
      <c r="E142" s="672" t="s">
        <v>179</v>
      </c>
      <c r="F142" s="686" t="s">
        <v>312</v>
      </c>
      <c r="G142" s="220">
        <v>2000</v>
      </c>
      <c r="H142" s="314">
        <v>2000</v>
      </c>
      <c r="I142" s="314">
        <f>1000+J142</f>
        <v>1400</v>
      </c>
      <c r="J142" s="314">
        <v>400</v>
      </c>
      <c r="K142" s="314">
        <f t="shared" si="68"/>
        <v>400</v>
      </c>
      <c r="L142" s="314">
        <v>400</v>
      </c>
      <c r="M142" s="421">
        <f t="shared" si="66"/>
        <v>600</v>
      </c>
      <c r="N142" s="314">
        <f t="shared" si="67"/>
        <v>600</v>
      </c>
      <c r="O142" s="672"/>
      <c r="P142" s="384"/>
      <c r="Q142" s="384"/>
      <c r="R142" s="398"/>
      <c r="S142" s="133"/>
      <c r="V142" s="400"/>
      <c r="W142" s="401"/>
      <c r="X142" s="402"/>
      <c r="Y142" s="403"/>
      <c r="Z142" s="389"/>
      <c r="AA142" s="402"/>
      <c r="AB142" s="402"/>
      <c r="AC142" s="402"/>
      <c r="AD142" s="404"/>
      <c r="AE142" s="404"/>
      <c r="AF142" s="402"/>
      <c r="AG142" s="405"/>
      <c r="AH142" s="402"/>
      <c r="AI142" s="402"/>
      <c r="AJ142" s="402"/>
      <c r="AK142" s="402"/>
      <c r="AL142" s="402"/>
      <c r="AM142" s="402"/>
    </row>
    <row r="143" spans="1:39" s="399" customFormat="1" ht="36" x14ac:dyDescent="0.2">
      <c r="A143" s="219">
        <v>19</v>
      </c>
      <c r="B143" s="226" t="s">
        <v>288</v>
      </c>
      <c r="C143" s="684" t="s">
        <v>182</v>
      </c>
      <c r="D143" s="685" t="s">
        <v>302</v>
      </c>
      <c r="E143" s="672" t="s">
        <v>179</v>
      </c>
      <c r="F143" s="684" t="s">
        <v>313</v>
      </c>
      <c r="G143" s="220">
        <v>4000</v>
      </c>
      <c r="H143" s="314">
        <v>4000</v>
      </c>
      <c r="I143" s="314">
        <f>2215+J143</f>
        <v>2795</v>
      </c>
      <c r="J143" s="314">
        <v>580</v>
      </c>
      <c r="K143" s="314">
        <f t="shared" si="68"/>
        <v>580</v>
      </c>
      <c r="L143" s="314">
        <v>580</v>
      </c>
      <c r="M143" s="421">
        <f t="shared" si="66"/>
        <v>1205</v>
      </c>
      <c r="N143" s="314">
        <f t="shared" si="67"/>
        <v>1205</v>
      </c>
      <c r="O143" s="672"/>
      <c r="P143" s="384"/>
      <c r="Q143" s="384"/>
      <c r="R143" s="398"/>
      <c r="S143" s="133"/>
      <c r="V143" s="400"/>
      <c r="W143" s="401"/>
      <c r="X143" s="402"/>
      <c r="Y143" s="403"/>
      <c r="Z143" s="389"/>
      <c r="AA143" s="402"/>
      <c r="AB143" s="402"/>
      <c r="AC143" s="402"/>
      <c r="AD143" s="404"/>
      <c r="AE143" s="404"/>
      <c r="AF143" s="402"/>
      <c r="AG143" s="405"/>
      <c r="AH143" s="402"/>
      <c r="AI143" s="402"/>
      <c r="AJ143" s="402"/>
      <c r="AK143" s="402"/>
      <c r="AL143" s="402"/>
      <c r="AM143" s="402"/>
    </row>
    <row r="144" spans="1:39" s="399" customFormat="1" ht="36" x14ac:dyDescent="0.2">
      <c r="A144" s="219">
        <v>20</v>
      </c>
      <c r="B144" s="226" t="s">
        <v>289</v>
      </c>
      <c r="C144" s="684" t="s">
        <v>182</v>
      </c>
      <c r="D144" s="685" t="s">
        <v>303</v>
      </c>
      <c r="E144" s="672" t="s">
        <v>179</v>
      </c>
      <c r="F144" s="684" t="s">
        <v>314</v>
      </c>
      <c r="G144" s="220">
        <v>5000</v>
      </c>
      <c r="H144" s="314">
        <v>4980</v>
      </c>
      <c r="I144" s="314">
        <f>2980+J144</f>
        <v>3480</v>
      </c>
      <c r="J144" s="314">
        <v>500</v>
      </c>
      <c r="K144" s="314">
        <f t="shared" si="68"/>
        <v>500</v>
      </c>
      <c r="L144" s="314">
        <v>500</v>
      </c>
      <c r="M144" s="421">
        <f t="shared" si="66"/>
        <v>1500</v>
      </c>
      <c r="N144" s="314">
        <f t="shared" si="67"/>
        <v>1500</v>
      </c>
      <c r="O144" s="672"/>
      <c r="P144" s="384"/>
      <c r="Q144" s="384"/>
      <c r="R144" s="398"/>
      <c r="S144" s="133"/>
      <c r="V144" s="400"/>
      <c r="W144" s="401"/>
      <c r="X144" s="402"/>
      <c r="Y144" s="403"/>
      <c r="Z144" s="389"/>
      <c r="AA144" s="402"/>
      <c r="AB144" s="402"/>
      <c r="AC144" s="402"/>
      <c r="AD144" s="404"/>
      <c r="AE144" s="404"/>
      <c r="AF144" s="402"/>
      <c r="AG144" s="405"/>
      <c r="AH144" s="402"/>
      <c r="AI144" s="402"/>
      <c r="AJ144" s="402"/>
      <c r="AK144" s="402"/>
      <c r="AL144" s="402"/>
      <c r="AM144" s="402"/>
    </row>
    <row r="145" spans="1:39" s="399" customFormat="1" ht="30" x14ac:dyDescent="0.2">
      <c r="A145" s="219">
        <v>21</v>
      </c>
      <c r="B145" s="226" t="s">
        <v>290</v>
      </c>
      <c r="C145" s="684" t="s">
        <v>259</v>
      </c>
      <c r="D145" s="685" t="s">
        <v>304</v>
      </c>
      <c r="E145" s="672" t="s">
        <v>179</v>
      </c>
      <c r="F145" s="684" t="s">
        <v>315</v>
      </c>
      <c r="G145" s="220">
        <v>4500</v>
      </c>
      <c r="H145" s="314">
        <v>4490</v>
      </c>
      <c r="I145" s="314">
        <f>2500+J145</f>
        <v>3150</v>
      </c>
      <c r="J145" s="314">
        <v>650</v>
      </c>
      <c r="K145" s="314">
        <f t="shared" si="68"/>
        <v>650</v>
      </c>
      <c r="L145" s="314">
        <v>650</v>
      </c>
      <c r="M145" s="421">
        <f t="shared" si="66"/>
        <v>1340</v>
      </c>
      <c r="N145" s="314">
        <f t="shared" si="67"/>
        <v>1340</v>
      </c>
      <c r="O145" s="672"/>
      <c r="P145" s="384"/>
      <c r="Q145" s="384"/>
      <c r="R145" s="398"/>
      <c r="S145" s="133"/>
      <c r="V145" s="400"/>
      <c r="W145" s="401"/>
      <c r="X145" s="402"/>
      <c r="Y145" s="403"/>
      <c r="Z145" s="389"/>
      <c r="AA145" s="402"/>
      <c r="AB145" s="402"/>
      <c r="AC145" s="402"/>
      <c r="AD145" s="404"/>
      <c r="AE145" s="404"/>
      <c r="AF145" s="402"/>
      <c r="AG145" s="405"/>
      <c r="AH145" s="402"/>
      <c r="AI145" s="402"/>
      <c r="AJ145" s="402"/>
      <c r="AK145" s="402"/>
      <c r="AL145" s="402"/>
      <c r="AM145" s="402"/>
    </row>
    <row r="146" spans="1:39" s="399" customFormat="1" ht="24" x14ac:dyDescent="0.2">
      <c r="A146" s="219">
        <v>22</v>
      </c>
      <c r="B146" s="226" t="s">
        <v>291</v>
      </c>
      <c r="C146" s="684" t="s">
        <v>259</v>
      </c>
      <c r="D146" s="685" t="s">
        <v>305</v>
      </c>
      <c r="E146" s="672" t="s">
        <v>179</v>
      </c>
      <c r="F146" s="684" t="s">
        <v>316</v>
      </c>
      <c r="G146" s="220">
        <v>2000</v>
      </c>
      <c r="H146" s="314">
        <v>2000</v>
      </c>
      <c r="I146" s="314">
        <f>800+J146</f>
        <v>1400</v>
      </c>
      <c r="J146" s="314">
        <v>600</v>
      </c>
      <c r="K146" s="314">
        <f t="shared" si="68"/>
        <v>600</v>
      </c>
      <c r="L146" s="314">
        <v>600</v>
      </c>
      <c r="M146" s="421">
        <f t="shared" si="66"/>
        <v>600</v>
      </c>
      <c r="N146" s="314">
        <f t="shared" si="67"/>
        <v>600</v>
      </c>
      <c r="O146" s="672"/>
      <c r="P146" s="384"/>
      <c r="Q146" s="384"/>
      <c r="R146" s="398"/>
      <c r="S146" s="133"/>
      <c r="V146" s="400"/>
      <c r="W146" s="401"/>
      <c r="X146" s="402"/>
      <c r="Y146" s="403"/>
      <c r="Z146" s="389"/>
      <c r="AA146" s="402"/>
      <c r="AB146" s="402"/>
      <c r="AC146" s="402"/>
      <c r="AD146" s="404"/>
      <c r="AE146" s="404"/>
      <c r="AF146" s="402"/>
      <c r="AG146" s="405"/>
      <c r="AH146" s="402"/>
      <c r="AI146" s="402"/>
      <c r="AJ146" s="402"/>
      <c r="AK146" s="402"/>
      <c r="AL146" s="402"/>
      <c r="AM146" s="402"/>
    </row>
    <row r="147" spans="1:39" s="399" customFormat="1" ht="15" x14ac:dyDescent="0.2">
      <c r="A147" s="204" t="s">
        <v>30</v>
      </c>
      <c r="B147" s="649" t="s">
        <v>463</v>
      </c>
      <c r="C147" s="687"/>
      <c r="D147" s="688"/>
      <c r="E147" s="682"/>
      <c r="F147" s="687"/>
      <c r="G147" s="650">
        <f>SUM(G148)</f>
        <v>1000</v>
      </c>
      <c r="H147" s="650">
        <f t="shared" ref="H147:N147" si="69">SUM(H148)</f>
        <v>1000</v>
      </c>
      <c r="I147" s="650">
        <f t="shared" si="69"/>
        <v>200</v>
      </c>
      <c r="J147" s="650">
        <f t="shared" si="69"/>
        <v>200</v>
      </c>
      <c r="K147" s="650">
        <f t="shared" si="69"/>
        <v>200</v>
      </c>
      <c r="L147" s="650">
        <f t="shared" si="69"/>
        <v>200</v>
      </c>
      <c r="M147" s="650">
        <f t="shared" si="69"/>
        <v>800</v>
      </c>
      <c r="N147" s="650">
        <f t="shared" si="69"/>
        <v>750</v>
      </c>
      <c r="O147" s="672"/>
      <c r="P147" s="384"/>
      <c r="Q147" s="384"/>
      <c r="R147" s="398"/>
      <c r="S147" s="133"/>
      <c r="V147" s="400"/>
      <c r="W147" s="401"/>
      <c r="X147" s="402"/>
      <c r="Y147" s="403"/>
      <c r="Z147" s="389"/>
      <c r="AA147" s="402"/>
      <c r="AB147" s="402"/>
      <c r="AC147" s="402"/>
      <c r="AD147" s="404"/>
      <c r="AE147" s="404"/>
      <c r="AF147" s="402"/>
      <c r="AG147" s="405"/>
      <c r="AH147" s="402"/>
      <c r="AI147" s="402"/>
      <c r="AJ147" s="402"/>
      <c r="AK147" s="402"/>
      <c r="AL147" s="402"/>
      <c r="AM147" s="402"/>
    </row>
    <row r="148" spans="1:39" s="399" customFormat="1" ht="36" x14ac:dyDescent="0.2">
      <c r="A148" s="219">
        <v>1</v>
      </c>
      <c r="B148" s="226" t="s">
        <v>692</v>
      </c>
      <c r="C148" s="684" t="s">
        <v>259</v>
      </c>
      <c r="D148" s="685" t="s">
        <v>477</v>
      </c>
      <c r="E148" s="672" t="s">
        <v>478</v>
      </c>
      <c r="F148" s="684" t="s">
        <v>479</v>
      </c>
      <c r="G148" s="220">
        <v>1000</v>
      </c>
      <c r="H148" s="314">
        <v>1000</v>
      </c>
      <c r="I148" s="314">
        <f>J148</f>
        <v>200</v>
      </c>
      <c r="J148" s="314">
        <v>200</v>
      </c>
      <c r="K148" s="314">
        <f t="shared" si="68"/>
        <v>200</v>
      </c>
      <c r="L148" s="314">
        <v>200</v>
      </c>
      <c r="M148" s="421">
        <f t="shared" ref="M148:M151" si="70">G148-I148</f>
        <v>800</v>
      </c>
      <c r="N148" s="314">
        <f>H148*95%-I148</f>
        <v>750</v>
      </c>
      <c r="O148" s="672"/>
      <c r="P148" s="384"/>
      <c r="Q148" s="384"/>
      <c r="R148" s="398"/>
      <c r="S148" s="133"/>
      <c r="V148" s="400"/>
      <c r="W148" s="401"/>
      <c r="X148" s="402"/>
      <c r="Y148" s="403"/>
      <c r="Z148" s="389"/>
      <c r="AA148" s="402"/>
      <c r="AB148" s="402"/>
      <c r="AC148" s="402"/>
      <c r="AD148" s="404"/>
      <c r="AE148" s="404"/>
      <c r="AF148" s="402"/>
      <c r="AG148" s="405"/>
      <c r="AH148" s="402"/>
      <c r="AI148" s="402"/>
      <c r="AJ148" s="402"/>
      <c r="AK148" s="402"/>
      <c r="AL148" s="402"/>
      <c r="AM148" s="402"/>
    </row>
    <row r="149" spans="1:39" s="708" customFormat="1" ht="15" x14ac:dyDescent="0.2">
      <c r="A149" s="753" t="s">
        <v>32</v>
      </c>
      <c r="B149" s="780" t="s">
        <v>583</v>
      </c>
      <c r="C149" s="838"/>
      <c r="D149" s="841"/>
      <c r="E149" s="827"/>
      <c r="F149" s="838"/>
      <c r="G149" s="782">
        <f>SUM(G150:G151)</f>
        <v>10000</v>
      </c>
      <c r="H149" s="782">
        <f t="shared" ref="H149:N149" si="71">SUM(H150:H151)</f>
        <v>10000</v>
      </c>
      <c r="I149" s="782">
        <f t="shared" si="71"/>
        <v>0</v>
      </c>
      <c r="J149" s="782">
        <f t="shared" si="71"/>
        <v>0</v>
      </c>
      <c r="K149" s="782">
        <f t="shared" si="71"/>
        <v>0</v>
      </c>
      <c r="L149" s="782">
        <f t="shared" si="71"/>
        <v>0</v>
      </c>
      <c r="M149" s="782"/>
      <c r="N149" s="782">
        <f t="shared" si="71"/>
        <v>3500</v>
      </c>
      <c r="O149" s="827"/>
      <c r="P149" s="705"/>
      <c r="Q149" s="705"/>
      <c r="R149" s="706"/>
      <c r="S149" s="707"/>
      <c r="V149" s="709"/>
      <c r="W149" s="710"/>
      <c r="X149" s="711"/>
      <c r="Y149" s="712"/>
      <c r="Z149" s="713"/>
      <c r="AA149" s="711"/>
      <c r="AB149" s="711"/>
      <c r="AC149" s="711"/>
      <c r="AD149" s="714"/>
      <c r="AE149" s="714"/>
      <c r="AF149" s="711"/>
      <c r="AG149" s="715"/>
      <c r="AH149" s="711"/>
      <c r="AI149" s="711"/>
      <c r="AJ149" s="711"/>
      <c r="AK149" s="711"/>
      <c r="AL149" s="711"/>
      <c r="AM149" s="711"/>
    </row>
    <row r="150" spans="1:39" s="708" customFormat="1" ht="30" x14ac:dyDescent="0.2">
      <c r="A150" s="757">
        <v>1</v>
      </c>
      <c r="B150" s="783" t="s">
        <v>617</v>
      </c>
      <c r="C150" s="841" t="s">
        <v>143</v>
      </c>
      <c r="D150" s="841" t="s">
        <v>619</v>
      </c>
      <c r="E150" s="827" t="s">
        <v>605</v>
      </c>
      <c r="F150" s="838"/>
      <c r="G150" s="774">
        <v>5000</v>
      </c>
      <c r="H150" s="760">
        <v>5000</v>
      </c>
      <c r="I150" s="760"/>
      <c r="J150" s="760"/>
      <c r="K150" s="760"/>
      <c r="L150" s="760"/>
      <c r="M150" s="760">
        <f t="shared" si="70"/>
        <v>5000</v>
      </c>
      <c r="N150" s="760">
        <f>G150*35/100</f>
        <v>1750</v>
      </c>
      <c r="O150" s="827"/>
      <c r="P150" s="705"/>
      <c r="Q150" s="705"/>
      <c r="R150" s="706"/>
      <c r="S150" s="707"/>
      <c r="V150" s="709"/>
      <c r="W150" s="710"/>
      <c r="X150" s="711"/>
      <c r="Y150" s="712"/>
      <c r="Z150" s="713"/>
      <c r="AA150" s="711"/>
      <c r="AB150" s="711"/>
      <c r="AC150" s="711"/>
      <c r="AD150" s="714"/>
      <c r="AE150" s="714"/>
      <c r="AF150" s="711"/>
      <c r="AG150" s="715"/>
      <c r="AH150" s="711"/>
      <c r="AI150" s="711"/>
      <c r="AJ150" s="711"/>
      <c r="AK150" s="711"/>
      <c r="AL150" s="711"/>
      <c r="AM150" s="711"/>
    </row>
    <row r="151" spans="1:39" s="708" customFormat="1" ht="30" x14ac:dyDescent="0.2">
      <c r="A151" s="757">
        <v>2</v>
      </c>
      <c r="B151" s="783" t="s">
        <v>618</v>
      </c>
      <c r="C151" s="841" t="s">
        <v>147</v>
      </c>
      <c r="D151" s="841" t="s">
        <v>620</v>
      </c>
      <c r="E151" s="827" t="s">
        <v>605</v>
      </c>
      <c r="F151" s="838"/>
      <c r="G151" s="774">
        <v>5000</v>
      </c>
      <c r="H151" s="760">
        <v>5000</v>
      </c>
      <c r="I151" s="760"/>
      <c r="J151" s="760"/>
      <c r="K151" s="760"/>
      <c r="L151" s="760"/>
      <c r="M151" s="760">
        <f t="shared" si="70"/>
        <v>5000</v>
      </c>
      <c r="N151" s="760">
        <f>G151*35/100</f>
        <v>1750</v>
      </c>
      <c r="O151" s="827"/>
      <c r="P151" s="705"/>
      <c r="Q151" s="705"/>
      <c r="R151" s="706"/>
      <c r="S151" s="707"/>
      <c r="V151" s="709"/>
      <c r="W151" s="710"/>
      <c r="X151" s="711"/>
      <c r="Y151" s="712"/>
      <c r="Z151" s="713"/>
      <c r="AA151" s="711"/>
      <c r="AB151" s="711"/>
      <c r="AC151" s="711"/>
      <c r="AD151" s="714"/>
      <c r="AE151" s="714"/>
      <c r="AF151" s="711"/>
      <c r="AG151" s="715"/>
      <c r="AH151" s="711"/>
      <c r="AI151" s="711"/>
      <c r="AJ151" s="711"/>
      <c r="AK151" s="711"/>
      <c r="AL151" s="711"/>
      <c r="AM151" s="711"/>
    </row>
    <row r="152" spans="1:39" s="399" customFormat="1" ht="42.75" x14ac:dyDescent="0.2">
      <c r="A152" s="776" t="s">
        <v>559</v>
      </c>
      <c r="B152" s="777" t="s">
        <v>685</v>
      </c>
      <c r="C152" s="839"/>
      <c r="D152" s="836"/>
      <c r="E152" s="840"/>
      <c r="F152" s="836"/>
      <c r="G152" s="778">
        <f t="shared" ref="G152:N152" si="72">G153+G160+G164+G166+G198+G209+G238</f>
        <v>337404</v>
      </c>
      <c r="H152" s="778">
        <f t="shared" si="72"/>
        <v>316240</v>
      </c>
      <c r="I152" s="778">
        <f t="shared" si="72"/>
        <v>157947</v>
      </c>
      <c r="J152" s="778">
        <f t="shared" si="72"/>
        <v>91275</v>
      </c>
      <c r="K152" s="778">
        <f t="shared" si="72"/>
        <v>89769</v>
      </c>
      <c r="L152" s="778">
        <f t="shared" si="72"/>
        <v>89769</v>
      </c>
      <c r="M152" s="778">
        <f t="shared" si="72"/>
        <v>160834</v>
      </c>
      <c r="N152" s="778">
        <f t="shared" si="72"/>
        <v>106425.3</v>
      </c>
      <c r="O152" s="836"/>
      <c r="P152" s="384"/>
      <c r="Q152" s="384"/>
      <c r="R152" s="398"/>
      <c r="S152" s="133"/>
      <c r="V152" s="400"/>
      <c r="W152" s="401"/>
      <c r="X152" s="402"/>
      <c r="Y152" s="403"/>
      <c r="Z152" s="389"/>
      <c r="AA152" s="402"/>
      <c r="AB152" s="402"/>
      <c r="AC152" s="402"/>
      <c r="AD152" s="404"/>
      <c r="AE152" s="404"/>
      <c r="AF152" s="402"/>
      <c r="AG152" s="405"/>
      <c r="AH152" s="402"/>
      <c r="AI152" s="402"/>
      <c r="AJ152" s="402"/>
      <c r="AK152" s="402"/>
      <c r="AL152" s="402"/>
      <c r="AM152" s="402"/>
    </row>
    <row r="153" spans="1:39" s="399" customFormat="1" ht="30" x14ac:dyDescent="0.2">
      <c r="A153" s="651"/>
      <c r="B153" s="232" t="s">
        <v>196</v>
      </c>
      <c r="C153" s="842"/>
      <c r="D153" s="842"/>
      <c r="E153" s="842"/>
      <c r="F153" s="842"/>
      <c r="G153" s="784">
        <f>G154+G157</f>
        <v>10784</v>
      </c>
      <c r="H153" s="784">
        <f t="shared" ref="H153:N153" si="73">H154+H157</f>
        <v>10784</v>
      </c>
      <c r="I153" s="784">
        <f t="shared" si="73"/>
        <v>9453</v>
      </c>
      <c r="J153" s="784">
        <f t="shared" si="73"/>
        <v>5020</v>
      </c>
      <c r="K153" s="784">
        <f t="shared" si="73"/>
        <v>5020</v>
      </c>
      <c r="L153" s="784">
        <f t="shared" si="73"/>
        <v>5020</v>
      </c>
      <c r="M153" s="784">
        <f t="shared" si="73"/>
        <v>1331</v>
      </c>
      <c r="N153" s="784">
        <f t="shared" si="73"/>
        <v>1082.3499999999999</v>
      </c>
      <c r="O153" s="842"/>
      <c r="P153" s="384"/>
      <c r="Q153" s="384"/>
      <c r="R153" s="398"/>
      <c r="S153" s="133"/>
      <c r="V153" s="400"/>
      <c r="W153" s="401"/>
      <c r="X153" s="402"/>
      <c r="Y153" s="403"/>
      <c r="Z153" s="389"/>
      <c r="AA153" s="402"/>
      <c r="AB153" s="402"/>
      <c r="AC153" s="402"/>
      <c r="AD153" s="404"/>
      <c r="AE153" s="404"/>
      <c r="AF153" s="402"/>
      <c r="AG153" s="405"/>
      <c r="AH153" s="402"/>
      <c r="AI153" s="402"/>
      <c r="AJ153" s="402"/>
      <c r="AK153" s="402"/>
      <c r="AL153" s="402"/>
      <c r="AM153" s="402"/>
    </row>
    <row r="154" spans="1:39" s="399" customFormat="1" ht="15" x14ac:dyDescent="0.2">
      <c r="A154" s="260"/>
      <c r="B154" s="203" t="s">
        <v>462</v>
      </c>
      <c r="C154" s="691"/>
      <c r="D154" s="692"/>
      <c r="E154" s="692"/>
      <c r="F154" s="692"/>
      <c r="G154" s="311">
        <f>SUM(G155:G156)</f>
        <v>5811</v>
      </c>
      <c r="H154" s="311">
        <f t="shared" ref="H154:N154" si="74">SUM(H155:H156)</f>
        <v>5811</v>
      </c>
      <c r="I154" s="311">
        <f t="shared" si="74"/>
        <v>5713</v>
      </c>
      <c r="J154" s="311">
        <f t="shared" si="74"/>
        <v>1280</v>
      </c>
      <c r="K154" s="311">
        <f t="shared" si="74"/>
        <v>1280</v>
      </c>
      <c r="L154" s="311">
        <f t="shared" si="74"/>
        <v>1280</v>
      </c>
      <c r="M154" s="311">
        <f t="shared" si="74"/>
        <v>98</v>
      </c>
      <c r="N154" s="311">
        <f t="shared" si="74"/>
        <v>98</v>
      </c>
      <c r="O154" s="672"/>
      <c r="P154" s="384"/>
      <c r="Q154" s="384"/>
      <c r="R154" s="398"/>
      <c r="S154" s="133"/>
      <c r="V154" s="400"/>
      <c r="W154" s="401"/>
      <c r="X154" s="402"/>
      <c r="Y154" s="403"/>
      <c r="Z154" s="389"/>
      <c r="AA154" s="402"/>
      <c r="AB154" s="402"/>
      <c r="AC154" s="402"/>
      <c r="AD154" s="404"/>
      <c r="AE154" s="404"/>
      <c r="AF154" s="402"/>
      <c r="AG154" s="405"/>
      <c r="AH154" s="402"/>
      <c r="AI154" s="402"/>
      <c r="AJ154" s="402"/>
      <c r="AK154" s="402"/>
      <c r="AL154" s="402"/>
      <c r="AM154" s="402"/>
    </row>
    <row r="155" spans="1:39" s="399" customFormat="1" ht="30" x14ac:dyDescent="0.2">
      <c r="A155" s="219">
        <v>1</v>
      </c>
      <c r="B155" s="209" t="s">
        <v>197</v>
      </c>
      <c r="C155" s="671" t="s">
        <v>145</v>
      </c>
      <c r="D155" s="674"/>
      <c r="E155" s="672" t="s">
        <v>179</v>
      </c>
      <c r="F155" s="697" t="s">
        <v>199</v>
      </c>
      <c r="G155" s="224">
        <v>2905</v>
      </c>
      <c r="H155" s="314">
        <v>2905</v>
      </c>
      <c r="I155" s="314">
        <f>2250+J155</f>
        <v>2850</v>
      </c>
      <c r="J155" s="314">
        <v>600</v>
      </c>
      <c r="K155" s="314">
        <f>L155</f>
        <v>600</v>
      </c>
      <c r="L155" s="314">
        <v>600</v>
      </c>
      <c r="M155" s="421">
        <f t="shared" ref="M155:M156" si="75">G155-I155</f>
        <v>55</v>
      </c>
      <c r="N155" s="314">
        <f>G155-I155</f>
        <v>55</v>
      </c>
      <c r="O155" s="672"/>
      <c r="P155" s="384"/>
      <c r="Q155" s="384"/>
      <c r="R155" s="398"/>
      <c r="S155" s="133"/>
      <c r="V155" s="400"/>
      <c r="W155" s="401"/>
      <c r="X155" s="402"/>
      <c r="Y155" s="403"/>
      <c r="Z155" s="389"/>
      <c r="AA155" s="402"/>
      <c r="AB155" s="402"/>
      <c r="AC155" s="402"/>
      <c r="AD155" s="404"/>
      <c r="AE155" s="404"/>
      <c r="AF155" s="402"/>
      <c r="AG155" s="405"/>
      <c r="AH155" s="402"/>
      <c r="AI155" s="402"/>
      <c r="AJ155" s="402"/>
      <c r="AK155" s="402"/>
      <c r="AL155" s="402"/>
      <c r="AM155" s="402"/>
    </row>
    <row r="156" spans="1:39" s="399" customFormat="1" ht="30" x14ac:dyDescent="0.2">
      <c r="A156" s="240">
        <v>2</v>
      </c>
      <c r="B156" s="209" t="s">
        <v>198</v>
      </c>
      <c r="C156" s="671" t="s">
        <v>145</v>
      </c>
      <c r="D156" s="674"/>
      <c r="E156" s="672" t="s">
        <v>179</v>
      </c>
      <c r="F156" s="697" t="s">
        <v>200</v>
      </c>
      <c r="G156" s="224">
        <v>2906</v>
      </c>
      <c r="H156" s="314">
        <v>2906</v>
      </c>
      <c r="I156" s="314">
        <f>2183+J156</f>
        <v>2863</v>
      </c>
      <c r="J156" s="314">
        <v>680</v>
      </c>
      <c r="K156" s="314">
        <f>L156</f>
        <v>680</v>
      </c>
      <c r="L156" s="314">
        <v>680</v>
      </c>
      <c r="M156" s="421">
        <f t="shared" si="75"/>
        <v>43</v>
      </c>
      <c r="N156" s="314">
        <f>G156-I156</f>
        <v>43</v>
      </c>
      <c r="O156" s="672"/>
      <c r="P156" s="384"/>
      <c r="Q156" s="384"/>
      <c r="R156" s="398"/>
      <c r="S156" s="133"/>
      <c r="V156" s="400"/>
      <c r="W156" s="401"/>
      <c r="X156" s="402"/>
      <c r="Y156" s="403"/>
      <c r="Z156" s="389"/>
      <c r="AA156" s="402"/>
      <c r="AB156" s="402"/>
      <c r="AC156" s="402"/>
      <c r="AD156" s="404"/>
      <c r="AE156" s="404"/>
      <c r="AF156" s="402"/>
      <c r="AG156" s="405"/>
      <c r="AH156" s="402"/>
      <c r="AI156" s="402"/>
      <c r="AJ156" s="402"/>
      <c r="AK156" s="402"/>
      <c r="AL156" s="402"/>
      <c r="AM156" s="402"/>
    </row>
    <row r="157" spans="1:39" s="399" customFormat="1" ht="15" x14ac:dyDescent="0.2">
      <c r="A157" s="240"/>
      <c r="B157" s="649" t="s">
        <v>463</v>
      </c>
      <c r="C157" s="671"/>
      <c r="D157" s="674"/>
      <c r="E157" s="672"/>
      <c r="F157" s="697"/>
      <c r="G157" s="311">
        <f>SUM(G158:G159)</f>
        <v>4973</v>
      </c>
      <c r="H157" s="311">
        <f t="shared" ref="H157:N157" si="76">SUM(H158:H159)</f>
        <v>4973</v>
      </c>
      <c r="I157" s="311">
        <f t="shared" si="76"/>
        <v>3740</v>
      </c>
      <c r="J157" s="311">
        <f t="shared" si="76"/>
        <v>3740</v>
      </c>
      <c r="K157" s="311">
        <f t="shared" si="76"/>
        <v>3740</v>
      </c>
      <c r="L157" s="311">
        <f t="shared" si="76"/>
        <v>3740</v>
      </c>
      <c r="M157" s="311">
        <f t="shared" si="76"/>
        <v>1233</v>
      </c>
      <c r="N157" s="311">
        <f t="shared" si="76"/>
        <v>984.34999999999991</v>
      </c>
      <c r="O157" s="672"/>
      <c r="P157" s="384"/>
      <c r="Q157" s="384"/>
      <c r="R157" s="398"/>
      <c r="S157" s="133"/>
      <c r="V157" s="400"/>
      <c r="W157" s="401"/>
      <c r="X157" s="402"/>
      <c r="Y157" s="403"/>
      <c r="Z157" s="389"/>
      <c r="AA157" s="402"/>
      <c r="AB157" s="402"/>
      <c r="AC157" s="402"/>
      <c r="AD157" s="404"/>
      <c r="AE157" s="404"/>
      <c r="AF157" s="402"/>
      <c r="AG157" s="405"/>
      <c r="AH157" s="402"/>
      <c r="AI157" s="402"/>
      <c r="AJ157" s="402"/>
      <c r="AK157" s="402"/>
      <c r="AL157" s="402"/>
      <c r="AM157" s="402"/>
    </row>
    <row r="158" spans="1:39" s="399" customFormat="1" ht="30" x14ac:dyDescent="0.2">
      <c r="A158" s="667" t="s">
        <v>458</v>
      </c>
      <c r="B158" s="228" t="s">
        <v>480</v>
      </c>
      <c r="C158" s="671" t="s">
        <v>143</v>
      </c>
      <c r="D158" s="672" t="s">
        <v>481</v>
      </c>
      <c r="E158" s="672" t="s">
        <v>478</v>
      </c>
      <c r="F158" s="701" t="s">
        <v>482</v>
      </c>
      <c r="G158" s="224">
        <v>2000</v>
      </c>
      <c r="H158" s="314">
        <v>2000</v>
      </c>
      <c r="I158" s="314">
        <f>J158</f>
        <v>1800</v>
      </c>
      <c r="J158" s="314">
        <v>1800</v>
      </c>
      <c r="K158" s="314">
        <f t="shared" ref="K158:K159" si="77">L158</f>
        <v>1800</v>
      </c>
      <c r="L158" s="314">
        <v>1800</v>
      </c>
      <c r="M158" s="421">
        <f t="shared" ref="M158:M159" si="78">G158-I158</f>
        <v>200</v>
      </c>
      <c r="N158" s="314">
        <f>G158*95%-I158</f>
        <v>100</v>
      </c>
      <c r="O158" s="672"/>
      <c r="P158" s="384"/>
      <c r="Q158" s="384"/>
      <c r="R158" s="398"/>
      <c r="S158" s="133"/>
      <c r="V158" s="400"/>
      <c r="W158" s="401"/>
      <c r="X158" s="402"/>
      <c r="Y158" s="403"/>
      <c r="Z158" s="389"/>
      <c r="AA158" s="402"/>
      <c r="AB158" s="402"/>
      <c r="AC158" s="402"/>
      <c r="AD158" s="404"/>
      <c r="AE158" s="404"/>
      <c r="AF158" s="402"/>
      <c r="AG158" s="405"/>
      <c r="AH158" s="402"/>
      <c r="AI158" s="402"/>
      <c r="AJ158" s="402"/>
      <c r="AK158" s="402"/>
      <c r="AL158" s="402"/>
      <c r="AM158" s="402"/>
    </row>
    <row r="159" spans="1:39" s="399" customFormat="1" ht="30" x14ac:dyDescent="0.2">
      <c r="A159" s="667" t="s">
        <v>468</v>
      </c>
      <c r="B159" s="228" t="s">
        <v>483</v>
      </c>
      <c r="C159" s="671" t="s">
        <v>137</v>
      </c>
      <c r="D159" s="672" t="s">
        <v>484</v>
      </c>
      <c r="E159" s="672" t="s">
        <v>466</v>
      </c>
      <c r="F159" s="701" t="s">
        <v>485</v>
      </c>
      <c r="G159" s="224">
        <v>2973</v>
      </c>
      <c r="H159" s="314">
        <v>2973</v>
      </c>
      <c r="I159" s="314">
        <f>J159</f>
        <v>1940</v>
      </c>
      <c r="J159" s="314">
        <v>1940</v>
      </c>
      <c r="K159" s="314">
        <f t="shared" si="77"/>
        <v>1940</v>
      </c>
      <c r="L159" s="314">
        <v>1940</v>
      </c>
      <c r="M159" s="421">
        <f t="shared" si="78"/>
        <v>1033</v>
      </c>
      <c r="N159" s="314">
        <f>G159*95%-I159</f>
        <v>884.34999999999991</v>
      </c>
      <c r="O159" s="672"/>
      <c r="P159" s="384"/>
      <c r="Q159" s="384"/>
      <c r="R159" s="398"/>
      <c r="S159" s="133"/>
      <c r="V159" s="400"/>
      <c r="W159" s="401"/>
      <c r="X159" s="402"/>
      <c r="Y159" s="403"/>
      <c r="Z159" s="389"/>
      <c r="AA159" s="402"/>
      <c r="AB159" s="402"/>
      <c r="AC159" s="402"/>
      <c r="AD159" s="404"/>
      <c r="AE159" s="404"/>
      <c r="AF159" s="402"/>
      <c r="AG159" s="405"/>
      <c r="AH159" s="402"/>
      <c r="AI159" s="402"/>
      <c r="AJ159" s="402"/>
      <c r="AK159" s="402"/>
      <c r="AL159" s="402"/>
      <c r="AM159" s="402"/>
    </row>
    <row r="160" spans="1:39" s="399" customFormat="1" ht="30" x14ac:dyDescent="0.2">
      <c r="A160" s="235"/>
      <c r="B160" s="232" t="s">
        <v>201</v>
      </c>
      <c r="C160" s="693"/>
      <c r="D160" s="694"/>
      <c r="E160" s="694"/>
      <c r="F160" s="694"/>
      <c r="G160" s="241">
        <f>G161</f>
        <v>25400</v>
      </c>
      <c r="H160" s="241">
        <f t="shared" ref="H160:N160" si="79">H161</f>
        <v>19428</v>
      </c>
      <c r="I160" s="241">
        <f t="shared" si="79"/>
        <v>8342</v>
      </c>
      <c r="J160" s="241">
        <f t="shared" si="79"/>
        <v>4688</v>
      </c>
      <c r="K160" s="241">
        <f t="shared" si="79"/>
        <v>4688</v>
      </c>
      <c r="L160" s="241">
        <f t="shared" si="79"/>
        <v>4688</v>
      </c>
      <c r="M160" s="241">
        <f t="shared" si="79"/>
        <v>17058</v>
      </c>
      <c r="N160" s="241">
        <f t="shared" si="79"/>
        <v>11086</v>
      </c>
      <c r="O160" s="672"/>
      <c r="P160" s="384"/>
      <c r="Q160" s="384"/>
      <c r="R160" s="398"/>
      <c r="S160" s="133"/>
      <c r="V160" s="400"/>
      <c r="W160" s="401"/>
      <c r="X160" s="402"/>
      <c r="Y160" s="403"/>
      <c r="Z160" s="389"/>
      <c r="AA160" s="402"/>
      <c r="AB160" s="402"/>
      <c r="AC160" s="402"/>
      <c r="AD160" s="404"/>
      <c r="AE160" s="404"/>
      <c r="AF160" s="402"/>
      <c r="AG160" s="405"/>
      <c r="AH160" s="402"/>
      <c r="AI160" s="402"/>
      <c r="AJ160" s="402"/>
      <c r="AK160" s="402"/>
      <c r="AL160" s="402"/>
      <c r="AM160" s="402"/>
    </row>
    <row r="161" spans="1:39" s="399" customFormat="1" ht="15" x14ac:dyDescent="0.2">
      <c r="A161" s="240"/>
      <c r="B161" s="203" t="s">
        <v>462</v>
      </c>
      <c r="C161" s="671"/>
      <c r="D161" s="674"/>
      <c r="E161" s="672"/>
      <c r="F161" s="674"/>
      <c r="G161" s="311">
        <f>SUM(G162:G163)</f>
        <v>25400</v>
      </c>
      <c r="H161" s="311">
        <f t="shared" ref="H161:N161" si="80">SUM(H162:H163)</f>
        <v>19428</v>
      </c>
      <c r="I161" s="311">
        <f t="shared" si="80"/>
        <v>8342</v>
      </c>
      <c r="J161" s="311">
        <f t="shared" si="80"/>
        <v>4688</v>
      </c>
      <c r="K161" s="311">
        <f t="shared" si="80"/>
        <v>4688</v>
      </c>
      <c r="L161" s="311">
        <f t="shared" si="80"/>
        <v>4688</v>
      </c>
      <c r="M161" s="311">
        <f t="shared" si="80"/>
        <v>17058</v>
      </c>
      <c r="N161" s="311">
        <f t="shared" si="80"/>
        <v>11086</v>
      </c>
      <c r="O161" s="672"/>
      <c r="P161" s="384"/>
      <c r="Q161" s="384"/>
      <c r="R161" s="398"/>
      <c r="S161" s="133"/>
      <c r="V161" s="400"/>
      <c r="W161" s="401"/>
      <c r="X161" s="402"/>
      <c r="Y161" s="403"/>
      <c r="Z161" s="389"/>
      <c r="AA161" s="402"/>
      <c r="AB161" s="402"/>
      <c r="AC161" s="402"/>
      <c r="AD161" s="404"/>
      <c r="AE161" s="404"/>
      <c r="AF161" s="402"/>
      <c r="AG161" s="405"/>
      <c r="AH161" s="402"/>
      <c r="AI161" s="402"/>
      <c r="AJ161" s="402"/>
      <c r="AK161" s="402"/>
      <c r="AL161" s="402"/>
      <c r="AM161" s="402"/>
    </row>
    <row r="162" spans="1:39" s="399" customFormat="1" ht="30" x14ac:dyDescent="0.2">
      <c r="A162" s="219">
        <v>1</v>
      </c>
      <c r="B162" s="652" t="s">
        <v>204</v>
      </c>
      <c r="C162" s="671" t="s">
        <v>143</v>
      </c>
      <c r="D162" s="674"/>
      <c r="E162" s="672" t="s">
        <v>179</v>
      </c>
      <c r="F162" s="702" t="s">
        <v>202</v>
      </c>
      <c r="G162" s="220">
        <v>5900</v>
      </c>
      <c r="H162" s="314">
        <v>4634</v>
      </c>
      <c r="I162" s="314">
        <f>1000+J162</f>
        <v>2000</v>
      </c>
      <c r="J162" s="314">
        <v>1000</v>
      </c>
      <c r="K162" s="314">
        <f t="shared" ref="K162:K165" si="81">L162</f>
        <v>1000</v>
      </c>
      <c r="L162" s="314">
        <v>1000</v>
      </c>
      <c r="M162" s="421">
        <f t="shared" ref="M162:M163" si="82">G162-I162</f>
        <v>3900</v>
      </c>
      <c r="N162" s="314">
        <f>H162-I162</f>
        <v>2634</v>
      </c>
      <c r="O162" s="672"/>
      <c r="P162" s="384"/>
      <c r="Q162" s="384"/>
      <c r="R162" s="398"/>
      <c r="S162" s="133"/>
      <c r="V162" s="400"/>
      <c r="W162" s="401"/>
      <c r="X162" s="402"/>
      <c r="Y162" s="403"/>
      <c r="Z162" s="389"/>
      <c r="AA162" s="402"/>
      <c r="AB162" s="402"/>
      <c r="AC162" s="402"/>
      <c r="AD162" s="404"/>
      <c r="AE162" s="404"/>
      <c r="AF162" s="402"/>
      <c r="AG162" s="405"/>
      <c r="AH162" s="402"/>
      <c r="AI162" s="402"/>
      <c r="AJ162" s="402"/>
      <c r="AK162" s="402"/>
      <c r="AL162" s="402"/>
      <c r="AM162" s="402"/>
    </row>
    <row r="163" spans="1:39" s="399" customFormat="1" ht="30" x14ac:dyDescent="0.2">
      <c r="A163" s="240">
        <v>2</v>
      </c>
      <c r="B163" s="652" t="s">
        <v>205</v>
      </c>
      <c r="C163" s="671" t="s">
        <v>145</v>
      </c>
      <c r="D163" s="674"/>
      <c r="E163" s="672" t="s">
        <v>179</v>
      </c>
      <c r="F163" s="702" t="s">
        <v>203</v>
      </c>
      <c r="G163" s="220">
        <v>19500</v>
      </c>
      <c r="H163" s="314">
        <v>14794</v>
      </c>
      <c r="I163" s="314">
        <f>2654+J163</f>
        <v>6342</v>
      </c>
      <c r="J163" s="314">
        <v>3688</v>
      </c>
      <c r="K163" s="314">
        <f t="shared" si="81"/>
        <v>3688</v>
      </c>
      <c r="L163" s="314">
        <v>3688</v>
      </c>
      <c r="M163" s="421">
        <f t="shared" si="82"/>
        <v>13158</v>
      </c>
      <c r="N163" s="314">
        <f>H163-I163</f>
        <v>8452</v>
      </c>
      <c r="O163" s="672"/>
      <c r="P163" s="384"/>
      <c r="Q163" s="384"/>
      <c r="R163" s="398"/>
      <c r="S163" s="133"/>
      <c r="V163" s="400"/>
      <c r="W163" s="401"/>
      <c r="X163" s="402"/>
      <c r="Y163" s="403"/>
      <c r="Z163" s="389"/>
      <c r="AA163" s="402"/>
      <c r="AB163" s="402"/>
      <c r="AC163" s="402"/>
      <c r="AD163" s="404"/>
      <c r="AE163" s="404"/>
      <c r="AF163" s="402"/>
      <c r="AG163" s="405"/>
      <c r="AH163" s="402"/>
      <c r="AI163" s="402"/>
      <c r="AJ163" s="402"/>
      <c r="AK163" s="402"/>
      <c r="AL163" s="402"/>
      <c r="AM163" s="402"/>
    </row>
    <row r="164" spans="1:39" s="399" customFormat="1" ht="30" x14ac:dyDescent="0.2">
      <c r="A164" s="235"/>
      <c r="B164" s="232" t="s">
        <v>206</v>
      </c>
      <c r="C164" s="693"/>
      <c r="D164" s="694"/>
      <c r="E164" s="694"/>
      <c r="F164" s="694"/>
      <c r="G164" s="236"/>
      <c r="H164" s="236">
        <f>H165</f>
        <v>8423</v>
      </c>
      <c r="I164" s="236">
        <f t="shared" ref="I164:N164" si="83">I165</f>
        <v>4242</v>
      </c>
      <c r="J164" s="236">
        <f t="shared" si="83"/>
        <v>2429</v>
      </c>
      <c r="K164" s="236">
        <f t="shared" si="83"/>
        <v>2429</v>
      </c>
      <c r="L164" s="236">
        <f t="shared" si="83"/>
        <v>2429</v>
      </c>
      <c r="M164" s="236">
        <f t="shared" si="83"/>
        <v>0</v>
      </c>
      <c r="N164" s="236">
        <f t="shared" si="83"/>
        <v>4181</v>
      </c>
      <c r="O164" s="856"/>
      <c r="P164" s="384"/>
      <c r="Q164" s="384"/>
      <c r="R164" s="398"/>
      <c r="S164" s="133"/>
      <c r="V164" s="400"/>
      <c r="W164" s="401"/>
      <c r="X164" s="402"/>
      <c r="Y164" s="403"/>
      <c r="Z164" s="389"/>
      <c r="AA164" s="402"/>
      <c r="AB164" s="402"/>
      <c r="AC164" s="402"/>
      <c r="AD164" s="404"/>
      <c r="AE164" s="404"/>
      <c r="AF164" s="402"/>
      <c r="AG164" s="405"/>
      <c r="AH164" s="402"/>
      <c r="AI164" s="402"/>
      <c r="AJ164" s="402"/>
      <c r="AK164" s="402"/>
      <c r="AL164" s="402"/>
      <c r="AM164" s="402"/>
    </row>
    <row r="165" spans="1:39" s="708" customFormat="1" ht="45" x14ac:dyDescent="0.2">
      <c r="A165" s="755">
        <v>1</v>
      </c>
      <c r="B165" s="785" t="s">
        <v>207</v>
      </c>
      <c r="C165" s="826"/>
      <c r="D165" s="814"/>
      <c r="E165" s="827"/>
      <c r="F165" s="814"/>
      <c r="G165" s="759"/>
      <c r="H165" s="760">
        <v>8423</v>
      </c>
      <c r="I165" s="760">
        <f>1813+J165</f>
        <v>4242</v>
      </c>
      <c r="J165" s="760">
        <v>2429</v>
      </c>
      <c r="K165" s="760">
        <f t="shared" si="81"/>
        <v>2429</v>
      </c>
      <c r="L165" s="760">
        <v>2429</v>
      </c>
      <c r="M165" s="760"/>
      <c r="N165" s="760">
        <f>H165-I165</f>
        <v>4181</v>
      </c>
      <c r="O165" s="827"/>
      <c r="P165" s="705"/>
      <c r="Q165" s="705"/>
      <c r="R165" s="706"/>
      <c r="S165" s="707"/>
      <c r="V165" s="709"/>
      <c r="W165" s="710"/>
      <c r="X165" s="711"/>
      <c r="Y165" s="712"/>
      <c r="Z165" s="713"/>
      <c r="AA165" s="711"/>
      <c r="AB165" s="711"/>
      <c r="AC165" s="711"/>
      <c r="AD165" s="714"/>
      <c r="AE165" s="714"/>
      <c r="AF165" s="711"/>
      <c r="AG165" s="715"/>
      <c r="AH165" s="711"/>
      <c r="AI165" s="711"/>
      <c r="AJ165" s="711"/>
      <c r="AK165" s="711"/>
      <c r="AL165" s="711"/>
      <c r="AM165" s="711"/>
    </row>
    <row r="166" spans="1:39" s="399" customFormat="1" ht="30" x14ac:dyDescent="0.2">
      <c r="A166" s="235"/>
      <c r="B166" s="232" t="s">
        <v>208</v>
      </c>
      <c r="C166" s="693"/>
      <c r="D166" s="694"/>
      <c r="E166" s="694"/>
      <c r="F166" s="694"/>
      <c r="G166" s="241">
        <f>G167+G186+G194</f>
        <v>198140</v>
      </c>
      <c r="H166" s="241">
        <f t="shared" ref="H166:N166" si="84">H167+H186+H194</f>
        <v>175900</v>
      </c>
      <c r="I166" s="241">
        <f t="shared" si="84"/>
        <v>83563</v>
      </c>
      <c r="J166" s="241">
        <f t="shared" si="84"/>
        <v>47860</v>
      </c>
      <c r="K166" s="241">
        <f t="shared" si="84"/>
        <v>47860</v>
      </c>
      <c r="L166" s="241">
        <f t="shared" si="84"/>
        <v>47860</v>
      </c>
      <c r="M166" s="241">
        <f t="shared" si="84"/>
        <v>92337</v>
      </c>
      <c r="N166" s="241">
        <f t="shared" si="84"/>
        <v>57460</v>
      </c>
      <c r="O166" s="694"/>
      <c r="P166" s="384"/>
      <c r="Q166" s="384"/>
      <c r="R166" s="398"/>
      <c r="S166" s="133"/>
      <c r="V166" s="400"/>
      <c r="W166" s="401"/>
      <c r="X166" s="402"/>
      <c r="Y166" s="403"/>
      <c r="Z166" s="389"/>
      <c r="AA166" s="402"/>
      <c r="AB166" s="402"/>
      <c r="AC166" s="402"/>
      <c r="AD166" s="404"/>
      <c r="AE166" s="404"/>
      <c r="AF166" s="402"/>
      <c r="AG166" s="405"/>
      <c r="AH166" s="402"/>
      <c r="AI166" s="402"/>
      <c r="AJ166" s="402"/>
      <c r="AK166" s="402"/>
      <c r="AL166" s="402"/>
      <c r="AM166" s="402"/>
    </row>
    <row r="167" spans="1:39" s="399" customFormat="1" ht="15" x14ac:dyDescent="0.2">
      <c r="A167" s="240" t="s">
        <v>28</v>
      </c>
      <c r="B167" s="203" t="s">
        <v>462</v>
      </c>
      <c r="C167" s="671"/>
      <c r="D167" s="674"/>
      <c r="E167" s="672"/>
      <c r="F167" s="674"/>
      <c r="G167" s="206">
        <f>SUM(G168:G185)</f>
        <v>70540</v>
      </c>
      <c r="H167" s="206">
        <f t="shared" ref="H167:N167" si="85">SUM(H168:H185)</f>
        <v>65900</v>
      </c>
      <c r="I167" s="206">
        <f t="shared" si="85"/>
        <v>58280</v>
      </c>
      <c r="J167" s="206">
        <f t="shared" si="85"/>
        <v>22577</v>
      </c>
      <c r="K167" s="206">
        <f t="shared" si="85"/>
        <v>22577</v>
      </c>
      <c r="L167" s="206">
        <f t="shared" si="85"/>
        <v>22577</v>
      </c>
      <c r="M167" s="206">
        <f t="shared" si="85"/>
        <v>7620</v>
      </c>
      <c r="N167" s="206">
        <f t="shared" si="85"/>
        <v>7620</v>
      </c>
      <c r="O167" s="672"/>
      <c r="P167" s="384"/>
      <c r="Q167" s="384"/>
      <c r="R167" s="398"/>
      <c r="S167" s="133"/>
      <c r="V167" s="400"/>
      <c r="W167" s="401"/>
      <c r="X167" s="402"/>
      <c r="Y167" s="403"/>
      <c r="Z167" s="389"/>
      <c r="AA167" s="402"/>
      <c r="AB167" s="402"/>
      <c r="AC167" s="402"/>
      <c r="AD167" s="404"/>
      <c r="AE167" s="404"/>
      <c r="AF167" s="402"/>
      <c r="AG167" s="405"/>
      <c r="AH167" s="402"/>
      <c r="AI167" s="402"/>
      <c r="AJ167" s="402"/>
      <c r="AK167" s="402"/>
      <c r="AL167" s="402"/>
      <c r="AM167" s="402"/>
    </row>
    <row r="168" spans="1:39" s="399" customFormat="1" ht="45" x14ac:dyDescent="0.2">
      <c r="A168" s="240">
        <v>1</v>
      </c>
      <c r="B168" s="242" t="s">
        <v>209</v>
      </c>
      <c r="C168" s="671" t="s">
        <v>143</v>
      </c>
      <c r="D168" s="674"/>
      <c r="E168" s="672" t="s">
        <v>179</v>
      </c>
      <c r="F168" s="695" t="s">
        <v>217</v>
      </c>
      <c r="G168" s="224">
        <v>5500</v>
      </c>
      <c r="H168" s="314">
        <v>5500</v>
      </c>
      <c r="I168" s="314">
        <f>2900+J168</f>
        <v>4700</v>
      </c>
      <c r="J168" s="314">
        <v>1800</v>
      </c>
      <c r="K168" s="314">
        <f t="shared" ref="K168:K185" si="86">L168</f>
        <v>1800</v>
      </c>
      <c r="L168" s="314">
        <v>1800</v>
      </c>
      <c r="M168" s="421">
        <f>H168-I168</f>
        <v>800</v>
      </c>
      <c r="N168" s="314">
        <f>G168-I168</f>
        <v>800</v>
      </c>
      <c r="O168" s="672"/>
      <c r="P168" s="384"/>
      <c r="Q168" s="384"/>
      <c r="R168" s="398"/>
      <c r="S168" s="133"/>
      <c r="V168" s="400"/>
      <c r="W168" s="401"/>
      <c r="X168" s="402"/>
      <c r="Y168" s="403"/>
      <c r="Z168" s="389"/>
      <c r="AA168" s="402"/>
      <c r="AB168" s="402"/>
      <c r="AC168" s="402"/>
      <c r="AD168" s="404"/>
      <c r="AE168" s="404"/>
      <c r="AF168" s="402"/>
      <c r="AG168" s="405"/>
      <c r="AH168" s="402"/>
      <c r="AI168" s="402"/>
      <c r="AJ168" s="402"/>
      <c r="AK168" s="402"/>
      <c r="AL168" s="402"/>
      <c r="AM168" s="402"/>
    </row>
    <row r="169" spans="1:39" s="399" customFormat="1" ht="30" x14ac:dyDescent="0.2">
      <c r="A169" s="240">
        <v>2</v>
      </c>
      <c r="B169" s="242" t="s">
        <v>210</v>
      </c>
      <c r="C169" s="671" t="s">
        <v>148</v>
      </c>
      <c r="D169" s="674"/>
      <c r="E169" s="672" t="s">
        <v>179</v>
      </c>
      <c r="F169" s="695" t="s">
        <v>218</v>
      </c>
      <c r="G169" s="224">
        <v>5100</v>
      </c>
      <c r="H169" s="314">
        <v>5100</v>
      </c>
      <c r="I169" s="314">
        <f>2700+J169</f>
        <v>4350</v>
      </c>
      <c r="J169" s="314">
        <v>1650</v>
      </c>
      <c r="K169" s="314">
        <f t="shared" si="86"/>
        <v>1650</v>
      </c>
      <c r="L169" s="314">
        <v>1650</v>
      </c>
      <c r="M169" s="421">
        <f t="shared" ref="M169:M185" si="87">H169-I169</f>
        <v>750</v>
      </c>
      <c r="N169" s="314">
        <f t="shared" ref="N169:N173" si="88">G169-I169</f>
        <v>750</v>
      </c>
      <c r="O169" s="672"/>
      <c r="P169" s="384"/>
      <c r="Q169" s="384"/>
      <c r="R169" s="398"/>
      <c r="S169" s="133"/>
      <c r="V169" s="400"/>
      <c r="W169" s="401"/>
      <c r="X169" s="402"/>
      <c r="Y169" s="403"/>
      <c r="Z169" s="389"/>
      <c r="AA169" s="402"/>
      <c r="AB169" s="402"/>
      <c r="AC169" s="402"/>
      <c r="AD169" s="404"/>
      <c r="AE169" s="404"/>
      <c r="AF169" s="402"/>
      <c r="AG169" s="405"/>
      <c r="AH169" s="402"/>
      <c r="AI169" s="402"/>
      <c r="AJ169" s="402"/>
      <c r="AK169" s="402"/>
      <c r="AL169" s="402"/>
      <c r="AM169" s="402"/>
    </row>
    <row r="170" spans="1:39" s="399" customFormat="1" ht="30" x14ac:dyDescent="0.2">
      <c r="A170" s="240">
        <v>3</v>
      </c>
      <c r="B170" s="242" t="s">
        <v>211</v>
      </c>
      <c r="C170" s="671" t="s">
        <v>141</v>
      </c>
      <c r="D170" s="674"/>
      <c r="E170" s="672" t="s">
        <v>179</v>
      </c>
      <c r="F170" s="695" t="s">
        <v>219</v>
      </c>
      <c r="G170" s="224">
        <v>5800</v>
      </c>
      <c r="H170" s="314">
        <v>5800</v>
      </c>
      <c r="I170" s="314">
        <f>3100+J170</f>
        <v>4900</v>
      </c>
      <c r="J170" s="314">
        <v>1800</v>
      </c>
      <c r="K170" s="314">
        <f t="shared" si="86"/>
        <v>1800</v>
      </c>
      <c r="L170" s="314">
        <v>1800</v>
      </c>
      <c r="M170" s="421">
        <f t="shared" si="87"/>
        <v>900</v>
      </c>
      <c r="N170" s="314">
        <f t="shared" si="88"/>
        <v>900</v>
      </c>
      <c r="O170" s="672"/>
      <c r="P170" s="384"/>
      <c r="Q170" s="384"/>
      <c r="R170" s="398"/>
      <c r="S170" s="133"/>
      <c r="V170" s="400"/>
      <c r="W170" s="401"/>
      <c r="X170" s="402"/>
      <c r="Y170" s="403"/>
      <c r="Z170" s="389"/>
      <c r="AA170" s="402"/>
      <c r="AB170" s="402"/>
      <c r="AC170" s="402"/>
      <c r="AD170" s="404"/>
      <c r="AE170" s="404"/>
      <c r="AF170" s="402"/>
      <c r="AG170" s="405"/>
      <c r="AH170" s="402"/>
      <c r="AI170" s="402"/>
      <c r="AJ170" s="402"/>
      <c r="AK170" s="402"/>
      <c r="AL170" s="402"/>
      <c r="AM170" s="402"/>
    </row>
    <row r="171" spans="1:39" s="399" customFormat="1" ht="30" x14ac:dyDescent="0.2">
      <c r="A171" s="240">
        <v>4</v>
      </c>
      <c r="B171" s="242" t="s">
        <v>212</v>
      </c>
      <c r="C171" s="671" t="s">
        <v>225</v>
      </c>
      <c r="D171" s="674"/>
      <c r="E171" s="672" t="s">
        <v>179</v>
      </c>
      <c r="F171" s="695" t="s">
        <v>220</v>
      </c>
      <c r="G171" s="224">
        <v>6800</v>
      </c>
      <c r="H171" s="314">
        <v>6800</v>
      </c>
      <c r="I171" s="314">
        <f>3600+J171</f>
        <v>5800</v>
      </c>
      <c r="J171" s="314">
        <v>2200</v>
      </c>
      <c r="K171" s="314">
        <f t="shared" si="86"/>
        <v>2200</v>
      </c>
      <c r="L171" s="314">
        <v>2200</v>
      </c>
      <c r="M171" s="421">
        <f t="shared" si="87"/>
        <v>1000</v>
      </c>
      <c r="N171" s="314">
        <f t="shared" si="88"/>
        <v>1000</v>
      </c>
      <c r="O171" s="672"/>
      <c r="P171" s="384"/>
      <c r="Q171" s="384"/>
      <c r="R171" s="398"/>
      <c r="S171" s="133"/>
      <c r="V171" s="400"/>
      <c r="W171" s="401"/>
      <c r="X171" s="402"/>
      <c r="Y171" s="403"/>
      <c r="Z171" s="389"/>
      <c r="AA171" s="402"/>
      <c r="AB171" s="402"/>
      <c r="AC171" s="402"/>
      <c r="AD171" s="404"/>
      <c r="AE171" s="404"/>
      <c r="AF171" s="402"/>
      <c r="AG171" s="405"/>
      <c r="AH171" s="402"/>
      <c r="AI171" s="402"/>
      <c r="AJ171" s="402"/>
      <c r="AK171" s="402"/>
      <c r="AL171" s="402"/>
      <c r="AM171" s="402"/>
    </row>
    <row r="172" spans="1:39" s="399" customFormat="1" ht="24" x14ac:dyDescent="0.2">
      <c r="A172" s="240">
        <v>5</v>
      </c>
      <c r="B172" s="242" t="s">
        <v>213</v>
      </c>
      <c r="C172" s="671" t="s">
        <v>137</v>
      </c>
      <c r="D172" s="674"/>
      <c r="E172" s="672" t="s">
        <v>179</v>
      </c>
      <c r="F172" s="695" t="s">
        <v>221</v>
      </c>
      <c r="G172" s="224">
        <v>5300</v>
      </c>
      <c r="H172" s="314">
        <v>5300</v>
      </c>
      <c r="I172" s="314">
        <f>1800+J172</f>
        <v>4500</v>
      </c>
      <c r="J172" s="314">
        <v>2700</v>
      </c>
      <c r="K172" s="314">
        <f t="shared" si="86"/>
        <v>2700</v>
      </c>
      <c r="L172" s="314">
        <v>2700</v>
      </c>
      <c r="M172" s="421">
        <f t="shared" si="87"/>
        <v>800</v>
      </c>
      <c r="N172" s="314">
        <f t="shared" si="88"/>
        <v>800</v>
      </c>
      <c r="O172" s="672"/>
      <c r="P172" s="384"/>
      <c r="Q172" s="384"/>
      <c r="R172" s="398"/>
      <c r="S172" s="133"/>
      <c r="V172" s="400"/>
      <c r="W172" s="401"/>
      <c r="X172" s="402"/>
      <c r="Y172" s="403"/>
      <c r="Z172" s="389"/>
      <c r="AA172" s="402"/>
      <c r="AB172" s="402"/>
      <c r="AC172" s="402"/>
      <c r="AD172" s="404"/>
      <c r="AE172" s="404"/>
      <c r="AF172" s="402"/>
      <c r="AG172" s="405"/>
      <c r="AH172" s="402"/>
      <c r="AI172" s="402"/>
      <c r="AJ172" s="402"/>
      <c r="AK172" s="402"/>
      <c r="AL172" s="402"/>
      <c r="AM172" s="402"/>
    </row>
    <row r="173" spans="1:39" s="399" customFormat="1" ht="30" x14ac:dyDescent="0.2">
      <c r="A173" s="240">
        <v>6</v>
      </c>
      <c r="B173" s="242" t="s">
        <v>214</v>
      </c>
      <c r="C173" s="671" t="s">
        <v>145</v>
      </c>
      <c r="D173" s="674"/>
      <c r="E173" s="672" t="s">
        <v>179</v>
      </c>
      <c r="F173" s="695" t="s">
        <v>222</v>
      </c>
      <c r="G173" s="224">
        <v>5200</v>
      </c>
      <c r="H173" s="314">
        <v>5200</v>
      </c>
      <c r="I173" s="314">
        <f>2800+J173</f>
        <v>4400</v>
      </c>
      <c r="J173" s="314">
        <v>1600</v>
      </c>
      <c r="K173" s="314">
        <f t="shared" si="86"/>
        <v>1600</v>
      </c>
      <c r="L173" s="314">
        <v>1600</v>
      </c>
      <c r="M173" s="421">
        <f t="shared" si="87"/>
        <v>800</v>
      </c>
      <c r="N173" s="314">
        <f t="shared" si="88"/>
        <v>800</v>
      </c>
      <c r="O173" s="672"/>
      <c r="P173" s="384"/>
      <c r="Q173" s="384"/>
      <c r="R173" s="398"/>
      <c r="S173" s="133"/>
      <c r="V173" s="400"/>
      <c r="W173" s="401"/>
      <c r="X173" s="402"/>
      <c r="Y173" s="403"/>
      <c r="Z173" s="389"/>
      <c r="AA173" s="402"/>
      <c r="AB173" s="402"/>
      <c r="AC173" s="402"/>
      <c r="AD173" s="404"/>
      <c r="AE173" s="404"/>
      <c r="AF173" s="402"/>
      <c r="AG173" s="405"/>
      <c r="AH173" s="402"/>
      <c r="AI173" s="402"/>
      <c r="AJ173" s="402"/>
      <c r="AK173" s="402"/>
      <c r="AL173" s="402"/>
      <c r="AM173" s="402"/>
    </row>
    <row r="174" spans="1:39" s="399" customFormat="1" ht="24" x14ac:dyDescent="0.2">
      <c r="A174" s="240">
        <v>7</v>
      </c>
      <c r="B174" s="242" t="s">
        <v>215</v>
      </c>
      <c r="C174" s="671" t="s">
        <v>146</v>
      </c>
      <c r="D174" s="674"/>
      <c r="E174" s="672" t="s">
        <v>179</v>
      </c>
      <c r="F174" s="695" t="s">
        <v>223</v>
      </c>
      <c r="G174" s="224">
        <v>8340</v>
      </c>
      <c r="H174" s="314">
        <v>4000</v>
      </c>
      <c r="I174" s="314">
        <f>3303+J174</f>
        <v>4000</v>
      </c>
      <c r="J174" s="314">
        <v>697</v>
      </c>
      <c r="K174" s="314">
        <f t="shared" si="86"/>
        <v>697</v>
      </c>
      <c r="L174" s="314">
        <v>697</v>
      </c>
      <c r="M174" s="421">
        <f t="shared" si="87"/>
        <v>0</v>
      </c>
      <c r="N174" s="314">
        <f>H174-I174</f>
        <v>0</v>
      </c>
      <c r="O174" s="672" t="s">
        <v>318</v>
      </c>
      <c r="P174" s="384"/>
      <c r="Q174" s="384"/>
      <c r="R174" s="398"/>
      <c r="S174" s="133"/>
      <c r="V174" s="400"/>
      <c r="W174" s="401"/>
      <c r="X174" s="402"/>
      <c r="Y174" s="403"/>
      <c r="Z174" s="389"/>
      <c r="AA174" s="402"/>
      <c r="AB174" s="402"/>
      <c r="AC174" s="402"/>
      <c r="AD174" s="404"/>
      <c r="AE174" s="404"/>
      <c r="AF174" s="402"/>
      <c r="AG174" s="405"/>
      <c r="AH174" s="402"/>
      <c r="AI174" s="402"/>
      <c r="AJ174" s="402"/>
      <c r="AK174" s="402"/>
      <c r="AL174" s="402"/>
      <c r="AM174" s="402"/>
    </row>
    <row r="175" spans="1:39" s="399" customFormat="1" ht="30" x14ac:dyDescent="0.2">
      <c r="A175" s="240">
        <v>8</v>
      </c>
      <c r="B175" s="242" t="s">
        <v>216</v>
      </c>
      <c r="C175" s="671" t="s">
        <v>226</v>
      </c>
      <c r="D175" s="674"/>
      <c r="E175" s="672" t="s">
        <v>179</v>
      </c>
      <c r="F175" s="695" t="s">
        <v>224</v>
      </c>
      <c r="G175" s="224">
        <v>6100</v>
      </c>
      <c r="H175" s="314">
        <v>6100</v>
      </c>
      <c r="I175" s="314">
        <f>3300+J175</f>
        <v>5200</v>
      </c>
      <c r="J175" s="314">
        <v>1900</v>
      </c>
      <c r="K175" s="314">
        <f t="shared" si="86"/>
        <v>1900</v>
      </c>
      <c r="L175" s="314">
        <v>1900</v>
      </c>
      <c r="M175" s="421">
        <f t="shared" si="87"/>
        <v>900</v>
      </c>
      <c r="N175" s="314">
        <f>G175-I175</f>
        <v>900</v>
      </c>
      <c r="O175" s="672"/>
      <c r="P175" s="384"/>
      <c r="Q175" s="384"/>
      <c r="R175" s="398"/>
      <c r="S175" s="133"/>
      <c r="V175" s="400"/>
      <c r="W175" s="401"/>
      <c r="X175" s="402"/>
      <c r="Y175" s="403"/>
      <c r="Z175" s="389"/>
      <c r="AA175" s="402"/>
      <c r="AB175" s="402"/>
      <c r="AC175" s="402"/>
      <c r="AD175" s="404"/>
      <c r="AE175" s="404"/>
      <c r="AF175" s="402"/>
      <c r="AG175" s="405"/>
      <c r="AH175" s="402"/>
      <c r="AI175" s="402"/>
      <c r="AJ175" s="402"/>
      <c r="AK175" s="402"/>
      <c r="AL175" s="402"/>
      <c r="AM175" s="402"/>
    </row>
    <row r="176" spans="1:39" s="399" customFormat="1" ht="30" x14ac:dyDescent="0.2">
      <c r="A176" s="240">
        <v>9</v>
      </c>
      <c r="B176" s="242" t="s">
        <v>319</v>
      </c>
      <c r="C176" s="695" t="s">
        <v>143</v>
      </c>
      <c r="D176" s="696" t="s">
        <v>331</v>
      </c>
      <c r="E176" s="695" t="s">
        <v>341</v>
      </c>
      <c r="F176" s="695" t="s">
        <v>342</v>
      </c>
      <c r="G176" s="246">
        <v>2400</v>
      </c>
      <c r="H176" s="314">
        <v>2400</v>
      </c>
      <c r="I176" s="314">
        <f>1400+J176</f>
        <v>2050</v>
      </c>
      <c r="J176" s="314">
        <v>650</v>
      </c>
      <c r="K176" s="314">
        <f t="shared" si="86"/>
        <v>650</v>
      </c>
      <c r="L176" s="314">
        <v>650</v>
      </c>
      <c r="M176" s="421">
        <f t="shared" si="87"/>
        <v>350</v>
      </c>
      <c r="N176" s="314">
        <f t="shared" ref="N176:N185" si="89">G176-I176</f>
        <v>350</v>
      </c>
      <c r="O176" s="672"/>
      <c r="P176" s="384"/>
      <c r="Q176" s="384"/>
      <c r="R176" s="398"/>
      <c r="S176" s="133"/>
      <c r="V176" s="400"/>
      <c r="W176" s="401"/>
      <c r="X176" s="402"/>
      <c r="Y176" s="403"/>
      <c r="Z176" s="389"/>
      <c r="AA176" s="402"/>
      <c r="AB176" s="402"/>
      <c r="AC176" s="402"/>
      <c r="AD176" s="404"/>
      <c r="AE176" s="404"/>
      <c r="AF176" s="402"/>
      <c r="AG176" s="405"/>
      <c r="AH176" s="402"/>
      <c r="AI176" s="402"/>
      <c r="AJ176" s="402"/>
      <c r="AK176" s="402"/>
      <c r="AL176" s="402"/>
      <c r="AM176" s="402"/>
    </row>
    <row r="177" spans="1:39" s="399" customFormat="1" ht="30" x14ac:dyDescent="0.2">
      <c r="A177" s="240">
        <v>10</v>
      </c>
      <c r="B177" s="242" t="s">
        <v>320</v>
      </c>
      <c r="C177" s="695" t="s">
        <v>149</v>
      </c>
      <c r="D177" s="696" t="s">
        <v>332</v>
      </c>
      <c r="E177" s="695" t="s">
        <v>341</v>
      </c>
      <c r="F177" s="695" t="s">
        <v>343</v>
      </c>
      <c r="G177" s="246">
        <v>2000</v>
      </c>
      <c r="H177" s="314">
        <v>2000</v>
      </c>
      <c r="I177" s="314">
        <f>1100+J177</f>
        <v>1700</v>
      </c>
      <c r="J177" s="314">
        <v>600</v>
      </c>
      <c r="K177" s="314">
        <f t="shared" si="86"/>
        <v>600</v>
      </c>
      <c r="L177" s="314">
        <v>600</v>
      </c>
      <c r="M177" s="421">
        <f t="shared" si="87"/>
        <v>300</v>
      </c>
      <c r="N177" s="314">
        <f t="shared" si="89"/>
        <v>300</v>
      </c>
      <c r="O177" s="672"/>
      <c r="P177" s="384"/>
      <c r="Q177" s="384"/>
      <c r="R177" s="398"/>
      <c r="S177" s="133"/>
      <c r="V177" s="400"/>
      <c r="W177" s="401"/>
      <c r="X177" s="402"/>
      <c r="Y177" s="403"/>
      <c r="Z177" s="389"/>
      <c r="AA177" s="402"/>
      <c r="AB177" s="402"/>
      <c r="AC177" s="402"/>
      <c r="AD177" s="404"/>
      <c r="AE177" s="404"/>
      <c r="AF177" s="402"/>
      <c r="AG177" s="405"/>
      <c r="AH177" s="402"/>
      <c r="AI177" s="402"/>
      <c r="AJ177" s="402"/>
      <c r="AK177" s="402"/>
      <c r="AL177" s="402"/>
      <c r="AM177" s="402"/>
    </row>
    <row r="178" spans="1:39" s="399" customFormat="1" ht="30" x14ac:dyDescent="0.2">
      <c r="A178" s="240">
        <v>11</v>
      </c>
      <c r="B178" s="242" t="s">
        <v>321</v>
      </c>
      <c r="C178" s="695" t="s">
        <v>144</v>
      </c>
      <c r="D178" s="696" t="s">
        <v>333</v>
      </c>
      <c r="E178" s="695" t="s">
        <v>341</v>
      </c>
      <c r="F178" s="695" t="s">
        <v>344</v>
      </c>
      <c r="G178" s="246">
        <v>1300</v>
      </c>
      <c r="H178" s="314">
        <v>1300</v>
      </c>
      <c r="I178" s="314">
        <f>800+J178</f>
        <v>1250</v>
      </c>
      <c r="J178" s="314">
        <v>450</v>
      </c>
      <c r="K178" s="314">
        <f t="shared" si="86"/>
        <v>450</v>
      </c>
      <c r="L178" s="314">
        <v>450</v>
      </c>
      <c r="M178" s="421">
        <f t="shared" si="87"/>
        <v>50</v>
      </c>
      <c r="N178" s="314">
        <f t="shared" si="89"/>
        <v>50</v>
      </c>
      <c r="O178" s="672"/>
      <c r="P178" s="384"/>
      <c r="Q178" s="384"/>
      <c r="R178" s="398"/>
      <c r="S178" s="133"/>
      <c r="V178" s="400"/>
      <c r="W178" s="401"/>
      <c r="X178" s="402"/>
      <c r="Y178" s="403"/>
      <c r="Z178" s="389"/>
      <c r="AA178" s="402"/>
      <c r="AB178" s="402"/>
      <c r="AC178" s="402"/>
      <c r="AD178" s="404"/>
      <c r="AE178" s="404"/>
      <c r="AF178" s="402"/>
      <c r="AG178" s="405"/>
      <c r="AH178" s="402"/>
      <c r="AI178" s="402"/>
      <c r="AJ178" s="402"/>
      <c r="AK178" s="402"/>
      <c r="AL178" s="402"/>
      <c r="AM178" s="402"/>
    </row>
    <row r="179" spans="1:39" s="399" customFormat="1" ht="30" x14ac:dyDescent="0.2">
      <c r="A179" s="240">
        <v>12</v>
      </c>
      <c r="B179" s="242" t="s">
        <v>322</v>
      </c>
      <c r="C179" s="695" t="s">
        <v>148</v>
      </c>
      <c r="D179" s="696" t="s">
        <v>334</v>
      </c>
      <c r="E179" s="695" t="s">
        <v>317</v>
      </c>
      <c r="F179" s="695" t="s">
        <v>345</v>
      </c>
      <c r="G179" s="246">
        <v>4300</v>
      </c>
      <c r="H179" s="314">
        <v>4000</v>
      </c>
      <c r="I179" s="314">
        <f>1800+J179</f>
        <v>3700</v>
      </c>
      <c r="J179" s="314">
        <v>1900</v>
      </c>
      <c r="K179" s="314">
        <f t="shared" si="86"/>
        <v>1900</v>
      </c>
      <c r="L179" s="314">
        <v>1900</v>
      </c>
      <c r="M179" s="421">
        <f t="shared" si="87"/>
        <v>300</v>
      </c>
      <c r="N179" s="314">
        <f>H179-I179</f>
        <v>300</v>
      </c>
      <c r="O179" s="672"/>
      <c r="P179" s="384"/>
      <c r="Q179" s="384"/>
      <c r="R179" s="398"/>
      <c r="S179" s="133"/>
      <c r="V179" s="400"/>
      <c r="W179" s="401"/>
      <c r="X179" s="402"/>
      <c r="Y179" s="403"/>
      <c r="Z179" s="389"/>
      <c r="AA179" s="402"/>
      <c r="AB179" s="402"/>
      <c r="AC179" s="402"/>
      <c r="AD179" s="404"/>
      <c r="AE179" s="404"/>
      <c r="AF179" s="402"/>
      <c r="AG179" s="405"/>
      <c r="AH179" s="402"/>
      <c r="AI179" s="402"/>
      <c r="AJ179" s="402"/>
      <c r="AK179" s="402"/>
      <c r="AL179" s="402"/>
      <c r="AM179" s="402"/>
    </row>
    <row r="180" spans="1:39" s="399" customFormat="1" ht="30" x14ac:dyDescent="0.2">
      <c r="A180" s="240">
        <v>13</v>
      </c>
      <c r="B180" s="242" t="s">
        <v>535</v>
      </c>
      <c r="C180" s="695" t="s">
        <v>141</v>
      </c>
      <c r="D180" s="696" t="s">
        <v>335</v>
      </c>
      <c r="E180" s="695" t="s">
        <v>317</v>
      </c>
      <c r="F180" s="695" t="s">
        <v>346</v>
      </c>
      <c r="G180" s="246">
        <v>1100</v>
      </c>
      <c r="H180" s="314">
        <v>1100</v>
      </c>
      <c r="I180" s="314">
        <f>600+J180</f>
        <v>1050</v>
      </c>
      <c r="J180" s="314">
        <v>450</v>
      </c>
      <c r="K180" s="314">
        <f t="shared" si="86"/>
        <v>450</v>
      </c>
      <c r="L180" s="314">
        <v>450</v>
      </c>
      <c r="M180" s="421">
        <f t="shared" si="87"/>
        <v>50</v>
      </c>
      <c r="N180" s="314">
        <f>H180-I180</f>
        <v>50</v>
      </c>
      <c r="O180" s="672"/>
      <c r="P180" s="384"/>
      <c r="Q180" s="384"/>
      <c r="R180" s="398"/>
      <c r="S180" s="133"/>
      <c r="V180" s="400"/>
      <c r="W180" s="401"/>
      <c r="X180" s="402"/>
      <c r="Y180" s="403"/>
      <c r="Z180" s="389"/>
      <c r="AA180" s="402"/>
      <c r="AB180" s="402"/>
      <c r="AC180" s="402"/>
      <c r="AD180" s="404"/>
      <c r="AE180" s="404"/>
      <c r="AF180" s="402"/>
      <c r="AG180" s="405"/>
      <c r="AH180" s="402"/>
      <c r="AI180" s="402"/>
      <c r="AJ180" s="402"/>
      <c r="AK180" s="402"/>
      <c r="AL180" s="402"/>
      <c r="AM180" s="402"/>
    </row>
    <row r="181" spans="1:39" s="399" customFormat="1" ht="45" x14ac:dyDescent="0.2">
      <c r="A181" s="240">
        <v>14</v>
      </c>
      <c r="B181" s="242" t="s">
        <v>323</v>
      </c>
      <c r="C181" s="695" t="s">
        <v>225</v>
      </c>
      <c r="D181" s="696" t="s">
        <v>336</v>
      </c>
      <c r="E181" s="695" t="s">
        <v>317</v>
      </c>
      <c r="F181" s="695" t="s">
        <v>347</v>
      </c>
      <c r="G181" s="246">
        <v>2800</v>
      </c>
      <c r="H181" s="314">
        <v>2800</v>
      </c>
      <c r="I181" s="314">
        <f>1500+J181</f>
        <v>2700</v>
      </c>
      <c r="J181" s="314">
        <v>1200</v>
      </c>
      <c r="K181" s="314">
        <f t="shared" si="86"/>
        <v>1200</v>
      </c>
      <c r="L181" s="314">
        <v>1200</v>
      </c>
      <c r="M181" s="421">
        <f t="shared" si="87"/>
        <v>100</v>
      </c>
      <c r="N181" s="314">
        <f t="shared" si="89"/>
        <v>100</v>
      </c>
      <c r="O181" s="672"/>
      <c r="P181" s="384"/>
      <c r="Q181" s="384"/>
      <c r="R181" s="398"/>
      <c r="S181" s="133"/>
      <c r="V181" s="400"/>
      <c r="W181" s="401"/>
      <c r="X181" s="402"/>
      <c r="Y181" s="403"/>
      <c r="Z181" s="389"/>
      <c r="AA181" s="402"/>
      <c r="AB181" s="402"/>
      <c r="AC181" s="402"/>
      <c r="AD181" s="404"/>
      <c r="AE181" s="404"/>
      <c r="AF181" s="402"/>
      <c r="AG181" s="405"/>
      <c r="AH181" s="402"/>
      <c r="AI181" s="402"/>
      <c r="AJ181" s="402"/>
      <c r="AK181" s="402"/>
      <c r="AL181" s="402"/>
      <c r="AM181" s="402"/>
    </row>
    <row r="182" spans="1:39" s="399" customFormat="1" ht="30" x14ac:dyDescent="0.2">
      <c r="A182" s="240">
        <v>15</v>
      </c>
      <c r="B182" s="242" t="s">
        <v>324</v>
      </c>
      <c r="C182" s="695" t="s">
        <v>166</v>
      </c>
      <c r="D182" s="696" t="s">
        <v>337</v>
      </c>
      <c r="E182" s="695" t="s">
        <v>317</v>
      </c>
      <c r="F182" s="695" t="s">
        <v>348</v>
      </c>
      <c r="G182" s="246">
        <v>3600</v>
      </c>
      <c r="H182" s="314">
        <v>3600</v>
      </c>
      <c r="I182" s="314">
        <f>1900+J182</f>
        <v>3300</v>
      </c>
      <c r="J182" s="314">
        <v>1400</v>
      </c>
      <c r="K182" s="314">
        <f t="shared" si="86"/>
        <v>1400</v>
      </c>
      <c r="L182" s="314">
        <v>1400</v>
      </c>
      <c r="M182" s="421">
        <f t="shared" si="87"/>
        <v>300</v>
      </c>
      <c r="N182" s="314">
        <f t="shared" si="89"/>
        <v>300</v>
      </c>
      <c r="O182" s="672"/>
      <c r="P182" s="384"/>
      <c r="Q182" s="384"/>
      <c r="R182" s="398"/>
      <c r="S182" s="133"/>
      <c r="V182" s="400"/>
      <c r="W182" s="401"/>
      <c r="X182" s="402"/>
      <c r="Y182" s="403"/>
      <c r="Z182" s="389"/>
      <c r="AA182" s="402"/>
      <c r="AB182" s="402"/>
      <c r="AC182" s="402"/>
      <c r="AD182" s="404"/>
      <c r="AE182" s="404"/>
      <c r="AF182" s="402"/>
      <c r="AG182" s="405"/>
      <c r="AH182" s="402"/>
      <c r="AI182" s="402"/>
      <c r="AJ182" s="402"/>
      <c r="AK182" s="402"/>
      <c r="AL182" s="402"/>
      <c r="AM182" s="402"/>
    </row>
    <row r="183" spans="1:39" s="399" customFormat="1" ht="24" x14ac:dyDescent="0.2">
      <c r="A183" s="240">
        <v>16</v>
      </c>
      <c r="B183" s="242" t="s">
        <v>325</v>
      </c>
      <c r="C183" s="695" t="s">
        <v>146</v>
      </c>
      <c r="D183" s="696" t="s">
        <v>338</v>
      </c>
      <c r="E183" s="695" t="s">
        <v>317</v>
      </c>
      <c r="F183" s="695" t="s">
        <v>349</v>
      </c>
      <c r="G183" s="246">
        <v>2400</v>
      </c>
      <c r="H183" s="314">
        <v>2400</v>
      </c>
      <c r="I183" s="314">
        <f>1500+J183</f>
        <v>2280</v>
      </c>
      <c r="J183" s="314">
        <v>780</v>
      </c>
      <c r="K183" s="314">
        <f t="shared" si="86"/>
        <v>780</v>
      </c>
      <c r="L183" s="314">
        <v>780</v>
      </c>
      <c r="M183" s="421">
        <f t="shared" si="87"/>
        <v>120</v>
      </c>
      <c r="N183" s="314">
        <f t="shared" si="89"/>
        <v>120</v>
      </c>
      <c r="O183" s="672"/>
      <c r="P183" s="384"/>
      <c r="Q183" s="384"/>
      <c r="R183" s="398"/>
      <c r="S183" s="133"/>
      <c r="V183" s="400"/>
      <c r="W183" s="401"/>
      <c r="X183" s="402"/>
      <c r="Y183" s="403"/>
      <c r="Z183" s="389"/>
      <c r="AA183" s="402"/>
      <c r="AB183" s="402"/>
      <c r="AC183" s="402"/>
      <c r="AD183" s="404"/>
      <c r="AE183" s="404"/>
      <c r="AF183" s="402"/>
      <c r="AG183" s="405"/>
      <c r="AH183" s="402"/>
      <c r="AI183" s="402"/>
      <c r="AJ183" s="402"/>
      <c r="AK183" s="402"/>
      <c r="AL183" s="402"/>
      <c r="AM183" s="402"/>
    </row>
    <row r="184" spans="1:39" s="399" customFormat="1" ht="30" x14ac:dyDescent="0.2">
      <c r="A184" s="240">
        <v>17</v>
      </c>
      <c r="B184" s="242" t="s">
        <v>326</v>
      </c>
      <c r="C184" s="695" t="s">
        <v>226</v>
      </c>
      <c r="D184" s="696" t="s">
        <v>339</v>
      </c>
      <c r="E184" s="695" t="s">
        <v>317</v>
      </c>
      <c r="F184" s="695" t="s">
        <v>350</v>
      </c>
      <c r="G184" s="246">
        <v>1000</v>
      </c>
      <c r="H184" s="314">
        <v>1000</v>
      </c>
      <c r="I184" s="314">
        <f>600+J184</f>
        <v>950</v>
      </c>
      <c r="J184" s="314">
        <v>350</v>
      </c>
      <c r="K184" s="314">
        <f t="shared" si="86"/>
        <v>350</v>
      </c>
      <c r="L184" s="314">
        <v>350</v>
      </c>
      <c r="M184" s="421">
        <f t="shared" si="87"/>
        <v>50</v>
      </c>
      <c r="N184" s="314">
        <f t="shared" si="89"/>
        <v>50</v>
      </c>
      <c r="O184" s="672"/>
      <c r="P184" s="384"/>
      <c r="Q184" s="384"/>
      <c r="R184" s="398"/>
      <c r="S184" s="133"/>
      <c r="V184" s="400"/>
      <c r="W184" s="401"/>
      <c r="X184" s="402"/>
      <c r="Y184" s="403"/>
      <c r="Z184" s="389"/>
      <c r="AA184" s="402"/>
      <c r="AB184" s="402"/>
      <c r="AC184" s="402"/>
      <c r="AD184" s="404"/>
      <c r="AE184" s="404"/>
      <c r="AF184" s="402"/>
      <c r="AG184" s="405"/>
      <c r="AH184" s="402"/>
      <c r="AI184" s="402"/>
      <c r="AJ184" s="402"/>
      <c r="AK184" s="402"/>
      <c r="AL184" s="402"/>
      <c r="AM184" s="402"/>
    </row>
    <row r="185" spans="1:39" s="399" customFormat="1" ht="30" x14ac:dyDescent="0.2">
      <c r="A185" s="240">
        <v>18</v>
      </c>
      <c r="B185" s="242" t="s">
        <v>327</v>
      </c>
      <c r="C185" s="695" t="s">
        <v>330</v>
      </c>
      <c r="D185" s="696" t="s">
        <v>340</v>
      </c>
      <c r="E185" s="695" t="s">
        <v>317</v>
      </c>
      <c r="F185" s="695" t="s">
        <v>351</v>
      </c>
      <c r="G185" s="246">
        <v>1500</v>
      </c>
      <c r="H185" s="314">
        <v>1500</v>
      </c>
      <c r="I185" s="314">
        <f>1000+J185</f>
        <v>1450</v>
      </c>
      <c r="J185" s="314">
        <v>450</v>
      </c>
      <c r="K185" s="314">
        <f t="shared" si="86"/>
        <v>450</v>
      </c>
      <c r="L185" s="314">
        <v>450</v>
      </c>
      <c r="M185" s="421">
        <f t="shared" si="87"/>
        <v>50</v>
      </c>
      <c r="N185" s="314">
        <f t="shared" si="89"/>
        <v>50</v>
      </c>
      <c r="O185" s="672"/>
      <c r="P185" s="384"/>
      <c r="Q185" s="384"/>
      <c r="R185" s="398"/>
      <c r="S185" s="133"/>
      <c r="V185" s="400"/>
      <c r="W185" s="401"/>
      <c r="X185" s="402"/>
      <c r="Y185" s="403"/>
      <c r="Z185" s="389"/>
      <c r="AA185" s="402"/>
      <c r="AB185" s="402"/>
      <c r="AC185" s="402"/>
      <c r="AD185" s="404"/>
      <c r="AE185" s="404"/>
      <c r="AF185" s="402"/>
      <c r="AG185" s="405"/>
      <c r="AH185" s="402"/>
      <c r="AI185" s="402"/>
      <c r="AJ185" s="402"/>
      <c r="AK185" s="402"/>
      <c r="AL185" s="402"/>
      <c r="AM185" s="402"/>
    </row>
    <row r="186" spans="1:39" s="399" customFormat="1" ht="15" x14ac:dyDescent="0.2">
      <c r="A186" s="205" t="s">
        <v>30</v>
      </c>
      <c r="B186" s="649" t="s">
        <v>463</v>
      </c>
      <c r="C186" s="695"/>
      <c r="D186" s="696"/>
      <c r="E186" s="695"/>
      <c r="F186" s="695"/>
      <c r="G186" s="653">
        <f>SUM(G187:G193)</f>
        <v>96140</v>
      </c>
      <c r="H186" s="653">
        <f t="shared" ref="H186:N186" si="90">SUM(H187:H193)</f>
        <v>78540</v>
      </c>
      <c r="I186" s="653">
        <f t="shared" si="90"/>
        <v>25283</v>
      </c>
      <c r="J186" s="653">
        <f t="shared" si="90"/>
        <v>25283</v>
      </c>
      <c r="K186" s="653">
        <f t="shared" si="90"/>
        <v>25283</v>
      </c>
      <c r="L186" s="653">
        <f t="shared" si="90"/>
        <v>25283</v>
      </c>
      <c r="M186" s="653">
        <f t="shared" si="90"/>
        <v>53257</v>
      </c>
      <c r="N186" s="653">
        <f t="shared" si="90"/>
        <v>38829</v>
      </c>
      <c r="O186" s="672"/>
      <c r="P186" s="384"/>
      <c r="Q186" s="384"/>
      <c r="R186" s="398"/>
      <c r="S186" s="133"/>
      <c r="V186" s="400"/>
      <c r="W186" s="401"/>
      <c r="X186" s="720"/>
      <c r="Y186" s="721"/>
      <c r="Z186" s="722"/>
      <c r="AA186" s="720"/>
      <c r="AB186" s="720"/>
      <c r="AC186" s="720"/>
      <c r="AD186" s="444"/>
      <c r="AE186" s="444"/>
      <c r="AF186" s="720"/>
      <c r="AG186" s="442"/>
      <c r="AH186" s="720"/>
      <c r="AI186" s="720"/>
      <c r="AJ186" s="720"/>
      <c r="AK186" s="720"/>
      <c r="AL186" s="720"/>
      <c r="AM186" s="720"/>
    </row>
    <row r="187" spans="1:39" s="399" customFormat="1" ht="30" x14ac:dyDescent="0.2">
      <c r="A187" s="667" t="s">
        <v>458</v>
      </c>
      <c r="B187" s="242" t="s">
        <v>486</v>
      </c>
      <c r="C187" s="683" t="s">
        <v>141</v>
      </c>
      <c r="D187" s="683" t="s">
        <v>492</v>
      </c>
      <c r="E187" s="683" t="s">
        <v>478</v>
      </c>
      <c r="F187" s="683" t="s">
        <v>493</v>
      </c>
      <c r="G187" s="246">
        <v>2000</v>
      </c>
      <c r="H187" s="314">
        <v>2000</v>
      </c>
      <c r="I187" s="314">
        <f>J187</f>
        <v>1100</v>
      </c>
      <c r="J187" s="314">
        <v>1100</v>
      </c>
      <c r="K187" s="314">
        <f>L187</f>
        <v>1100</v>
      </c>
      <c r="L187" s="314">
        <v>1100</v>
      </c>
      <c r="M187" s="314">
        <f t="shared" ref="M187:M192" si="91">G187-I187</f>
        <v>900</v>
      </c>
      <c r="N187" s="314">
        <f>G187*90%-I187</f>
        <v>700</v>
      </c>
      <c r="O187" s="672"/>
      <c r="P187" s="384"/>
      <c r="Q187" s="384"/>
      <c r="R187" s="398"/>
      <c r="S187" s="133"/>
      <c r="V187" s="400"/>
      <c r="W187" s="401"/>
      <c r="X187" s="720"/>
      <c r="Y187" s="721"/>
      <c r="Z187" s="722"/>
      <c r="AA187" s="720"/>
      <c r="AB187" s="720"/>
      <c r="AC187" s="720"/>
      <c r="AD187" s="444"/>
      <c r="AE187" s="444"/>
      <c r="AF187" s="720"/>
      <c r="AG187" s="442"/>
      <c r="AH187" s="720"/>
      <c r="AI187" s="720"/>
      <c r="AJ187" s="720"/>
      <c r="AK187" s="720"/>
      <c r="AL187" s="720"/>
      <c r="AM187" s="720"/>
    </row>
    <row r="188" spans="1:39" s="399" customFormat="1" ht="30" x14ac:dyDescent="0.2">
      <c r="A188" s="667" t="s">
        <v>468</v>
      </c>
      <c r="B188" s="242" t="s">
        <v>487</v>
      </c>
      <c r="C188" s="683" t="s">
        <v>145</v>
      </c>
      <c r="D188" s="683" t="s">
        <v>494</v>
      </c>
      <c r="E188" s="683" t="s">
        <v>478</v>
      </c>
      <c r="F188" s="683" t="s">
        <v>495</v>
      </c>
      <c r="G188" s="246">
        <v>2000</v>
      </c>
      <c r="H188" s="314">
        <v>2000</v>
      </c>
      <c r="I188" s="314">
        <f t="shared" ref="I188:I192" si="92">J188</f>
        <v>1100</v>
      </c>
      <c r="J188" s="314">
        <v>1100</v>
      </c>
      <c r="K188" s="314">
        <f t="shared" ref="K188:K192" si="93">L188</f>
        <v>1100</v>
      </c>
      <c r="L188" s="314">
        <v>1100</v>
      </c>
      <c r="M188" s="314">
        <f t="shared" si="91"/>
        <v>900</v>
      </c>
      <c r="N188" s="314">
        <f t="shared" ref="N188:N189" si="94">G188*90%-I188</f>
        <v>700</v>
      </c>
      <c r="O188" s="672"/>
      <c r="P188" s="384"/>
      <c r="Q188" s="384"/>
      <c r="R188" s="398"/>
      <c r="S188" s="133"/>
      <c r="V188" s="400"/>
      <c r="W188" s="401"/>
      <c r="X188" s="720"/>
      <c r="Y188" s="721"/>
      <c r="Z188" s="722"/>
      <c r="AA188" s="720"/>
      <c r="AB188" s="720"/>
      <c r="AC188" s="720"/>
      <c r="AD188" s="444"/>
      <c r="AE188" s="444"/>
      <c r="AF188" s="720"/>
      <c r="AG188" s="442"/>
      <c r="AH188" s="720"/>
      <c r="AI188" s="720"/>
      <c r="AJ188" s="720"/>
      <c r="AK188" s="720"/>
      <c r="AL188" s="720"/>
      <c r="AM188" s="720"/>
    </row>
    <row r="189" spans="1:39" s="399" customFormat="1" ht="24" x14ac:dyDescent="0.2">
      <c r="A189" s="667" t="s">
        <v>472</v>
      </c>
      <c r="B189" s="242" t="s">
        <v>488</v>
      </c>
      <c r="C189" s="683" t="s">
        <v>149</v>
      </c>
      <c r="D189" s="683" t="s">
        <v>496</v>
      </c>
      <c r="E189" s="683" t="s">
        <v>466</v>
      </c>
      <c r="F189" s="695" t="s">
        <v>497</v>
      </c>
      <c r="G189" s="246">
        <v>3000</v>
      </c>
      <c r="H189" s="314">
        <v>3000</v>
      </c>
      <c r="I189" s="314">
        <f t="shared" si="92"/>
        <v>1583</v>
      </c>
      <c r="J189" s="314">
        <v>1583</v>
      </c>
      <c r="K189" s="314">
        <f t="shared" si="93"/>
        <v>1583</v>
      </c>
      <c r="L189" s="314">
        <v>1583</v>
      </c>
      <c r="M189" s="314">
        <f t="shared" si="91"/>
        <v>1417</v>
      </c>
      <c r="N189" s="314">
        <f t="shared" si="94"/>
        <v>1117</v>
      </c>
      <c r="O189" s="672"/>
      <c r="P189" s="384"/>
      <c r="Q189" s="384"/>
      <c r="R189" s="398"/>
      <c r="S189" s="133"/>
      <c r="V189" s="400"/>
      <c r="W189" s="401"/>
      <c r="X189" s="720"/>
      <c r="Y189" s="721"/>
      <c r="Z189" s="722"/>
      <c r="AA189" s="720"/>
      <c r="AB189" s="720"/>
      <c r="AC189" s="720"/>
      <c r="AD189" s="444"/>
      <c r="AE189" s="444"/>
      <c r="AF189" s="720"/>
      <c r="AG189" s="442"/>
      <c r="AH189" s="720"/>
      <c r="AI189" s="720"/>
      <c r="AJ189" s="720"/>
      <c r="AK189" s="720"/>
      <c r="AL189" s="720"/>
      <c r="AM189" s="720"/>
    </row>
    <row r="190" spans="1:39" s="399" customFormat="1" ht="30" x14ac:dyDescent="0.2">
      <c r="A190" s="667" t="s">
        <v>504</v>
      </c>
      <c r="B190" s="654" t="s">
        <v>489</v>
      </c>
      <c r="C190" s="683" t="s">
        <v>225</v>
      </c>
      <c r="D190" s="683" t="s">
        <v>498</v>
      </c>
      <c r="E190" s="683" t="s">
        <v>466</v>
      </c>
      <c r="F190" s="695" t="s">
        <v>499</v>
      </c>
      <c r="G190" s="246">
        <v>26330</v>
      </c>
      <c r="H190" s="314">
        <v>26330</v>
      </c>
      <c r="I190" s="314">
        <f t="shared" si="92"/>
        <v>8000</v>
      </c>
      <c r="J190" s="314">
        <v>8000</v>
      </c>
      <c r="K190" s="314">
        <f t="shared" si="93"/>
        <v>8000</v>
      </c>
      <c r="L190" s="314">
        <v>8000</v>
      </c>
      <c r="M190" s="314">
        <f t="shared" si="91"/>
        <v>18330</v>
      </c>
      <c r="N190" s="314">
        <f>G190*80%-I190</f>
        <v>13064</v>
      </c>
      <c r="O190" s="672"/>
      <c r="P190" s="384"/>
      <c r="Q190" s="384"/>
      <c r="R190" s="398"/>
      <c r="S190" s="133"/>
      <c r="V190" s="400"/>
      <c r="W190" s="401"/>
      <c r="X190" s="720"/>
      <c r="Y190" s="721"/>
      <c r="Z190" s="722"/>
      <c r="AA190" s="720"/>
      <c r="AB190" s="720"/>
      <c r="AC190" s="720"/>
      <c r="AD190" s="444"/>
      <c r="AE190" s="444"/>
      <c r="AF190" s="720"/>
      <c r="AG190" s="442"/>
      <c r="AH190" s="720"/>
      <c r="AI190" s="720"/>
      <c r="AJ190" s="720"/>
      <c r="AK190" s="720"/>
      <c r="AL190" s="720"/>
      <c r="AM190" s="720"/>
    </row>
    <row r="191" spans="1:39" s="399" customFormat="1" ht="30" x14ac:dyDescent="0.2">
      <c r="A191" s="667" t="s">
        <v>505</v>
      </c>
      <c r="B191" s="654" t="s">
        <v>490</v>
      </c>
      <c r="C191" s="683" t="s">
        <v>141</v>
      </c>
      <c r="D191" s="683" t="s">
        <v>500</v>
      </c>
      <c r="E191" s="683" t="s">
        <v>466</v>
      </c>
      <c r="F191" s="695" t="s">
        <v>501</v>
      </c>
      <c r="G191" s="246">
        <v>14000</v>
      </c>
      <c r="H191" s="314">
        <v>14000</v>
      </c>
      <c r="I191" s="314">
        <f t="shared" si="92"/>
        <v>5000</v>
      </c>
      <c r="J191" s="314">
        <v>5000</v>
      </c>
      <c r="K191" s="314">
        <f t="shared" si="93"/>
        <v>5000</v>
      </c>
      <c r="L191" s="314">
        <v>5000</v>
      </c>
      <c r="M191" s="314">
        <f t="shared" si="91"/>
        <v>9000</v>
      </c>
      <c r="N191" s="314">
        <f t="shared" ref="N191:N192" si="95">G191*80%-I191</f>
        <v>6200</v>
      </c>
      <c r="O191" s="672"/>
      <c r="P191" s="384"/>
      <c r="Q191" s="384"/>
      <c r="R191" s="398"/>
      <c r="S191" s="133"/>
      <c r="V191" s="400"/>
      <c r="W191" s="401"/>
      <c r="X191" s="720"/>
      <c r="Y191" s="721"/>
      <c r="Z191" s="722"/>
      <c r="AA191" s="720"/>
      <c r="AB191" s="720"/>
      <c r="AC191" s="720"/>
      <c r="AD191" s="444"/>
      <c r="AE191" s="444"/>
      <c r="AF191" s="720"/>
      <c r="AG191" s="442"/>
      <c r="AH191" s="720"/>
      <c r="AI191" s="720"/>
      <c r="AJ191" s="720"/>
      <c r="AK191" s="720"/>
      <c r="AL191" s="720"/>
      <c r="AM191" s="720"/>
    </row>
    <row r="192" spans="1:39" s="399" customFormat="1" ht="30" x14ac:dyDescent="0.2">
      <c r="A192" s="667" t="s">
        <v>506</v>
      </c>
      <c r="B192" s="655" t="s">
        <v>491</v>
      </c>
      <c r="C192" s="683" t="s">
        <v>143</v>
      </c>
      <c r="D192" s="683" t="s">
        <v>502</v>
      </c>
      <c r="E192" s="683" t="s">
        <v>466</v>
      </c>
      <c r="F192" s="695" t="s">
        <v>503</v>
      </c>
      <c r="G192" s="246">
        <v>28310</v>
      </c>
      <c r="H192" s="314">
        <v>28310</v>
      </c>
      <c r="I192" s="314">
        <f t="shared" si="92"/>
        <v>8500</v>
      </c>
      <c r="J192" s="314">
        <v>8500</v>
      </c>
      <c r="K192" s="314">
        <f t="shared" si="93"/>
        <v>8500</v>
      </c>
      <c r="L192" s="314">
        <v>8500</v>
      </c>
      <c r="M192" s="314">
        <f t="shared" si="91"/>
        <v>19810</v>
      </c>
      <c r="N192" s="314">
        <f t="shared" si="95"/>
        <v>14148</v>
      </c>
      <c r="O192" s="672"/>
      <c r="P192" s="384"/>
      <c r="Q192" s="384"/>
      <c r="R192" s="398"/>
      <c r="S192" s="133"/>
      <c r="V192" s="400"/>
      <c r="W192" s="401"/>
      <c r="X192" s="720"/>
      <c r="Y192" s="721"/>
      <c r="Z192" s="722"/>
      <c r="AA192" s="720"/>
      <c r="AB192" s="720"/>
      <c r="AC192" s="720"/>
      <c r="AD192" s="444"/>
      <c r="AE192" s="444"/>
      <c r="AF192" s="720"/>
      <c r="AG192" s="442"/>
      <c r="AH192" s="720"/>
      <c r="AI192" s="720"/>
      <c r="AJ192" s="720"/>
      <c r="AK192" s="720"/>
      <c r="AL192" s="720"/>
      <c r="AM192" s="720"/>
    </row>
    <row r="193" spans="1:39" s="399" customFormat="1" ht="30" x14ac:dyDescent="0.2">
      <c r="A193" s="667" t="s">
        <v>626</v>
      </c>
      <c r="B193" s="655" t="s">
        <v>600</v>
      </c>
      <c r="C193" s="683" t="s">
        <v>143</v>
      </c>
      <c r="D193" s="683"/>
      <c r="E193" s="683" t="s">
        <v>466</v>
      </c>
      <c r="F193" s="695" t="s">
        <v>602</v>
      </c>
      <c r="G193" s="246">
        <v>20500</v>
      </c>
      <c r="H193" s="314">
        <v>2900</v>
      </c>
      <c r="I193" s="314"/>
      <c r="J193" s="314"/>
      <c r="K193" s="314"/>
      <c r="L193" s="314"/>
      <c r="M193" s="760">
        <f>H193-I193</f>
        <v>2900</v>
      </c>
      <c r="N193" s="314">
        <f>H193</f>
        <v>2900</v>
      </c>
      <c r="O193" s="672" t="s">
        <v>318</v>
      </c>
      <c r="P193" s="384"/>
      <c r="Q193" s="384"/>
      <c r="R193" s="398"/>
      <c r="S193" s="133"/>
      <c r="V193" s="400"/>
      <c r="W193" s="401"/>
      <c r="X193" s="720"/>
      <c r="Y193" s="721"/>
      <c r="Z193" s="722"/>
      <c r="AA193" s="720"/>
      <c r="AB193" s="720"/>
      <c r="AC193" s="720"/>
      <c r="AD193" s="444"/>
      <c r="AE193" s="444"/>
      <c r="AF193" s="720"/>
      <c r="AG193" s="442"/>
      <c r="AH193" s="720"/>
      <c r="AI193" s="720"/>
      <c r="AJ193" s="720"/>
      <c r="AK193" s="720"/>
      <c r="AL193" s="720"/>
      <c r="AM193" s="720"/>
    </row>
    <row r="194" spans="1:39" s="708" customFormat="1" ht="15" x14ac:dyDescent="0.2">
      <c r="A194" s="779" t="s">
        <v>32</v>
      </c>
      <c r="B194" s="780" t="s">
        <v>583</v>
      </c>
      <c r="C194" s="843"/>
      <c r="D194" s="843"/>
      <c r="E194" s="843"/>
      <c r="F194" s="844"/>
      <c r="G194" s="786">
        <f>SUM(G195:G197)</f>
        <v>31460</v>
      </c>
      <c r="H194" s="786">
        <f t="shared" ref="H194:N194" si="96">SUM(H195:H197)</f>
        <v>31460</v>
      </c>
      <c r="I194" s="786">
        <f t="shared" si="96"/>
        <v>0</v>
      </c>
      <c r="J194" s="786">
        <f t="shared" si="96"/>
        <v>0</v>
      </c>
      <c r="K194" s="786">
        <f t="shared" si="96"/>
        <v>0</v>
      </c>
      <c r="L194" s="786">
        <f t="shared" si="96"/>
        <v>0</v>
      </c>
      <c r="M194" s="786">
        <f t="shared" si="96"/>
        <v>31460</v>
      </c>
      <c r="N194" s="786">
        <f t="shared" si="96"/>
        <v>11010.999999999998</v>
      </c>
      <c r="O194" s="827"/>
      <c r="P194" s="705"/>
      <c r="Q194" s="705"/>
      <c r="R194" s="706"/>
      <c r="S194" s="707"/>
      <c r="V194" s="709"/>
      <c r="W194" s="710"/>
      <c r="X194" s="711"/>
      <c r="Y194" s="712"/>
      <c r="Z194" s="713"/>
      <c r="AA194" s="711"/>
      <c r="AB194" s="711"/>
      <c r="AC194" s="711"/>
      <c r="AD194" s="714"/>
      <c r="AE194" s="714"/>
      <c r="AF194" s="711"/>
      <c r="AG194" s="715"/>
      <c r="AH194" s="711"/>
      <c r="AI194" s="711"/>
      <c r="AJ194" s="711"/>
      <c r="AK194" s="711"/>
      <c r="AL194" s="711"/>
      <c r="AM194" s="711"/>
    </row>
    <row r="195" spans="1:39" s="708" customFormat="1" ht="30" x14ac:dyDescent="0.2">
      <c r="A195" s="787" t="s">
        <v>458</v>
      </c>
      <c r="B195" s="788" t="s">
        <v>621</v>
      </c>
      <c r="C195" s="841" t="s">
        <v>144</v>
      </c>
      <c r="D195" s="843" t="s">
        <v>622</v>
      </c>
      <c r="E195" s="843" t="s">
        <v>605</v>
      </c>
      <c r="F195" s="844"/>
      <c r="G195" s="789">
        <v>5300</v>
      </c>
      <c r="H195" s="760">
        <v>5300</v>
      </c>
      <c r="I195" s="760"/>
      <c r="J195" s="760"/>
      <c r="K195" s="760"/>
      <c r="L195" s="760"/>
      <c r="M195" s="760">
        <f t="shared" ref="M195:M197" si="97">G195-I195</f>
        <v>5300</v>
      </c>
      <c r="N195" s="760">
        <f>G195*35%</f>
        <v>1854.9999999999998</v>
      </c>
      <c r="O195" s="827"/>
      <c r="P195" s="705"/>
      <c r="Q195" s="705"/>
      <c r="R195" s="706"/>
      <c r="S195" s="707"/>
      <c r="V195" s="709"/>
      <c r="W195" s="710"/>
      <c r="X195" s="711"/>
      <c r="Y195" s="712"/>
      <c r="Z195" s="713"/>
      <c r="AA195" s="711"/>
      <c r="AB195" s="711"/>
      <c r="AC195" s="711"/>
      <c r="AD195" s="714"/>
      <c r="AE195" s="714"/>
      <c r="AF195" s="711"/>
      <c r="AG195" s="715"/>
      <c r="AH195" s="711"/>
      <c r="AI195" s="711"/>
      <c r="AJ195" s="711"/>
      <c r="AK195" s="711"/>
      <c r="AL195" s="711"/>
      <c r="AM195" s="711"/>
    </row>
    <row r="196" spans="1:39" s="708" customFormat="1" ht="30" x14ac:dyDescent="0.2">
      <c r="A196" s="787" t="s">
        <v>468</v>
      </c>
      <c r="B196" s="788" t="s">
        <v>623</v>
      </c>
      <c r="C196" s="841" t="s">
        <v>166</v>
      </c>
      <c r="D196" s="843" t="s">
        <v>622</v>
      </c>
      <c r="E196" s="843" t="s">
        <v>605</v>
      </c>
      <c r="F196" s="844"/>
      <c r="G196" s="789">
        <v>5300</v>
      </c>
      <c r="H196" s="760">
        <v>5300</v>
      </c>
      <c r="I196" s="760"/>
      <c r="J196" s="760"/>
      <c r="K196" s="760"/>
      <c r="L196" s="760"/>
      <c r="M196" s="760">
        <f t="shared" si="97"/>
        <v>5300</v>
      </c>
      <c r="N196" s="760">
        <f>G196*35%</f>
        <v>1854.9999999999998</v>
      </c>
      <c r="O196" s="827"/>
      <c r="P196" s="705"/>
      <c r="Q196" s="705"/>
      <c r="R196" s="706"/>
      <c r="S196" s="707"/>
      <c r="V196" s="709"/>
      <c r="W196" s="710"/>
      <c r="X196" s="711"/>
      <c r="Y196" s="712"/>
      <c r="Z196" s="713"/>
      <c r="AA196" s="711"/>
      <c r="AB196" s="711"/>
      <c r="AC196" s="711"/>
      <c r="AD196" s="714"/>
      <c r="AE196" s="714"/>
      <c r="AF196" s="711"/>
      <c r="AG196" s="715"/>
      <c r="AH196" s="711"/>
      <c r="AI196" s="711"/>
      <c r="AJ196" s="711"/>
      <c r="AK196" s="711"/>
      <c r="AL196" s="711"/>
      <c r="AM196" s="711"/>
    </row>
    <row r="197" spans="1:39" s="708" customFormat="1" ht="30" x14ac:dyDescent="0.2">
      <c r="A197" s="787" t="s">
        <v>472</v>
      </c>
      <c r="B197" s="790" t="s">
        <v>691</v>
      </c>
      <c r="C197" s="841" t="s">
        <v>256</v>
      </c>
      <c r="D197" s="843" t="s">
        <v>625</v>
      </c>
      <c r="E197" s="843" t="s">
        <v>605</v>
      </c>
      <c r="F197" s="844"/>
      <c r="G197" s="789">
        <v>20860</v>
      </c>
      <c r="H197" s="789">
        <v>20860</v>
      </c>
      <c r="I197" s="760"/>
      <c r="J197" s="760"/>
      <c r="K197" s="760"/>
      <c r="L197" s="760"/>
      <c r="M197" s="760">
        <f t="shared" si="97"/>
        <v>20860</v>
      </c>
      <c r="N197" s="760">
        <f>G197*35%</f>
        <v>7300.9999999999991</v>
      </c>
      <c r="O197" s="827"/>
      <c r="P197" s="705"/>
      <c r="Q197" s="705"/>
      <c r="R197" s="706"/>
      <c r="S197" s="707"/>
      <c r="V197" s="709"/>
      <c r="W197" s="710"/>
      <c r="X197" s="711"/>
      <c r="Y197" s="712"/>
      <c r="Z197" s="713"/>
      <c r="AA197" s="711"/>
      <c r="AB197" s="711"/>
      <c r="AC197" s="711"/>
      <c r="AD197" s="714"/>
      <c r="AE197" s="714"/>
      <c r="AF197" s="711"/>
      <c r="AG197" s="715"/>
      <c r="AH197" s="711"/>
      <c r="AI197" s="711"/>
      <c r="AJ197" s="711"/>
      <c r="AK197" s="711"/>
      <c r="AL197" s="711"/>
      <c r="AM197" s="711"/>
    </row>
    <row r="198" spans="1:39" s="399" customFormat="1" ht="90" x14ac:dyDescent="0.2">
      <c r="A198" s="235"/>
      <c r="B198" s="232" t="s">
        <v>227</v>
      </c>
      <c r="C198" s="693"/>
      <c r="D198" s="694"/>
      <c r="E198" s="694"/>
      <c r="F198" s="694"/>
      <c r="G198" s="241">
        <f>G199+G202+G205</f>
        <v>20236</v>
      </c>
      <c r="H198" s="241">
        <f t="shared" ref="H198:N198" si="98">H199+H202+H205</f>
        <v>20236</v>
      </c>
      <c r="I198" s="241">
        <f t="shared" si="98"/>
        <v>8524</v>
      </c>
      <c r="J198" s="241">
        <f t="shared" si="98"/>
        <v>4882</v>
      </c>
      <c r="K198" s="241">
        <f t="shared" si="98"/>
        <v>4882</v>
      </c>
      <c r="L198" s="241">
        <f t="shared" si="98"/>
        <v>4882</v>
      </c>
      <c r="M198" s="241">
        <f t="shared" si="98"/>
        <v>11712</v>
      </c>
      <c r="N198" s="241">
        <f t="shared" si="98"/>
        <v>6265.9499999999989</v>
      </c>
      <c r="O198" s="694"/>
      <c r="P198" s="384"/>
      <c r="Q198" s="384"/>
      <c r="R198" s="398"/>
      <c r="S198" s="133"/>
      <c r="V198" s="400"/>
      <c r="W198" s="401"/>
      <c r="X198" s="402"/>
      <c r="Y198" s="403"/>
      <c r="Z198" s="389"/>
      <c r="AA198" s="402"/>
      <c r="AB198" s="402"/>
      <c r="AC198" s="402"/>
      <c r="AD198" s="404"/>
      <c r="AE198" s="404"/>
      <c r="AF198" s="402"/>
      <c r="AG198" s="405"/>
      <c r="AH198" s="402"/>
      <c r="AI198" s="402"/>
      <c r="AJ198" s="402"/>
      <c r="AK198" s="402"/>
      <c r="AL198" s="402"/>
      <c r="AM198" s="402"/>
    </row>
    <row r="199" spans="1:39" s="399" customFormat="1" ht="15" x14ac:dyDescent="0.2">
      <c r="A199" s="205" t="s">
        <v>28</v>
      </c>
      <c r="B199" s="203" t="s">
        <v>462</v>
      </c>
      <c r="C199" s="671"/>
      <c r="D199" s="674"/>
      <c r="E199" s="672"/>
      <c r="F199" s="674"/>
      <c r="G199" s="206">
        <f>SUM(G200:G201)</f>
        <v>5923</v>
      </c>
      <c r="H199" s="206">
        <f t="shared" ref="H199:N199" si="99">SUM(H200:H201)</f>
        <v>5923</v>
      </c>
      <c r="I199" s="206">
        <f t="shared" si="99"/>
        <v>5424</v>
      </c>
      <c r="J199" s="206">
        <f t="shared" si="99"/>
        <v>1782</v>
      </c>
      <c r="K199" s="206">
        <f t="shared" si="99"/>
        <v>1782</v>
      </c>
      <c r="L199" s="206">
        <f t="shared" si="99"/>
        <v>1782</v>
      </c>
      <c r="M199" s="206">
        <f t="shared" si="99"/>
        <v>499</v>
      </c>
      <c r="N199" s="206">
        <f t="shared" si="99"/>
        <v>499</v>
      </c>
      <c r="O199" s="672"/>
      <c r="P199" s="384"/>
      <c r="Q199" s="384"/>
      <c r="R199" s="398"/>
      <c r="S199" s="133"/>
      <c r="V199" s="400"/>
      <c r="W199" s="401"/>
      <c r="X199" s="402"/>
      <c r="Y199" s="403"/>
      <c r="Z199" s="389"/>
      <c r="AA199" s="402"/>
      <c r="AB199" s="402"/>
      <c r="AC199" s="402"/>
      <c r="AD199" s="404"/>
      <c r="AE199" s="404"/>
      <c r="AF199" s="402"/>
      <c r="AG199" s="405"/>
      <c r="AH199" s="402"/>
      <c r="AI199" s="402"/>
      <c r="AJ199" s="402"/>
      <c r="AK199" s="402"/>
      <c r="AL199" s="402"/>
      <c r="AM199" s="402"/>
    </row>
    <row r="200" spans="1:39" s="399" customFormat="1" ht="30" x14ac:dyDescent="0.2">
      <c r="A200" s="240">
        <v>1</v>
      </c>
      <c r="B200" s="242" t="s">
        <v>228</v>
      </c>
      <c r="C200" s="671" t="s">
        <v>145</v>
      </c>
      <c r="D200" s="674"/>
      <c r="E200" s="672" t="s">
        <v>179</v>
      </c>
      <c r="F200" s="695" t="s">
        <v>230</v>
      </c>
      <c r="G200" s="224">
        <v>2763</v>
      </c>
      <c r="H200" s="314">
        <v>2763</v>
      </c>
      <c r="I200" s="314">
        <f>1700+J200</f>
        <v>2550</v>
      </c>
      <c r="J200" s="314">
        <v>850</v>
      </c>
      <c r="K200" s="314">
        <f>L200</f>
        <v>850</v>
      </c>
      <c r="L200" s="314">
        <v>850</v>
      </c>
      <c r="M200" s="421">
        <f t="shared" ref="M200:M201" si="100">G200-I200</f>
        <v>213</v>
      </c>
      <c r="N200" s="314">
        <f>G200-I200</f>
        <v>213</v>
      </c>
      <c r="O200" s="672"/>
      <c r="P200" s="384"/>
      <c r="Q200" s="384"/>
      <c r="R200" s="398"/>
      <c r="S200" s="133"/>
      <c r="V200" s="400"/>
      <c r="W200" s="401"/>
      <c r="X200" s="402"/>
      <c r="Y200" s="403"/>
      <c r="Z200" s="389"/>
      <c r="AA200" s="402"/>
      <c r="AB200" s="402"/>
      <c r="AC200" s="402"/>
      <c r="AD200" s="404"/>
      <c r="AE200" s="404"/>
      <c r="AF200" s="402"/>
      <c r="AG200" s="405"/>
      <c r="AH200" s="402"/>
      <c r="AI200" s="402"/>
      <c r="AJ200" s="402"/>
      <c r="AK200" s="402"/>
      <c r="AL200" s="402"/>
      <c r="AM200" s="402"/>
    </row>
    <row r="201" spans="1:39" s="399" customFormat="1" ht="30" x14ac:dyDescent="0.2">
      <c r="A201" s="240">
        <v>2</v>
      </c>
      <c r="B201" s="242" t="s">
        <v>229</v>
      </c>
      <c r="C201" s="671" t="s">
        <v>137</v>
      </c>
      <c r="D201" s="674"/>
      <c r="E201" s="672" t="s">
        <v>179</v>
      </c>
      <c r="F201" s="695" t="s">
        <v>231</v>
      </c>
      <c r="G201" s="224">
        <v>3160</v>
      </c>
      <c r="H201" s="314">
        <v>3160</v>
      </c>
      <c r="I201" s="314">
        <f>1942+J201</f>
        <v>2874</v>
      </c>
      <c r="J201" s="314">
        <v>932</v>
      </c>
      <c r="K201" s="314">
        <f>L201</f>
        <v>932</v>
      </c>
      <c r="L201" s="314">
        <v>932</v>
      </c>
      <c r="M201" s="421">
        <f t="shared" si="100"/>
        <v>286</v>
      </c>
      <c r="N201" s="314">
        <f>G201-I201</f>
        <v>286</v>
      </c>
      <c r="O201" s="672"/>
      <c r="P201" s="384"/>
      <c r="Q201" s="384"/>
      <c r="R201" s="398"/>
      <c r="S201" s="133"/>
      <c r="V201" s="400"/>
      <c r="W201" s="401"/>
      <c r="X201" s="402"/>
      <c r="Y201" s="403"/>
      <c r="Z201" s="389"/>
      <c r="AA201" s="402"/>
      <c r="AB201" s="402"/>
      <c r="AC201" s="402"/>
      <c r="AD201" s="404"/>
      <c r="AE201" s="404"/>
      <c r="AF201" s="402"/>
      <c r="AG201" s="405"/>
      <c r="AH201" s="402"/>
      <c r="AI201" s="402"/>
      <c r="AJ201" s="402"/>
      <c r="AK201" s="402"/>
      <c r="AL201" s="402"/>
      <c r="AM201" s="402"/>
    </row>
    <row r="202" spans="1:39" s="399" customFormat="1" ht="15" x14ac:dyDescent="0.2">
      <c r="A202" s="205" t="s">
        <v>30</v>
      </c>
      <c r="B202" s="649" t="s">
        <v>463</v>
      </c>
      <c r="C202" s="671"/>
      <c r="D202" s="674"/>
      <c r="E202" s="672"/>
      <c r="F202" s="695"/>
      <c r="G202" s="206">
        <f>SUM(G203:G204)</f>
        <v>6429</v>
      </c>
      <c r="H202" s="206">
        <f t="shared" ref="H202:N202" si="101">SUM(H203:H204)</f>
        <v>6429</v>
      </c>
      <c r="I202" s="206">
        <f t="shared" si="101"/>
        <v>3100</v>
      </c>
      <c r="J202" s="206">
        <f t="shared" si="101"/>
        <v>3100</v>
      </c>
      <c r="K202" s="206">
        <f t="shared" si="101"/>
        <v>3100</v>
      </c>
      <c r="L202" s="206">
        <f t="shared" si="101"/>
        <v>3100</v>
      </c>
      <c r="M202" s="206">
        <f t="shared" si="101"/>
        <v>3329</v>
      </c>
      <c r="N202" s="206">
        <f t="shared" si="101"/>
        <v>3007.5499999999997</v>
      </c>
      <c r="O202" s="672"/>
      <c r="P202" s="384"/>
      <c r="Q202" s="384"/>
      <c r="R202" s="398"/>
      <c r="S202" s="133"/>
      <c r="V202" s="400"/>
      <c r="W202" s="401"/>
      <c r="X202" s="402"/>
      <c r="Y202" s="403"/>
      <c r="Z202" s="389"/>
      <c r="AA202" s="402"/>
      <c r="AB202" s="402"/>
      <c r="AC202" s="402"/>
      <c r="AD202" s="404"/>
      <c r="AE202" s="404"/>
      <c r="AF202" s="402"/>
      <c r="AG202" s="405"/>
      <c r="AH202" s="402"/>
      <c r="AI202" s="402"/>
      <c r="AJ202" s="402"/>
      <c r="AK202" s="402"/>
      <c r="AL202" s="402"/>
      <c r="AM202" s="402"/>
    </row>
    <row r="203" spans="1:39" s="399" customFormat="1" ht="60" x14ac:dyDescent="0.2">
      <c r="A203" s="667" t="s">
        <v>458</v>
      </c>
      <c r="B203" s="228" t="s">
        <v>507</v>
      </c>
      <c r="C203" s="683" t="s">
        <v>166</v>
      </c>
      <c r="D203" s="684" t="s">
        <v>508</v>
      </c>
      <c r="E203" s="683" t="s">
        <v>466</v>
      </c>
      <c r="F203" s="701" t="s">
        <v>509</v>
      </c>
      <c r="G203" s="224">
        <v>2276</v>
      </c>
      <c r="H203" s="314">
        <v>2276</v>
      </c>
      <c r="I203" s="314">
        <f>J203</f>
        <v>1100</v>
      </c>
      <c r="J203" s="314">
        <v>1100</v>
      </c>
      <c r="K203" s="314">
        <f>L203</f>
        <v>1100</v>
      </c>
      <c r="L203" s="314">
        <v>1100</v>
      </c>
      <c r="M203" s="421">
        <f t="shared" ref="M203:M204" si="102">G203-I203</f>
        <v>1176</v>
      </c>
      <c r="N203" s="314">
        <f>G203*95%-I203</f>
        <v>1062.1999999999998</v>
      </c>
      <c r="O203" s="672"/>
      <c r="P203" s="384"/>
      <c r="Q203" s="384"/>
      <c r="R203" s="398"/>
      <c r="S203" s="133"/>
      <c r="V203" s="400"/>
      <c r="W203" s="401"/>
      <c r="X203" s="402"/>
      <c r="Y203" s="403"/>
      <c r="Z203" s="389"/>
      <c r="AA203" s="402"/>
      <c r="AB203" s="402"/>
      <c r="AC203" s="402"/>
      <c r="AD203" s="404"/>
      <c r="AE203" s="404"/>
      <c r="AF203" s="402"/>
      <c r="AG203" s="405"/>
      <c r="AH203" s="402"/>
      <c r="AI203" s="402"/>
      <c r="AJ203" s="402"/>
      <c r="AK203" s="402"/>
      <c r="AL203" s="402"/>
      <c r="AM203" s="402"/>
    </row>
    <row r="204" spans="1:39" s="399" customFormat="1" ht="30" x14ac:dyDescent="0.2">
      <c r="A204" s="667" t="s">
        <v>468</v>
      </c>
      <c r="B204" s="228" t="s">
        <v>510</v>
      </c>
      <c r="C204" s="683" t="s">
        <v>225</v>
      </c>
      <c r="D204" s="684" t="s">
        <v>511</v>
      </c>
      <c r="E204" s="683" t="s">
        <v>466</v>
      </c>
      <c r="F204" s="701" t="s">
        <v>512</v>
      </c>
      <c r="G204" s="224">
        <v>4153</v>
      </c>
      <c r="H204" s="314">
        <v>4153</v>
      </c>
      <c r="I204" s="314">
        <f>J204</f>
        <v>2000</v>
      </c>
      <c r="J204" s="314">
        <v>2000</v>
      </c>
      <c r="K204" s="314">
        <f>L204</f>
        <v>2000</v>
      </c>
      <c r="L204" s="314">
        <v>2000</v>
      </c>
      <c r="M204" s="421">
        <f t="shared" si="102"/>
        <v>2153</v>
      </c>
      <c r="N204" s="314">
        <f>G204*95%-I204</f>
        <v>1945.35</v>
      </c>
      <c r="O204" s="672"/>
      <c r="P204" s="384"/>
      <c r="Q204" s="384"/>
      <c r="R204" s="398"/>
      <c r="S204" s="133"/>
      <c r="V204" s="400"/>
      <c r="W204" s="401"/>
      <c r="X204" s="402"/>
      <c r="Y204" s="403"/>
      <c r="Z204" s="389"/>
      <c r="AA204" s="402"/>
      <c r="AB204" s="402"/>
      <c r="AC204" s="402"/>
      <c r="AD204" s="404"/>
      <c r="AE204" s="404"/>
      <c r="AF204" s="402"/>
      <c r="AG204" s="405"/>
      <c r="AH204" s="402"/>
      <c r="AI204" s="402"/>
      <c r="AJ204" s="402"/>
      <c r="AK204" s="402"/>
      <c r="AL204" s="402"/>
      <c r="AM204" s="402"/>
    </row>
    <row r="205" spans="1:39" s="708" customFormat="1" ht="15" x14ac:dyDescent="0.2">
      <c r="A205" s="791" t="s">
        <v>32</v>
      </c>
      <c r="B205" s="780" t="s">
        <v>583</v>
      </c>
      <c r="C205" s="843"/>
      <c r="D205" s="838"/>
      <c r="E205" s="843"/>
      <c r="F205" s="845"/>
      <c r="G205" s="792">
        <f t="shared" ref="G205:N205" si="103">SUM(G206:G208)</f>
        <v>7884</v>
      </c>
      <c r="H205" s="792">
        <f t="shared" si="103"/>
        <v>7884</v>
      </c>
      <c r="I205" s="792">
        <f t="shared" si="103"/>
        <v>0</v>
      </c>
      <c r="J205" s="792">
        <f t="shared" si="103"/>
        <v>0</v>
      </c>
      <c r="K205" s="792">
        <f t="shared" si="103"/>
        <v>0</v>
      </c>
      <c r="L205" s="792">
        <f t="shared" si="103"/>
        <v>0</v>
      </c>
      <c r="M205" s="792">
        <f t="shared" si="103"/>
        <v>7884</v>
      </c>
      <c r="N205" s="792">
        <f t="shared" si="103"/>
        <v>2759.3999999999996</v>
      </c>
      <c r="O205" s="827"/>
      <c r="P205" s="705"/>
      <c r="Q205" s="705"/>
      <c r="R205" s="706"/>
      <c r="S205" s="707"/>
      <c r="V205" s="709"/>
      <c r="W205" s="710"/>
      <c r="X205" s="711"/>
      <c r="Y205" s="712"/>
      <c r="Z205" s="713"/>
      <c r="AA205" s="711"/>
      <c r="AB205" s="711"/>
      <c r="AC205" s="711"/>
      <c r="AD205" s="714"/>
      <c r="AE205" s="714"/>
      <c r="AF205" s="711"/>
      <c r="AG205" s="715"/>
      <c r="AH205" s="711"/>
      <c r="AI205" s="711"/>
      <c r="AJ205" s="711"/>
      <c r="AK205" s="711"/>
      <c r="AL205" s="711"/>
      <c r="AM205" s="711"/>
    </row>
    <row r="206" spans="1:39" s="708" customFormat="1" ht="48" x14ac:dyDescent="0.2">
      <c r="A206" s="787" t="s">
        <v>458</v>
      </c>
      <c r="B206" s="793" t="s">
        <v>630</v>
      </c>
      <c r="C206" s="841" t="s">
        <v>328</v>
      </c>
      <c r="D206" s="837" t="s">
        <v>631</v>
      </c>
      <c r="E206" s="843" t="s">
        <v>605</v>
      </c>
      <c r="F206" s="845"/>
      <c r="G206" s="759">
        <v>2134</v>
      </c>
      <c r="H206" s="759">
        <v>2134</v>
      </c>
      <c r="I206" s="760"/>
      <c r="J206" s="760"/>
      <c r="K206" s="760"/>
      <c r="L206" s="760"/>
      <c r="M206" s="760">
        <f t="shared" ref="M206:M208" si="104">G206-I206</f>
        <v>2134</v>
      </c>
      <c r="N206" s="760">
        <f>G206*35%</f>
        <v>746.9</v>
      </c>
      <c r="O206" s="827"/>
      <c r="P206" s="705"/>
      <c r="Q206" s="705"/>
      <c r="R206" s="706"/>
      <c r="S206" s="707"/>
      <c r="V206" s="709"/>
      <c r="W206" s="710"/>
      <c r="X206" s="711"/>
      <c r="Y206" s="712"/>
      <c r="Z206" s="713"/>
      <c r="AA206" s="711"/>
      <c r="AB206" s="711"/>
      <c r="AC206" s="711"/>
      <c r="AD206" s="714"/>
      <c r="AE206" s="714"/>
      <c r="AF206" s="711"/>
      <c r="AG206" s="715"/>
      <c r="AH206" s="711"/>
      <c r="AI206" s="711"/>
      <c r="AJ206" s="711"/>
      <c r="AK206" s="711"/>
      <c r="AL206" s="711"/>
      <c r="AM206" s="711"/>
    </row>
    <row r="207" spans="1:39" s="708" customFormat="1" ht="72" x14ac:dyDescent="0.2">
      <c r="A207" s="787" t="s">
        <v>468</v>
      </c>
      <c r="B207" s="793" t="s">
        <v>696</v>
      </c>
      <c r="C207" s="841" t="s">
        <v>146</v>
      </c>
      <c r="D207" s="837" t="s">
        <v>698</v>
      </c>
      <c r="E207" s="843" t="s">
        <v>605</v>
      </c>
      <c r="F207" s="845"/>
      <c r="G207" s="759">
        <v>1883</v>
      </c>
      <c r="H207" s="759">
        <f>G207</f>
        <v>1883</v>
      </c>
      <c r="I207" s="760"/>
      <c r="J207" s="760"/>
      <c r="K207" s="760"/>
      <c r="L207" s="760"/>
      <c r="M207" s="760">
        <f t="shared" si="104"/>
        <v>1883</v>
      </c>
      <c r="N207" s="760">
        <f t="shared" ref="N207:N208" si="105">G207*35%</f>
        <v>659.05</v>
      </c>
      <c r="O207" s="827"/>
      <c r="P207" s="705"/>
      <c r="Q207" s="705"/>
      <c r="R207" s="706"/>
      <c r="S207" s="707"/>
      <c r="V207" s="709"/>
      <c r="W207" s="710"/>
      <c r="X207" s="711"/>
      <c r="Y207" s="712"/>
      <c r="Z207" s="713"/>
      <c r="AA207" s="711"/>
      <c r="AB207" s="711"/>
      <c r="AC207" s="711"/>
      <c r="AD207" s="714"/>
      <c r="AE207" s="714"/>
      <c r="AF207" s="711"/>
      <c r="AG207" s="715"/>
      <c r="AH207" s="711"/>
      <c r="AI207" s="711"/>
      <c r="AJ207" s="711"/>
      <c r="AK207" s="711"/>
      <c r="AL207" s="711"/>
      <c r="AM207" s="711"/>
    </row>
    <row r="208" spans="1:39" s="708" customFormat="1" ht="60" x14ac:dyDescent="0.2">
      <c r="A208" s="787" t="s">
        <v>472</v>
      </c>
      <c r="B208" s="793" t="s">
        <v>697</v>
      </c>
      <c r="C208" s="841" t="s">
        <v>148</v>
      </c>
      <c r="D208" s="837" t="s">
        <v>714</v>
      </c>
      <c r="E208" s="843" t="s">
        <v>605</v>
      </c>
      <c r="F208" s="845"/>
      <c r="G208" s="759">
        <f>1389+2478</f>
        <v>3867</v>
      </c>
      <c r="H208" s="759">
        <f>G208</f>
        <v>3867</v>
      </c>
      <c r="I208" s="760"/>
      <c r="J208" s="760"/>
      <c r="K208" s="760"/>
      <c r="L208" s="760"/>
      <c r="M208" s="760">
        <f t="shared" si="104"/>
        <v>3867</v>
      </c>
      <c r="N208" s="760">
        <f t="shared" si="105"/>
        <v>1353.4499999999998</v>
      </c>
      <c r="O208" s="857" t="s">
        <v>715</v>
      </c>
      <c r="P208" s="705"/>
      <c r="Q208" s="705"/>
      <c r="R208" s="706"/>
      <c r="S208" s="707"/>
      <c r="V208" s="709"/>
      <c r="W208" s="710"/>
      <c r="X208" s="711"/>
      <c r="Y208" s="712"/>
      <c r="Z208" s="713"/>
      <c r="AA208" s="711"/>
      <c r="AB208" s="711"/>
      <c r="AC208" s="711"/>
      <c r="AD208" s="714"/>
      <c r="AE208" s="714"/>
      <c r="AF208" s="711"/>
      <c r="AG208" s="715"/>
      <c r="AH208" s="711"/>
      <c r="AI208" s="711"/>
      <c r="AJ208" s="711"/>
      <c r="AK208" s="711"/>
      <c r="AL208" s="711"/>
      <c r="AM208" s="711"/>
    </row>
    <row r="209" spans="1:39" s="399" customFormat="1" ht="45" x14ac:dyDescent="0.2">
      <c r="A209" s="651"/>
      <c r="B209" s="232" t="s">
        <v>232</v>
      </c>
      <c r="C209" s="689"/>
      <c r="D209" s="690"/>
      <c r="E209" s="690"/>
      <c r="F209" s="690"/>
      <c r="G209" s="241">
        <f>G210+G225+G232+G233</f>
        <v>7180</v>
      </c>
      <c r="H209" s="241">
        <f t="shared" ref="H209:N209" si="106">H210+H225+H232+H233</f>
        <v>6555</v>
      </c>
      <c r="I209" s="241">
        <f t="shared" si="106"/>
        <v>5205</v>
      </c>
      <c r="J209" s="241">
        <f t="shared" si="106"/>
        <v>3844</v>
      </c>
      <c r="K209" s="241">
        <f t="shared" si="106"/>
        <v>2338</v>
      </c>
      <c r="L209" s="241">
        <f t="shared" si="106"/>
        <v>2338</v>
      </c>
      <c r="M209" s="241">
        <f t="shared" si="106"/>
        <v>1350</v>
      </c>
      <c r="N209" s="241">
        <f t="shared" si="106"/>
        <v>1010</v>
      </c>
      <c r="O209" s="694"/>
      <c r="P209" s="384"/>
      <c r="Q209" s="384"/>
      <c r="R209" s="398"/>
      <c r="S209" s="133"/>
      <c r="V209" s="400"/>
      <c r="W209" s="401"/>
      <c r="X209" s="402"/>
      <c r="Y209" s="403"/>
      <c r="Z209" s="389"/>
      <c r="AA209" s="402"/>
      <c r="AB209" s="402"/>
      <c r="AC209" s="402"/>
      <c r="AD209" s="404"/>
      <c r="AE209" s="404"/>
      <c r="AF209" s="402"/>
      <c r="AG209" s="405"/>
      <c r="AH209" s="402"/>
      <c r="AI209" s="402"/>
      <c r="AJ209" s="402"/>
      <c r="AK209" s="402"/>
      <c r="AL209" s="402"/>
      <c r="AM209" s="402"/>
    </row>
    <row r="210" spans="1:39" s="399" customFormat="1" ht="15" x14ac:dyDescent="0.2">
      <c r="A210" s="205" t="s">
        <v>28</v>
      </c>
      <c r="B210" s="203" t="s">
        <v>695</v>
      </c>
      <c r="C210" s="691"/>
      <c r="D210" s="703"/>
      <c r="E210" s="692"/>
      <c r="F210" s="703"/>
      <c r="G210" s="206">
        <f>G211</f>
        <v>4180</v>
      </c>
      <c r="H210" s="206">
        <f t="shared" ref="H210:N210" si="107">H211</f>
        <v>3705</v>
      </c>
      <c r="I210" s="206">
        <f t="shared" si="107"/>
        <v>3705</v>
      </c>
      <c r="J210" s="206">
        <f t="shared" si="107"/>
        <v>838</v>
      </c>
      <c r="K210" s="206">
        <f t="shared" si="107"/>
        <v>838</v>
      </c>
      <c r="L210" s="206">
        <f t="shared" si="107"/>
        <v>838</v>
      </c>
      <c r="M210" s="206">
        <f t="shared" si="107"/>
        <v>0</v>
      </c>
      <c r="N210" s="206">
        <f t="shared" si="107"/>
        <v>0</v>
      </c>
      <c r="O210" s="672"/>
      <c r="P210" s="384"/>
      <c r="Q210" s="384"/>
      <c r="R210" s="398"/>
      <c r="S210" s="133"/>
      <c r="V210" s="400"/>
      <c r="W210" s="401"/>
      <c r="X210" s="402"/>
      <c r="Y210" s="403"/>
      <c r="Z210" s="389"/>
      <c r="AA210" s="402"/>
      <c r="AB210" s="402"/>
      <c r="AC210" s="402"/>
      <c r="AD210" s="404"/>
      <c r="AE210" s="404"/>
      <c r="AF210" s="402"/>
      <c r="AG210" s="405"/>
      <c r="AH210" s="402"/>
      <c r="AI210" s="402"/>
      <c r="AJ210" s="402"/>
      <c r="AK210" s="402"/>
      <c r="AL210" s="402"/>
      <c r="AM210" s="402"/>
    </row>
    <row r="211" spans="1:39" s="399" customFormat="1" ht="30" x14ac:dyDescent="0.2">
      <c r="A211" s="669" t="s">
        <v>367</v>
      </c>
      <c r="B211" s="228" t="s">
        <v>233</v>
      </c>
      <c r="C211" s="671"/>
      <c r="D211" s="674"/>
      <c r="E211" s="672"/>
      <c r="F211" s="674"/>
      <c r="G211" s="224">
        <f>SUM(G212:G224)</f>
        <v>4180</v>
      </c>
      <c r="H211" s="224">
        <f t="shared" ref="H211:N211" si="108">SUM(H212:H224)</f>
        <v>3705</v>
      </c>
      <c r="I211" s="224">
        <f t="shared" si="108"/>
        <v>3705</v>
      </c>
      <c r="J211" s="224">
        <f t="shared" si="108"/>
        <v>838</v>
      </c>
      <c r="K211" s="224">
        <f t="shared" si="108"/>
        <v>838</v>
      </c>
      <c r="L211" s="224">
        <f t="shared" si="108"/>
        <v>838</v>
      </c>
      <c r="M211" s="224">
        <f t="shared" si="108"/>
        <v>0</v>
      </c>
      <c r="N211" s="224">
        <f t="shared" si="108"/>
        <v>0</v>
      </c>
      <c r="O211" s="672"/>
      <c r="P211" s="384"/>
      <c r="Q211" s="384"/>
      <c r="R211" s="398"/>
      <c r="S211" s="133"/>
      <c r="V211" s="400"/>
      <c r="W211" s="401"/>
      <c r="X211" s="402"/>
      <c r="Y211" s="403"/>
      <c r="Z211" s="389"/>
      <c r="AA211" s="402"/>
      <c r="AB211" s="402"/>
      <c r="AC211" s="402"/>
      <c r="AD211" s="404"/>
      <c r="AE211" s="404"/>
      <c r="AF211" s="402"/>
      <c r="AG211" s="405"/>
      <c r="AH211" s="402"/>
      <c r="AI211" s="402"/>
      <c r="AJ211" s="402"/>
      <c r="AK211" s="402"/>
      <c r="AL211" s="402"/>
      <c r="AM211" s="402"/>
    </row>
    <row r="212" spans="1:39" s="399" customFormat="1" ht="24" x14ac:dyDescent="0.2">
      <c r="A212" s="240">
        <v>1</v>
      </c>
      <c r="B212" s="228" t="s">
        <v>354</v>
      </c>
      <c r="C212" s="697" t="s">
        <v>368</v>
      </c>
      <c r="D212" s="695" t="s">
        <v>372</v>
      </c>
      <c r="E212" s="672" t="s">
        <v>167</v>
      </c>
      <c r="F212" s="704" t="s">
        <v>374</v>
      </c>
      <c r="G212" s="224">
        <v>330</v>
      </c>
      <c r="H212" s="314">
        <v>285</v>
      </c>
      <c r="I212" s="314">
        <f>250+J212</f>
        <v>285</v>
      </c>
      <c r="J212" s="314">
        <v>35</v>
      </c>
      <c r="K212" s="314">
        <f>L212</f>
        <v>35</v>
      </c>
      <c r="L212" s="314">
        <v>35</v>
      </c>
      <c r="M212" s="421">
        <f>H212-I212</f>
        <v>0</v>
      </c>
      <c r="N212" s="314">
        <f>H212-I212</f>
        <v>0</v>
      </c>
      <c r="O212" s="672"/>
      <c r="P212" s="384"/>
      <c r="Q212" s="384"/>
      <c r="R212" s="398"/>
      <c r="S212" s="133"/>
      <c r="V212" s="400"/>
      <c r="W212" s="401"/>
      <c r="X212" s="402"/>
      <c r="Y212" s="403"/>
      <c r="Z212" s="389"/>
      <c r="AA212" s="402"/>
      <c r="AB212" s="402"/>
      <c r="AC212" s="402"/>
      <c r="AD212" s="404"/>
      <c r="AE212" s="404"/>
      <c r="AF212" s="402"/>
      <c r="AG212" s="405"/>
      <c r="AH212" s="402"/>
      <c r="AI212" s="402"/>
      <c r="AJ212" s="402"/>
      <c r="AK212" s="402"/>
      <c r="AL212" s="402"/>
      <c r="AM212" s="402"/>
    </row>
    <row r="213" spans="1:39" s="399" customFormat="1" ht="24" x14ac:dyDescent="0.2">
      <c r="A213" s="240">
        <v>2</v>
      </c>
      <c r="B213" s="228" t="s">
        <v>355</v>
      </c>
      <c r="C213" s="697" t="s">
        <v>368</v>
      </c>
      <c r="D213" s="695" t="s">
        <v>372</v>
      </c>
      <c r="E213" s="672" t="s">
        <v>167</v>
      </c>
      <c r="F213" s="704" t="s">
        <v>375</v>
      </c>
      <c r="G213" s="224">
        <v>330</v>
      </c>
      <c r="H213" s="314">
        <v>285</v>
      </c>
      <c r="I213" s="314">
        <f>250+J213</f>
        <v>285</v>
      </c>
      <c r="J213" s="314">
        <v>35</v>
      </c>
      <c r="K213" s="314">
        <f t="shared" ref="K213:K224" si="109">L213</f>
        <v>35</v>
      </c>
      <c r="L213" s="314">
        <v>35</v>
      </c>
      <c r="M213" s="421">
        <f t="shared" ref="M213:M224" si="110">H213-I213</f>
        <v>0</v>
      </c>
      <c r="N213" s="314">
        <f t="shared" ref="N213:N224" si="111">H213-I213</f>
        <v>0</v>
      </c>
      <c r="O213" s="672"/>
      <c r="P213" s="384"/>
      <c r="Q213" s="384"/>
      <c r="R213" s="398"/>
      <c r="S213" s="133"/>
      <c r="V213" s="400"/>
      <c r="W213" s="401"/>
      <c r="X213" s="402"/>
      <c r="Y213" s="403"/>
      <c r="Z213" s="389"/>
      <c r="AA213" s="402"/>
      <c r="AB213" s="402"/>
      <c r="AC213" s="402"/>
      <c r="AD213" s="404"/>
      <c r="AE213" s="404"/>
      <c r="AF213" s="402"/>
      <c r="AG213" s="405"/>
      <c r="AH213" s="402"/>
      <c r="AI213" s="402"/>
      <c r="AJ213" s="402"/>
      <c r="AK213" s="402"/>
      <c r="AL213" s="402"/>
      <c r="AM213" s="402"/>
    </row>
    <row r="214" spans="1:39" s="399" customFormat="1" ht="24" x14ac:dyDescent="0.2">
      <c r="A214" s="240">
        <v>3</v>
      </c>
      <c r="B214" s="228" t="s">
        <v>356</v>
      </c>
      <c r="C214" s="697" t="s">
        <v>368</v>
      </c>
      <c r="D214" s="695" t="s">
        <v>372</v>
      </c>
      <c r="E214" s="672" t="s">
        <v>167</v>
      </c>
      <c r="F214" s="704" t="s">
        <v>376</v>
      </c>
      <c r="G214" s="224">
        <v>330</v>
      </c>
      <c r="H214" s="314">
        <v>285</v>
      </c>
      <c r="I214" s="314">
        <f>200+J214</f>
        <v>285</v>
      </c>
      <c r="J214" s="314">
        <v>85</v>
      </c>
      <c r="K214" s="314">
        <f t="shared" si="109"/>
        <v>85</v>
      </c>
      <c r="L214" s="314">
        <v>85</v>
      </c>
      <c r="M214" s="421">
        <f t="shared" si="110"/>
        <v>0</v>
      </c>
      <c r="N214" s="314">
        <f t="shared" si="111"/>
        <v>0</v>
      </c>
      <c r="O214" s="672"/>
      <c r="P214" s="384"/>
      <c r="Q214" s="384"/>
      <c r="R214" s="398"/>
      <c r="S214" s="133"/>
      <c r="V214" s="400"/>
      <c r="W214" s="401"/>
      <c r="X214" s="402"/>
      <c r="Y214" s="403"/>
      <c r="Z214" s="389"/>
      <c r="AA214" s="402"/>
      <c r="AB214" s="402"/>
      <c r="AC214" s="402"/>
      <c r="AD214" s="404"/>
      <c r="AE214" s="404"/>
      <c r="AF214" s="402"/>
      <c r="AG214" s="405"/>
      <c r="AH214" s="402"/>
      <c r="AI214" s="402"/>
      <c r="AJ214" s="402"/>
      <c r="AK214" s="402"/>
      <c r="AL214" s="402"/>
      <c r="AM214" s="402"/>
    </row>
    <row r="215" spans="1:39" s="399" customFormat="1" ht="24" x14ac:dyDescent="0.2">
      <c r="A215" s="240">
        <v>4</v>
      </c>
      <c r="B215" s="228" t="s">
        <v>357</v>
      </c>
      <c r="C215" s="673" t="s">
        <v>369</v>
      </c>
      <c r="D215" s="695" t="s">
        <v>372</v>
      </c>
      <c r="E215" s="672" t="s">
        <v>167</v>
      </c>
      <c r="F215" s="704" t="s">
        <v>377</v>
      </c>
      <c r="G215" s="224">
        <v>300</v>
      </c>
      <c r="H215" s="314">
        <v>285</v>
      </c>
      <c r="I215" s="314">
        <f>200+J215</f>
        <v>285</v>
      </c>
      <c r="J215" s="314">
        <v>85</v>
      </c>
      <c r="K215" s="314">
        <f t="shared" si="109"/>
        <v>85</v>
      </c>
      <c r="L215" s="314">
        <v>85</v>
      </c>
      <c r="M215" s="421">
        <f t="shared" si="110"/>
        <v>0</v>
      </c>
      <c r="N215" s="314">
        <f t="shared" si="111"/>
        <v>0</v>
      </c>
      <c r="O215" s="672"/>
      <c r="P215" s="384"/>
      <c r="Q215" s="384"/>
      <c r="R215" s="398"/>
      <c r="S215" s="133"/>
      <c r="V215" s="400"/>
      <c r="W215" s="401"/>
      <c r="X215" s="402"/>
      <c r="Y215" s="403"/>
      <c r="Z215" s="389"/>
      <c r="AA215" s="402"/>
      <c r="AB215" s="402"/>
      <c r="AC215" s="402"/>
      <c r="AD215" s="404"/>
      <c r="AE215" s="404"/>
      <c r="AF215" s="402"/>
      <c r="AG215" s="405"/>
      <c r="AH215" s="402"/>
      <c r="AI215" s="402"/>
      <c r="AJ215" s="402"/>
      <c r="AK215" s="402"/>
      <c r="AL215" s="402"/>
      <c r="AM215" s="402"/>
    </row>
    <row r="216" spans="1:39" s="399" customFormat="1" ht="24" x14ac:dyDescent="0.2">
      <c r="A216" s="240">
        <v>5</v>
      </c>
      <c r="B216" s="228" t="s">
        <v>358</v>
      </c>
      <c r="C216" s="673" t="s">
        <v>369</v>
      </c>
      <c r="D216" s="695" t="s">
        <v>372</v>
      </c>
      <c r="E216" s="672" t="s">
        <v>167</v>
      </c>
      <c r="F216" s="704" t="s">
        <v>378</v>
      </c>
      <c r="G216" s="224">
        <v>300</v>
      </c>
      <c r="H216" s="314">
        <v>285</v>
      </c>
      <c r="I216" s="314">
        <f>200+J216</f>
        <v>285</v>
      </c>
      <c r="J216" s="314">
        <v>85</v>
      </c>
      <c r="K216" s="314">
        <f t="shared" si="109"/>
        <v>85</v>
      </c>
      <c r="L216" s="314">
        <v>85</v>
      </c>
      <c r="M216" s="421">
        <f t="shared" si="110"/>
        <v>0</v>
      </c>
      <c r="N216" s="314">
        <f t="shared" si="111"/>
        <v>0</v>
      </c>
      <c r="O216" s="672"/>
      <c r="P216" s="384"/>
      <c r="Q216" s="384"/>
      <c r="R216" s="398"/>
      <c r="S216" s="133"/>
      <c r="V216" s="400"/>
      <c r="W216" s="401"/>
      <c r="X216" s="402"/>
      <c r="Y216" s="403"/>
      <c r="Z216" s="389"/>
      <c r="AA216" s="402"/>
      <c r="AB216" s="402"/>
      <c r="AC216" s="402"/>
      <c r="AD216" s="404"/>
      <c r="AE216" s="404"/>
      <c r="AF216" s="402"/>
      <c r="AG216" s="405"/>
      <c r="AH216" s="402"/>
      <c r="AI216" s="402"/>
      <c r="AJ216" s="402"/>
      <c r="AK216" s="402"/>
      <c r="AL216" s="402"/>
      <c r="AM216" s="402"/>
    </row>
    <row r="217" spans="1:39" s="399" customFormat="1" ht="24" x14ac:dyDescent="0.2">
      <c r="A217" s="240">
        <v>6</v>
      </c>
      <c r="B217" s="228" t="s">
        <v>359</v>
      </c>
      <c r="C217" s="672" t="s">
        <v>257</v>
      </c>
      <c r="D217" s="695" t="s">
        <v>372</v>
      </c>
      <c r="E217" s="672" t="s">
        <v>167</v>
      </c>
      <c r="F217" s="704" t="s">
        <v>379</v>
      </c>
      <c r="G217" s="224">
        <v>330</v>
      </c>
      <c r="H217" s="314">
        <v>285</v>
      </c>
      <c r="I217" s="314">
        <f>250+J217</f>
        <v>285</v>
      </c>
      <c r="J217" s="314">
        <v>35</v>
      </c>
      <c r="K217" s="314">
        <f t="shared" si="109"/>
        <v>35</v>
      </c>
      <c r="L217" s="314">
        <v>35</v>
      </c>
      <c r="M217" s="421">
        <f t="shared" si="110"/>
        <v>0</v>
      </c>
      <c r="N217" s="314">
        <f t="shared" si="111"/>
        <v>0</v>
      </c>
      <c r="O217" s="672"/>
      <c r="P217" s="384"/>
      <c r="Q217" s="384"/>
      <c r="R217" s="398"/>
      <c r="S217" s="133"/>
      <c r="V217" s="400"/>
      <c r="W217" s="401"/>
      <c r="X217" s="402"/>
      <c r="Y217" s="403"/>
      <c r="Z217" s="389"/>
      <c r="AA217" s="402"/>
      <c r="AB217" s="402"/>
      <c r="AC217" s="402"/>
      <c r="AD217" s="404"/>
      <c r="AE217" s="404"/>
      <c r="AF217" s="402"/>
      <c r="AG217" s="405"/>
      <c r="AH217" s="402"/>
      <c r="AI217" s="402"/>
      <c r="AJ217" s="402"/>
      <c r="AK217" s="402"/>
      <c r="AL217" s="402"/>
      <c r="AM217" s="402"/>
    </row>
    <row r="218" spans="1:39" s="399" customFormat="1" ht="24" x14ac:dyDescent="0.2">
      <c r="A218" s="240">
        <v>7</v>
      </c>
      <c r="B218" s="228" t="s">
        <v>360</v>
      </c>
      <c r="C218" s="672" t="s">
        <v>257</v>
      </c>
      <c r="D218" s="695" t="s">
        <v>372</v>
      </c>
      <c r="E218" s="672" t="s">
        <v>167</v>
      </c>
      <c r="F218" s="704" t="s">
        <v>380</v>
      </c>
      <c r="G218" s="224">
        <v>330</v>
      </c>
      <c r="H218" s="314">
        <v>285</v>
      </c>
      <c r="I218" s="314">
        <f>250+J218</f>
        <v>285</v>
      </c>
      <c r="J218" s="314">
        <v>35</v>
      </c>
      <c r="K218" s="314">
        <f t="shared" si="109"/>
        <v>35</v>
      </c>
      <c r="L218" s="314">
        <v>35</v>
      </c>
      <c r="M218" s="421">
        <f t="shared" si="110"/>
        <v>0</v>
      </c>
      <c r="N218" s="314">
        <f t="shared" si="111"/>
        <v>0</v>
      </c>
      <c r="O218" s="672"/>
      <c r="P218" s="384"/>
      <c r="Q218" s="384"/>
      <c r="R218" s="398"/>
      <c r="S218" s="133"/>
      <c r="V218" s="400"/>
      <c r="W218" s="401"/>
      <c r="X218" s="402"/>
      <c r="Y218" s="403"/>
      <c r="Z218" s="389"/>
      <c r="AA218" s="402"/>
      <c r="AB218" s="402"/>
      <c r="AC218" s="402"/>
      <c r="AD218" s="404"/>
      <c r="AE218" s="404"/>
      <c r="AF218" s="402"/>
      <c r="AG218" s="405"/>
      <c r="AH218" s="402"/>
      <c r="AI218" s="402"/>
      <c r="AJ218" s="402"/>
      <c r="AK218" s="402"/>
      <c r="AL218" s="402"/>
      <c r="AM218" s="402"/>
    </row>
    <row r="219" spans="1:39" s="399" customFormat="1" ht="24" x14ac:dyDescent="0.2">
      <c r="A219" s="240">
        <v>8</v>
      </c>
      <c r="B219" s="228" t="s">
        <v>361</v>
      </c>
      <c r="C219" s="672" t="s">
        <v>257</v>
      </c>
      <c r="D219" s="695" t="s">
        <v>372</v>
      </c>
      <c r="E219" s="672" t="s">
        <v>167</v>
      </c>
      <c r="F219" s="704" t="s">
        <v>381</v>
      </c>
      <c r="G219" s="224">
        <v>330</v>
      </c>
      <c r="H219" s="314">
        <v>285</v>
      </c>
      <c r="I219" s="314">
        <f>200+J219</f>
        <v>285</v>
      </c>
      <c r="J219" s="314">
        <v>85</v>
      </c>
      <c r="K219" s="314">
        <f t="shared" si="109"/>
        <v>85</v>
      </c>
      <c r="L219" s="314">
        <v>85</v>
      </c>
      <c r="M219" s="421">
        <f t="shared" si="110"/>
        <v>0</v>
      </c>
      <c r="N219" s="314">
        <f t="shared" si="111"/>
        <v>0</v>
      </c>
      <c r="O219" s="672"/>
      <c r="P219" s="384"/>
      <c r="Q219" s="384"/>
      <c r="R219" s="398"/>
      <c r="S219" s="133"/>
      <c r="V219" s="400"/>
      <c r="W219" s="401"/>
      <c r="X219" s="402"/>
      <c r="Y219" s="403"/>
      <c r="Z219" s="389"/>
      <c r="AA219" s="402"/>
      <c r="AB219" s="402"/>
      <c r="AC219" s="402"/>
      <c r="AD219" s="404"/>
      <c r="AE219" s="404"/>
      <c r="AF219" s="402"/>
      <c r="AG219" s="405"/>
      <c r="AH219" s="402"/>
      <c r="AI219" s="402"/>
      <c r="AJ219" s="402"/>
      <c r="AK219" s="402"/>
      <c r="AL219" s="402"/>
      <c r="AM219" s="402"/>
    </row>
    <row r="220" spans="1:39" s="399" customFormat="1" ht="24" x14ac:dyDescent="0.2">
      <c r="A220" s="240">
        <v>9</v>
      </c>
      <c r="B220" s="228" t="s">
        <v>362</v>
      </c>
      <c r="C220" s="672" t="s">
        <v>370</v>
      </c>
      <c r="D220" s="695" t="s">
        <v>372</v>
      </c>
      <c r="E220" s="672" t="s">
        <v>167</v>
      </c>
      <c r="F220" s="704" t="s">
        <v>382</v>
      </c>
      <c r="G220" s="224">
        <v>300</v>
      </c>
      <c r="H220" s="314">
        <v>285</v>
      </c>
      <c r="I220" s="314">
        <f>250+J220</f>
        <v>285</v>
      </c>
      <c r="J220" s="314">
        <v>35</v>
      </c>
      <c r="K220" s="314">
        <f t="shared" si="109"/>
        <v>35</v>
      </c>
      <c r="L220" s="314">
        <v>35</v>
      </c>
      <c r="M220" s="421">
        <f t="shared" si="110"/>
        <v>0</v>
      </c>
      <c r="N220" s="314">
        <f t="shared" si="111"/>
        <v>0</v>
      </c>
      <c r="O220" s="672"/>
      <c r="P220" s="384"/>
      <c r="Q220" s="384"/>
      <c r="R220" s="398"/>
      <c r="S220" s="133"/>
      <c r="V220" s="400"/>
      <c r="W220" s="401"/>
      <c r="X220" s="402"/>
      <c r="Y220" s="403"/>
      <c r="Z220" s="389"/>
      <c r="AA220" s="402"/>
      <c r="AB220" s="402"/>
      <c r="AC220" s="402"/>
      <c r="AD220" s="404"/>
      <c r="AE220" s="404"/>
      <c r="AF220" s="402"/>
      <c r="AG220" s="405"/>
      <c r="AH220" s="402"/>
      <c r="AI220" s="402"/>
      <c r="AJ220" s="402"/>
      <c r="AK220" s="402"/>
      <c r="AL220" s="402"/>
      <c r="AM220" s="402"/>
    </row>
    <row r="221" spans="1:39" s="399" customFormat="1" ht="24" x14ac:dyDescent="0.2">
      <c r="A221" s="240">
        <v>10</v>
      </c>
      <c r="B221" s="228" t="s">
        <v>363</v>
      </c>
      <c r="C221" s="672" t="s">
        <v>370</v>
      </c>
      <c r="D221" s="695" t="s">
        <v>372</v>
      </c>
      <c r="E221" s="672" t="s">
        <v>167</v>
      </c>
      <c r="F221" s="704" t="s">
        <v>383</v>
      </c>
      <c r="G221" s="224">
        <v>300</v>
      </c>
      <c r="H221" s="314">
        <v>285</v>
      </c>
      <c r="I221" s="314">
        <f>250+J221</f>
        <v>285</v>
      </c>
      <c r="J221" s="314">
        <v>35</v>
      </c>
      <c r="K221" s="314">
        <f t="shared" si="109"/>
        <v>35</v>
      </c>
      <c r="L221" s="314">
        <v>35</v>
      </c>
      <c r="M221" s="421">
        <f t="shared" si="110"/>
        <v>0</v>
      </c>
      <c r="N221" s="314">
        <f t="shared" si="111"/>
        <v>0</v>
      </c>
      <c r="O221" s="672"/>
      <c r="P221" s="384"/>
      <c r="Q221" s="384"/>
      <c r="R221" s="398"/>
      <c r="S221" s="133"/>
      <c r="V221" s="400"/>
      <c r="W221" s="401"/>
      <c r="X221" s="402"/>
      <c r="Y221" s="403"/>
      <c r="Z221" s="389"/>
      <c r="AA221" s="402"/>
      <c r="AB221" s="402"/>
      <c r="AC221" s="402"/>
      <c r="AD221" s="404"/>
      <c r="AE221" s="404"/>
      <c r="AF221" s="402"/>
      <c r="AG221" s="405"/>
      <c r="AH221" s="402"/>
      <c r="AI221" s="402"/>
      <c r="AJ221" s="402"/>
      <c r="AK221" s="402"/>
      <c r="AL221" s="402"/>
      <c r="AM221" s="402"/>
    </row>
    <row r="222" spans="1:39" s="399" customFormat="1" ht="24" x14ac:dyDescent="0.2">
      <c r="A222" s="240">
        <v>11</v>
      </c>
      <c r="B222" s="228" t="s">
        <v>364</v>
      </c>
      <c r="C222" s="672" t="s">
        <v>370</v>
      </c>
      <c r="D222" s="695" t="s">
        <v>372</v>
      </c>
      <c r="E222" s="672" t="s">
        <v>167</v>
      </c>
      <c r="F222" s="704" t="s">
        <v>384</v>
      </c>
      <c r="G222" s="224">
        <v>300</v>
      </c>
      <c r="H222" s="314">
        <v>285</v>
      </c>
      <c r="I222" s="314">
        <f>200+J222</f>
        <v>285</v>
      </c>
      <c r="J222" s="314">
        <v>85</v>
      </c>
      <c r="K222" s="314">
        <f t="shared" si="109"/>
        <v>85</v>
      </c>
      <c r="L222" s="314">
        <v>85</v>
      </c>
      <c r="M222" s="421">
        <f t="shared" si="110"/>
        <v>0</v>
      </c>
      <c r="N222" s="314">
        <f t="shared" si="111"/>
        <v>0</v>
      </c>
      <c r="O222" s="672"/>
      <c r="P222" s="384"/>
      <c r="Q222" s="384"/>
      <c r="R222" s="398"/>
      <c r="S222" s="133"/>
      <c r="V222" s="400"/>
      <c r="W222" s="401"/>
      <c r="X222" s="402"/>
      <c r="Y222" s="403"/>
      <c r="Z222" s="389"/>
      <c r="AA222" s="402"/>
      <c r="AB222" s="402"/>
      <c r="AC222" s="402"/>
      <c r="AD222" s="404"/>
      <c r="AE222" s="404"/>
      <c r="AF222" s="402"/>
      <c r="AG222" s="405"/>
      <c r="AH222" s="402"/>
      <c r="AI222" s="402"/>
      <c r="AJ222" s="402"/>
      <c r="AK222" s="402"/>
      <c r="AL222" s="402"/>
      <c r="AM222" s="402"/>
    </row>
    <row r="223" spans="1:39" s="399" customFormat="1" ht="24" x14ac:dyDescent="0.2">
      <c r="A223" s="240">
        <v>12</v>
      </c>
      <c r="B223" s="228" t="s">
        <v>365</v>
      </c>
      <c r="C223" s="672" t="s">
        <v>258</v>
      </c>
      <c r="D223" s="695" t="s">
        <v>373</v>
      </c>
      <c r="E223" s="672" t="s">
        <v>167</v>
      </c>
      <c r="F223" s="704" t="s">
        <v>385</v>
      </c>
      <c r="G223" s="224">
        <v>400</v>
      </c>
      <c r="H223" s="314">
        <v>285</v>
      </c>
      <c r="I223" s="314">
        <f>157+J223</f>
        <v>285</v>
      </c>
      <c r="J223" s="314">
        <v>128</v>
      </c>
      <c r="K223" s="314">
        <f t="shared" si="109"/>
        <v>128</v>
      </c>
      <c r="L223" s="314">
        <v>128</v>
      </c>
      <c r="M223" s="421">
        <f t="shared" si="110"/>
        <v>0</v>
      </c>
      <c r="N223" s="314">
        <f t="shared" si="111"/>
        <v>0</v>
      </c>
      <c r="O223" s="672"/>
      <c r="P223" s="384"/>
      <c r="Q223" s="384"/>
      <c r="R223" s="398"/>
      <c r="S223" s="133"/>
      <c r="V223" s="400"/>
      <c r="W223" s="401"/>
      <c r="X223" s="402"/>
      <c r="Y223" s="403"/>
      <c r="Z223" s="389"/>
      <c r="AA223" s="402"/>
      <c r="AB223" s="402"/>
      <c r="AC223" s="402"/>
      <c r="AD223" s="404"/>
      <c r="AE223" s="404"/>
      <c r="AF223" s="402"/>
      <c r="AG223" s="405"/>
      <c r="AH223" s="402"/>
      <c r="AI223" s="402"/>
      <c r="AJ223" s="402"/>
      <c r="AK223" s="402"/>
      <c r="AL223" s="402"/>
      <c r="AM223" s="402"/>
    </row>
    <row r="224" spans="1:39" s="399" customFormat="1" ht="24" x14ac:dyDescent="0.2">
      <c r="A224" s="240">
        <v>13</v>
      </c>
      <c r="B224" s="228" t="s">
        <v>366</v>
      </c>
      <c r="C224" s="672" t="s">
        <v>371</v>
      </c>
      <c r="D224" s="695" t="s">
        <v>372</v>
      </c>
      <c r="E224" s="672" t="s">
        <v>167</v>
      </c>
      <c r="F224" s="704" t="s">
        <v>386</v>
      </c>
      <c r="G224" s="224">
        <v>300</v>
      </c>
      <c r="H224" s="314">
        <v>285</v>
      </c>
      <c r="I224" s="314">
        <f>210+J224</f>
        <v>285</v>
      </c>
      <c r="J224" s="314">
        <v>75</v>
      </c>
      <c r="K224" s="314">
        <f t="shared" si="109"/>
        <v>75</v>
      </c>
      <c r="L224" s="314">
        <v>75</v>
      </c>
      <c r="M224" s="421">
        <f t="shared" si="110"/>
        <v>0</v>
      </c>
      <c r="N224" s="314">
        <f t="shared" si="111"/>
        <v>0</v>
      </c>
      <c r="O224" s="672"/>
      <c r="P224" s="384"/>
      <c r="Q224" s="384"/>
      <c r="R224" s="398"/>
      <c r="S224" s="133"/>
      <c r="V224" s="400"/>
      <c r="W224" s="401"/>
      <c r="X224" s="402"/>
      <c r="Y224" s="403"/>
      <c r="Z224" s="389"/>
      <c r="AA224" s="402"/>
      <c r="AB224" s="402"/>
      <c r="AC224" s="402"/>
      <c r="AD224" s="404"/>
      <c r="AE224" s="404"/>
      <c r="AF224" s="402"/>
      <c r="AG224" s="405"/>
      <c r="AH224" s="402"/>
      <c r="AI224" s="402"/>
      <c r="AJ224" s="402"/>
      <c r="AK224" s="402"/>
      <c r="AL224" s="402"/>
      <c r="AM224" s="402"/>
    </row>
    <row r="225" spans="1:39" s="399" customFormat="1" ht="15" x14ac:dyDescent="0.2">
      <c r="A225" s="205" t="s">
        <v>30</v>
      </c>
      <c r="B225" s="649" t="s">
        <v>463</v>
      </c>
      <c r="C225" s="672"/>
      <c r="D225" s="695"/>
      <c r="E225" s="672"/>
      <c r="F225" s="704"/>
      <c r="G225" s="656">
        <f>SUM(G226:G231)</f>
        <v>1800</v>
      </c>
      <c r="H225" s="656">
        <f t="shared" ref="H225:N225" si="112">SUM(H226:H231)</f>
        <v>1710</v>
      </c>
      <c r="I225" s="656">
        <f t="shared" si="112"/>
        <v>1500</v>
      </c>
      <c r="J225" s="656">
        <f t="shared" si="112"/>
        <v>1500</v>
      </c>
      <c r="K225" s="656">
        <f t="shared" si="112"/>
        <v>1500</v>
      </c>
      <c r="L225" s="656">
        <f t="shared" si="112"/>
        <v>1500</v>
      </c>
      <c r="M225" s="656">
        <f t="shared" si="112"/>
        <v>210</v>
      </c>
      <c r="N225" s="656">
        <f t="shared" si="112"/>
        <v>210</v>
      </c>
      <c r="O225" s="672"/>
      <c r="P225" s="384"/>
      <c r="Q225" s="384"/>
      <c r="R225" s="398"/>
      <c r="S225" s="133"/>
      <c r="V225" s="400"/>
      <c r="W225" s="401"/>
      <c r="X225" s="402"/>
      <c r="Y225" s="403"/>
      <c r="Z225" s="389"/>
      <c r="AA225" s="402"/>
      <c r="AB225" s="402"/>
      <c r="AC225" s="402"/>
      <c r="AD225" s="404"/>
      <c r="AE225" s="404"/>
      <c r="AF225" s="402"/>
      <c r="AG225" s="405"/>
      <c r="AH225" s="402"/>
      <c r="AI225" s="402"/>
      <c r="AJ225" s="402"/>
      <c r="AK225" s="402"/>
      <c r="AL225" s="402"/>
      <c r="AM225" s="402"/>
    </row>
    <row r="226" spans="1:39" s="399" customFormat="1" ht="24" x14ac:dyDescent="0.2">
      <c r="A226" s="667" t="s">
        <v>458</v>
      </c>
      <c r="B226" s="228" t="s">
        <v>513</v>
      </c>
      <c r="C226" s="683" t="s">
        <v>143</v>
      </c>
      <c r="D226" s="683" t="s">
        <v>372</v>
      </c>
      <c r="E226" s="683" t="s">
        <v>478</v>
      </c>
      <c r="F226" s="683" t="s">
        <v>514</v>
      </c>
      <c r="G226" s="224">
        <v>300</v>
      </c>
      <c r="H226" s="314">
        <v>285</v>
      </c>
      <c r="I226" s="314">
        <f>J226</f>
        <v>250</v>
      </c>
      <c r="J226" s="314">
        <v>250</v>
      </c>
      <c r="K226" s="314">
        <f>L226</f>
        <v>250</v>
      </c>
      <c r="L226" s="314">
        <v>250</v>
      </c>
      <c r="M226" s="421">
        <f>H226-I226</f>
        <v>35</v>
      </c>
      <c r="N226" s="314">
        <f>H226-I226</f>
        <v>35</v>
      </c>
      <c r="O226" s="672"/>
      <c r="P226" s="384"/>
      <c r="Q226" s="384"/>
      <c r="R226" s="398"/>
      <c r="S226" s="133"/>
      <c r="V226" s="400"/>
      <c r="W226" s="401"/>
      <c r="X226" s="402"/>
      <c r="Y226" s="403"/>
      <c r="Z226" s="389"/>
      <c r="AA226" s="402"/>
      <c r="AB226" s="402"/>
      <c r="AC226" s="402"/>
      <c r="AD226" s="404"/>
      <c r="AE226" s="404"/>
      <c r="AF226" s="402"/>
      <c r="AG226" s="405"/>
      <c r="AH226" s="402"/>
      <c r="AI226" s="402"/>
      <c r="AJ226" s="402"/>
      <c r="AK226" s="402"/>
      <c r="AL226" s="402"/>
      <c r="AM226" s="402"/>
    </row>
    <row r="227" spans="1:39" s="399" customFormat="1" ht="24" x14ac:dyDescent="0.2">
      <c r="A227" s="667" t="s">
        <v>468</v>
      </c>
      <c r="B227" s="228" t="s">
        <v>515</v>
      </c>
      <c r="C227" s="683" t="s">
        <v>145</v>
      </c>
      <c r="D227" s="683" t="s">
        <v>372</v>
      </c>
      <c r="E227" s="683" t="s">
        <v>478</v>
      </c>
      <c r="F227" s="683" t="s">
        <v>516</v>
      </c>
      <c r="G227" s="314">
        <v>300</v>
      </c>
      <c r="H227" s="314">
        <v>285</v>
      </c>
      <c r="I227" s="314">
        <f t="shared" ref="I227:I231" si="113">J227</f>
        <v>250</v>
      </c>
      <c r="J227" s="314">
        <v>250</v>
      </c>
      <c r="K227" s="314">
        <f t="shared" ref="K227:K231" si="114">L227</f>
        <v>250</v>
      </c>
      <c r="L227" s="314">
        <v>250</v>
      </c>
      <c r="M227" s="421">
        <f t="shared" ref="M227:M231" si="115">H227-I227</f>
        <v>35</v>
      </c>
      <c r="N227" s="314">
        <f t="shared" ref="N227:N231" si="116">H227-I227</f>
        <v>35</v>
      </c>
      <c r="O227" s="672"/>
      <c r="P227" s="384"/>
      <c r="Q227" s="384"/>
      <c r="R227" s="398"/>
      <c r="S227" s="133"/>
      <c r="V227" s="400"/>
      <c r="W227" s="401"/>
      <c r="X227" s="402"/>
      <c r="Y227" s="403"/>
      <c r="Z227" s="389"/>
      <c r="AA227" s="402"/>
      <c r="AB227" s="402"/>
      <c r="AC227" s="402"/>
      <c r="AD227" s="404"/>
      <c r="AE227" s="404"/>
      <c r="AF227" s="402"/>
      <c r="AG227" s="405"/>
      <c r="AH227" s="402"/>
      <c r="AI227" s="402"/>
      <c r="AJ227" s="402"/>
      <c r="AK227" s="402"/>
      <c r="AL227" s="402"/>
      <c r="AM227" s="402"/>
    </row>
    <row r="228" spans="1:39" s="399" customFormat="1" ht="24" x14ac:dyDescent="0.2">
      <c r="A228" s="667" t="s">
        <v>472</v>
      </c>
      <c r="B228" s="228" t="s">
        <v>517</v>
      </c>
      <c r="C228" s="683" t="s">
        <v>141</v>
      </c>
      <c r="D228" s="683" t="s">
        <v>372</v>
      </c>
      <c r="E228" s="683" t="s">
        <v>478</v>
      </c>
      <c r="F228" s="683" t="s">
        <v>518</v>
      </c>
      <c r="G228" s="224">
        <v>300</v>
      </c>
      <c r="H228" s="314">
        <v>285</v>
      </c>
      <c r="I228" s="314">
        <f t="shared" si="113"/>
        <v>250</v>
      </c>
      <c r="J228" s="314">
        <v>250</v>
      </c>
      <c r="K228" s="314">
        <f t="shared" si="114"/>
        <v>250</v>
      </c>
      <c r="L228" s="314">
        <v>250</v>
      </c>
      <c r="M228" s="421">
        <f t="shared" si="115"/>
        <v>35</v>
      </c>
      <c r="N228" s="314">
        <f t="shared" si="116"/>
        <v>35</v>
      </c>
      <c r="O228" s="672"/>
      <c r="P228" s="384"/>
      <c r="Q228" s="384"/>
      <c r="R228" s="398"/>
      <c r="S228" s="133"/>
      <c r="V228" s="400"/>
      <c r="W228" s="401"/>
      <c r="X228" s="402"/>
      <c r="Y228" s="403"/>
      <c r="Z228" s="389"/>
      <c r="AA228" s="402"/>
      <c r="AB228" s="402"/>
      <c r="AC228" s="402"/>
      <c r="AD228" s="404"/>
      <c r="AE228" s="404"/>
      <c r="AF228" s="402"/>
      <c r="AG228" s="405"/>
      <c r="AH228" s="402"/>
      <c r="AI228" s="402"/>
      <c r="AJ228" s="402"/>
      <c r="AK228" s="402"/>
      <c r="AL228" s="402"/>
      <c r="AM228" s="402"/>
    </row>
    <row r="229" spans="1:39" s="399" customFormat="1" ht="24" x14ac:dyDescent="0.2">
      <c r="A229" s="667" t="s">
        <v>504</v>
      </c>
      <c r="B229" s="228" t="s">
        <v>519</v>
      </c>
      <c r="C229" s="683" t="s">
        <v>141</v>
      </c>
      <c r="D229" s="683" t="s">
        <v>372</v>
      </c>
      <c r="E229" s="683" t="s">
        <v>478</v>
      </c>
      <c r="F229" s="683" t="s">
        <v>520</v>
      </c>
      <c r="G229" s="224">
        <v>300</v>
      </c>
      <c r="H229" s="314">
        <v>285</v>
      </c>
      <c r="I229" s="314">
        <f t="shared" si="113"/>
        <v>250</v>
      </c>
      <c r="J229" s="314">
        <v>250</v>
      </c>
      <c r="K229" s="314">
        <f t="shared" si="114"/>
        <v>250</v>
      </c>
      <c r="L229" s="314">
        <v>250</v>
      </c>
      <c r="M229" s="421">
        <f t="shared" si="115"/>
        <v>35</v>
      </c>
      <c r="N229" s="314">
        <f t="shared" si="116"/>
        <v>35</v>
      </c>
      <c r="O229" s="672"/>
      <c r="P229" s="384"/>
      <c r="Q229" s="384"/>
      <c r="R229" s="398"/>
      <c r="S229" s="133"/>
      <c r="V229" s="400"/>
      <c r="W229" s="401"/>
      <c r="X229" s="402"/>
      <c r="Y229" s="403"/>
      <c r="Z229" s="389"/>
      <c r="AA229" s="402"/>
      <c r="AB229" s="402"/>
      <c r="AC229" s="402"/>
      <c r="AD229" s="404"/>
      <c r="AE229" s="404"/>
      <c r="AF229" s="402"/>
      <c r="AG229" s="405"/>
      <c r="AH229" s="402"/>
      <c r="AI229" s="402"/>
      <c r="AJ229" s="402"/>
      <c r="AK229" s="402"/>
      <c r="AL229" s="402"/>
      <c r="AM229" s="402"/>
    </row>
    <row r="230" spans="1:39" s="399" customFormat="1" ht="24" x14ac:dyDescent="0.2">
      <c r="A230" s="667" t="s">
        <v>505</v>
      </c>
      <c r="B230" s="228" t="s">
        <v>521</v>
      </c>
      <c r="C230" s="683" t="s">
        <v>225</v>
      </c>
      <c r="D230" s="683" t="s">
        <v>372</v>
      </c>
      <c r="E230" s="683" t="s">
        <v>478</v>
      </c>
      <c r="F230" s="683" t="s">
        <v>522</v>
      </c>
      <c r="G230" s="224">
        <v>300</v>
      </c>
      <c r="H230" s="314">
        <v>285</v>
      </c>
      <c r="I230" s="314">
        <f t="shared" si="113"/>
        <v>250</v>
      </c>
      <c r="J230" s="314">
        <v>250</v>
      </c>
      <c r="K230" s="314">
        <f t="shared" si="114"/>
        <v>250</v>
      </c>
      <c r="L230" s="314">
        <v>250</v>
      </c>
      <c r="M230" s="421">
        <f t="shared" si="115"/>
        <v>35</v>
      </c>
      <c r="N230" s="314">
        <f t="shared" si="116"/>
        <v>35</v>
      </c>
      <c r="O230" s="672"/>
      <c r="P230" s="384"/>
      <c r="Q230" s="384"/>
      <c r="R230" s="398"/>
      <c r="S230" s="133"/>
      <c r="V230" s="400"/>
      <c r="W230" s="401"/>
      <c r="X230" s="402"/>
      <c r="Y230" s="403"/>
      <c r="Z230" s="389"/>
      <c r="AA230" s="402"/>
      <c r="AB230" s="402"/>
      <c r="AC230" s="402"/>
      <c r="AD230" s="404"/>
      <c r="AE230" s="404"/>
      <c r="AF230" s="402"/>
      <c r="AG230" s="405"/>
      <c r="AH230" s="402"/>
      <c r="AI230" s="402"/>
      <c r="AJ230" s="402"/>
      <c r="AK230" s="402"/>
      <c r="AL230" s="402"/>
      <c r="AM230" s="402"/>
    </row>
    <row r="231" spans="1:39" s="399" customFormat="1" ht="24" x14ac:dyDescent="0.2">
      <c r="A231" s="667" t="s">
        <v>506</v>
      </c>
      <c r="B231" s="228" t="s">
        <v>523</v>
      </c>
      <c r="C231" s="683" t="s">
        <v>225</v>
      </c>
      <c r="D231" s="683" t="s">
        <v>372</v>
      </c>
      <c r="E231" s="683" t="s">
        <v>478</v>
      </c>
      <c r="F231" s="683" t="s">
        <v>524</v>
      </c>
      <c r="G231" s="224">
        <v>300</v>
      </c>
      <c r="H231" s="314">
        <v>285</v>
      </c>
      <c r="I231" s="314">
        <f t="shared" si="113"/>
        <v>250</v>
      </c>
      <c r="J231" s="314">
        <v>250</v>
      </c>
      <c r="K231" s="314">
        <f t="shared" si="114"/>
        <v>250</v>
      </c>
      <c r="L231" s="314">
        <v>250</v>
      </c>
      <c r="M231" s="421">
        <f t="shared" si="115"/>
        <v>35</v>
      </c>
      <c r="N231" s="314">
        <f t="shared" si="116"/>
        <v>35</v>
      </c>
      <c r="O231" s="672"/>
      <c r="P231" s="384"/>
      <c r="Q231" s="384"/>
      <c r="R231" s="398"/>
      <c r="S231" s="133"/>
      <c r="V231" s="400"/>
      <c r="W231" s="401"/>
      <c r="X231" s="402"/>
      <c r="Y231" s="403"/>
      <c r="Z231" s="389"/>
      <c r="AA231" s="402"/>
      <c r="AB231" s="402"/>
      <c r="AC231" s="402"/>
      <c r="AD231" s="404"/>
      <c r="AE231" s="404"/>
      <c r="AF231" s="402"/>
      <c r="AG231" s="405"/>
      <c r="AH231" s="402"/>
      <c r="AI231" s="402"/>
      <c r="AJ231" s="402"/>
      <c r="AK231" s="402"/>
      <c r="AL231" s="402"/>
      <c r="AM231" s="402"/>
    </row>
    <row r="232" spans="1:39" s="399" customFormat="1" ht="15" x14ac:dyDescent="0.2">
      <c r="A232" s="670"/>
      <c r="B232" s="657" t="s">
        <v>531</v>
      </c>
      <c r="C232" s="698"/>
      <c r="D232" s="698"/>
      <c r="E232" s="698"/>
      <c r="F232" s="698"/>
      <c r="G232" s="658"/>
      <c r="H232" s="314"/>
      <c r="I232" s="314"/>
      <c r="J232" s="794">
        <v>1506</v>
      </c>
      <c r="K232" s="314"/>
      <c r="L232" s="314"/>
      <c r="M232" s="314"/>
      <c r="N232" s="314"/>
      <c r="O232" s="672"/>
      <c r="P232" s="384"/>
      <c r="Q232" s="384"/>
      <c r="R232" s="398"/>
      <c r="S232" s="133"/>
      <c r="V232" s="400"/>
      <c r="W232" s="401"/>
      <c r="X232" s="402"/>
      <c r="Y232" s="403"/>
      <c r="Z232" s="389"/>
      <c r="AA232" s="402"/>
      <c r="AB232" s="402"/>
      <c r="AC232" s="402"/>
      <c r="AD232" s="404"/>
      <c r="AE232" s="404"/>
      <c r="AF232" s="402"/>
      <c r="AG232" s="405"/>
      <c r="AH232" s="402"/>
      <c r="AI232" s="402"/>
      <c r="AJ232" s="402"/>
      <c r="AK232" s="402"/>
      <c r="AL232" s="402"/>
      <c r="AM232" s="402"/>
    </row>
    <row r="233" spans="1:39" s="708" customFormat="1" ht="15" x14ac:dyDescent="0.2">
      <c r="A233" s="791" t="s">
        <v>32</v>
      </c>
      <c r="B233" s="780" t="s">
        <v>583</v>
      </c>
      <c r="C233" s="843"/>
      <c r="D233" s="843"/>
      <c r="E233" s="843"/>
      <c r="F233" s="843"/>
      <c r="G233" s="792">
        <f>SUM(G234:G237)</f>
        <v>1200</v>
      </c>
      <c r="H233" s="792">
        <f t="shared" ref="H233:N233" si="117">SUM(H234:H237)</f>
        <v>1140</v>
      </c>
      <c r="I233" s="792">
        <f t="shared" si="117"/>
        <v>0</v>
      </c>
      <c r="J233" s="792">
        <f t="shared" si="117"/>
        <v>0</v>
      </c>
      <c r="K233" s="792">
        <f t="shared" si="117"/>
        <v>0</v>
      </c>
      <c r="L233" s="792">
        <f t="shared" si="117"/>
        <v>0</v>
      </c>
      <c r="M233" s="792">
        <f t="shared" si="117"/>
        <v>1140</v>
      </c>
      <c r="N233" s="792">
        <f t="shared" si="117"/>
        <v>800</v>
      </c>
      <c r="O233" s="827"/>
      <c r="P233" s="705"/>
      <c r="Q233" s="705"/>
      <c r="R233" s="706"/>
      <c r="S233" s="707"/>
      <c r="V233" s="709"/>
      <c r="W233" s="710"/>
      <c r="X233" s="711"/>
      <c r="Y233" s="712"/>
      <c r="Z233" s="713"/>
      <c r="AA233" s="711"/>
      <c r="AB233" s="711"/>
      <c r="AC233" s="711"/>
      <c r="AD233" s="714"/>
      <c r="AE233" s="714"/>
      <c r="AF233" s="711"/>
      <c r="AG233" s="715"/>
      <c r="AH233" s="711"/>
      <c r="AI233" s="711"/>
      <c r="AJ233" s="711"/>
      <c r="AK233" s="711"/>
      <c r="AL233" s="711"/>
      <c r="AM233" s="711"/>
    </row>
    <row r="234" spans="1:39" s="708" customFormat="1" ht="20.45" customHeight="1" x14ac:dyDescent="0.2">
      <c r="A234" s="787" t="s">
        <v>458</v>
      </c>
      <c r="B234" s="795" t="s">
        <v>632</v>
      </c>
      <c r="C234" s="841" t="s">
        <v>143</v>
      </c>
      <c r="D234" s="843" t="s">
        <v>372</v>
      </c>
      <c r="E234" s="843" t="s">
        <v>605</v>
      </c>
      <c r="F234" s="843"/>
      <c r="G234" s="759">
        <v>300</v>
      </c>
      <c r="H234" s="760">
        <v>285</v>
      </c>
      <c r="I234" s="760"/>
      <c r="J234" s="760"/>
      <c r="K234" s="760"/>
      <c r="L234" s="760"/>
      <c r="M234" s="760">
        <f>H234-I234</f>
        <v>285</v>
      </c>
      <c r="N234" s="760">
        <v>200</v>
      </c>
      <c r="O234" s="827"/>
      <c r="P234" s="705"/>
      <c r="Q234" s="705"/>
      <c r="R234" s="706"/>
      <c r="S234" s="707"/>
      <c r="V234" s="709"/>
      <c r="W234" s="710"/>
      <c r="X234" s="711"/>
      <c r="Y234" s="712"/>
      <c r="Z234" s="713"/>
      <c r="AA234" s="711"/>
      <c r="AB234" s="711"/>
      <c r="AC234" s="711"/>
      <c r="AD234" s="714"/>
      <c r="AE234" s="714"/>
      <c r="AF234" s="711"/>
      <c r="AG234" s="715"/>
      <c r="AH234" s="711"/>
      <c r="AI234" s="711"/>
      <c r="AJ234" s="711"/>
      <c r="AK234" s="711"/>
      <c r="AL234" s="711"/>
      <c r="AM234" s="711"/>
    </row>
    <row r="235" spans="1:39" s="708" customFormat="1" ht="20.45" customHeight="1" x14ac:dyDescent="0.2">
      <c r="A235" s="787" t="s">
        <v>468</v>
      </c>
      <c r="B235" s="795" t="s">
        <v>699</v>
      </c>
      <c r="C235" s="841" t="s">
        <v>137</v>
      </c>
      <c r="D235" s="843" t="s">
        <v>372</v>
      </c>
      <c r="E235" s="843" t="s">
        <v>605</v>
      </c>
      <c r="F235" s="843"/>
      <c r="G235" s="759">
        <v>300</v>
      </c>
      <c r="H235" s="760">
        <v>285</v>
      </c>
      <c r="I235" s="760"/>
      <c r="J235" s="760"/>
      <c r="K235" s="760"/>
      <c r="L235" s="760"/>
      <c r="M235" s="760">
        <f t="shared" ref="M235:M236" si="118">H235-I235</f>
        <v>285</v>
      </c>
      <c r="N235" s="760">
        <v>200</v>
      </c>
      <c r="O235" s="827"/>
      <c r="P235" s="705"/>
      <c r="Q235" s="705"/>
      <c r="R235" s="706"/>
      <c r="S235" s="707"/>
      <c r="V235" s="709"/>
      <c r="W235" s="710"/>
      <c r="X235" s="711"/>
      <c r="Y235" s="712"/>
      <c r="Z235" s="713"/>
      <c r="AA235" s="711"/>
      <c r="AB235" s="711"/>
      <c r="AC235" s="711"/>
      <c r="AD235" s="714"/>
      <c r="AE235" s="714"/>
      <c r="AF235" s="711"/>
      <c r="AG235" s="715"/>
      <c r="AH235" s="711"/>
      <c r="AI235" s="711"/>
      <c r="AJ235" s="711"/>
      <c r="AK235" s="711"/>
      <c r="AL235" s="711"/>
      <c r="AM235" s="711"/>
    </row>
    <row r="236" spans="1:39" s="708" customFormat="1" ht="20.45" customHeight="1" x14ac:dyDescent="0.2">
      <c r="A236" s="787" t="s">
        <v>472</v>
      </c>
      <c r="B236" s="795" t="s">
        <v>700</v>
      </c>
      <c r="C236" s="841" t="s">
        <v>137</v>
      </c>
      <c r="D236" s="843" t="s">
        <v>372</v>
      </c>
      <c r="E236" s="843" t="s">
        <v>605</v>
      </c>
      <c r="F236" s="843"/>
      <c r="G236" s="759">
        <v>300</v>
      </c>
      <c r="H236" s="760">
        <v>285</v>
      </c>
      <c r="I236" s="760"/>
      <c r="J236" s="760"/>
      <c r="K236" s="760"/>
      <c r="L236" s="760"/>
      <c r="M236" s="760">
        <f t="shared" si="118"/>
        <v>285</v>
      </c>
      <c r="N236" s="760">
        <v>200</v>
      </c>
      <c r="O236" s="827"/>
      <c r="P236" s="705"/>
      <c r="Q236" s="705"/>
      <c r="R236" s="706"/>
      <c r="S236" s="707"/>
      <c r="V236" s="709"/>
      <c r="W236" s="710"/>
      <c r="X236" s="711"/>
      <c r="Y236" s="712"/>
      <c r="Z236" s="713"/>
      <c r="AA236" s="711"/>
      <c r="AB236" s="711"/>
      <c r="AC236" s="711"/>
      <c r="AD236" s="714"/>
      <c r="AE236" s="714"/>
      <c r="AF236" s="711"/>
      <c r="AG236" s="715"/>
      <c r="AH236" s="711"/>
      <c r="AI236" s="711"/>
      <c r="AJ236" s="711"/>
      <c r="AK236" s="711"/>
      <c r="AL236" s="711"/>
      <c r="AM236" s="711"/>
    </row>
    <row r="237" spans="1:39" s="708" customFormat="1" ht="20.45" customHeight="1" x14ac:dyDescent="0.2">
      <c r="A237" s="787" t="s">
        <v>504</v>
      </c>
      <c r="B237" s="795" t="s">
        <v>633</v>
      </c>
      <c r="C237" s="841" t="s">
        <v>141</v>
      </c>
      <c r="D237" s="843" t="s">
        <v>372</v>
      </c>
      <c r="E237" s="843" t="s">
        <v>605</v>
      </c>
      <c r="F237" s="843"/>
      <c r="G237" s="759">
        <v>300</v>
      </c>
      <c r="H237" s="760">
        <v>285</v>
      </c>
      <c r="I237" s="760"/>
      <c r="J237" s="760"/>
      <c r="K237" s="760"/>
      <c r="L237" s="760"/>
      <c r="M237" s="760">
        <f>H237-I237</f>
        <v>285</v>
      </c>
      <c r="N237" s="760">
        <v>200</v>
      </c>
      <c r="O237" s="827"/>
      <c r="P237" s="705"/>
      <c r="Q237" s="705"/>
      <c r="R237" s="706"/>
      <c r="S237" s="707"/>
      <c r="V237" s="709"/>
      <c r="W237" s="710"/>
      <c r="X237" s="711"/>
      <c r="Y237" s="712"/>
      <c r="Z237" s="713"/>
      <c r="AA237" s="711"/>
      <c r="AB237" s="711"/>
      <c r="AC237" s="711"/>
      <c r="AD237" s="714"/>
      <c r="AE237" s="714"/>
      <c r="AF237" s="711"/>
      <c r="AG237" s="715"/>
      <c r="AH237" s="711"/>
      <c r="AI237" s="711"/>
      <c r="AJ237" s="711"/>
      <c r="AK237" s="711"/>
      <c r="AL237" s="711"/>
      <c r="AM237" s="711"/>
    </row>
    <row r="238" spans="1:39" s="399" customFormat="1" ht="60" x14ac:dyDescent="0.2">
      <c r="A238" s="235"/>
      <c r="B238" s="232" t="s">
        <v>234</v>
      </c>
      <c r="C238" s="693"/>
      <c r="D238" s="694"/>
      <c r="E238" s="694"/>
      <c r="F238" s="694"/>
      <c r="G238" s="241">
        <f>G239+G250+G252</f>
        <v>75664</v>
      </c>
      <c r="H238" s="241">
        <f t="shared" ref="H238:N238" si="119">H239+H250+H252</f>
        <v>74914</v>
      </c>
      <c r="I238" s="241">
        <f t="shared" si="119"/>
        <v>38618</v>
      </c>
      <c r="J238" s="241">
        <f t="shared" si="119"/>
        <v>22552</v>
      </c>
      <c r="K238" s="241">
        <f t="shared" si="119"/>
        <v>22552</v>
      </c>
      <c r="L238" s="241">
        <f t="shared" si="119"/>
        <v>22552</v>
      </c>
      <c r="M238" s="241">
        <f t="shared" si="119"/>
        <v>37046</v>
      </c>
      <c r="N238" s="241">
        <f t="shared" si="119"/>
        <v>25340</v>
      </c>
      <c r="O238" s="694"/>
      <c r="P238" s="384"/>
      <c r="Q238" s="384"/>
      <c r="R238" s="398"/>
      <c r="S238" s="133"/>
      <c r="V238" s="400"/>
      <c r="W238" s="401"/>
      <c r="X238" s="402"/>
      <c r="Y238" s="403"/>
      <c r="Z238" s="389"/>
      <c r="AA238" s="402"/>
      <c r="AB238" s="402"/>
      <c r="AC238" s="402"/>
      <c r="AD238" s="404"/>
      <c r="AE238" s="404"/>
      <c r="AF238" s="402"/>
      <c r="AG238" s="405"/>
      <c r="AH238" s="402"/>
      <c r="AI238" s="402"/>
      <c r="AJ238" s="402"/>
      <c r="AK238" s="402"/>
      <c r="AL238" s="402"/>
      <c r="AM238" s="402"/>
    </row>
    <row r="239" spans="1:39" s="399" customFormat="1" ht="28.9" customHeight="1" x14ac:dyDescent="0.2">
      <c r="A239" s="205" t="s">
        <v>28</v>
      </c>
      <c r="B239" s="203" t="s">
        <v>462</v>
      </c>
      <c r="C239" s="671"/>
      <c r="D239" s="674"/>
      <c r="E239" s="672"/>
      <c r="F239" s="674"/>
      <c r="G239" s="206">
        <f>SUM(G240:G249)</f>
        <v>47004</v>
      </c>
      <c r="H239" s="206">
        <f t="shared" ref="H239:N239" si="120">SUM(H240:H249)</f>
        <v>47004</v>
      </c>
      <c r="I239" s="206">
        <f t="shared" si="120"/>
        <v>35618</v>
      </c>
      <c r="J239" s="206">
        <f t="shared" si="120"/>
        <v>19552</v>
      </c>
      <c r="K239" s="206">
        <f t="shared" si="120"/>
        <v>19552</v>
      </c>
      <c r="L239" s="206">
        <f t="shared" si="120"/>
        <v>19552</v>
      </c>
      <c r="M239" s="206">
        <f t="shared" si="120"/>
        <v>11386</v>
      </c>
      <c r="N239" s="206">
        <f t="shared" si="120"/>
        <v>11386</v>
      </c>
      <c r="O239" s="672"/>
      <c r="P239" s="384"/>
      <c r="Q239" s="384"/>
      <c r="R239" s="398"/>
      <c r="S239" s="133"/>
      <c r="V239" s="400"/>
      <c r="W239" s="401"/>
      <c r="X239" s="402"/>
      <c r="Y239" s="403"/>
      <c r="Z239" s="389"/>
      <c r="AA239" s="402"/>
      <c r="AB239" s="402"/>
      <c r="AC239" s="402"/>
      <c r="AD239" s="404"/>
      <c r="AE239" s="404"/>
      <c r="AF239" s="402"/>
      <c r="AG239" s="405"/>
      <c r="AH239" s="402"/>
      <c r="AI239" s="402"/>
      <c r="AJ239" s="402"/>
      <c r="AK239" s="402"/>
      <c r="AL239" s="402"/>
      <c r="AM239" s="402"/>
    </row>
    <row r="240" spans="1:39" s="399" customFormat="1" ht="30" x14ac:dyDescent="0.2">
      <c r="A240" s="240">
        <v>1</v>
      </c>
      <c r="B240" s="184" t="s">
        <v>235</v>
      </c>
      <c r="C240" s="671" t="s">
        <v>225</v>
      </c>
      <c r="D240" s="674"/>
      <c r="E240" s="672" t="s">
        <v>179</v>
      </c>
      <c r="F240" s="699" t="s">
        <v>410</v>
      </c>
      <c r="G240" s="224">
        <v>2700</v>
      </c>
      <c r="H240" s="314">
        <v>2700</v>
      </c>
      <c r="I240" s="314">
        <f>1300+J240</f>
        <v>2400</v>
      </c>
      <c r="J240" s="314">
        <v>1100</v>
      </c>
      <c r="K240" s="314">
        <f>L240</f>
        <v>1100</v>
      </c>
      <c r="L240" s="314">
        <v>1100</v>
      </c>
      <c r="M240" s="421">
        <f t="shared" ref="M240:M249" si="121">G240-I240</f>
        <v>300</v>
      </c>
      <c r="N240" s="314">
        <f>G240-I240</f>
        <v>300</v>
      </c>
      <c r="O240" s="672"/>
      <c r="P240" s="384"/>
      <c r="Q240" s="384"/>
      <c r="R240" s="398"/>
      <c r="S240" s="133"/>
      <c r="V240" s="400"/>
      <c r="W240" s="401"/>
      <c r="X240" s="402"/>
      <c r="Y240" s="403"/>
      <c r="Z240" s="389"/>
      <c r="AA240" s="402"/>
      <c r="AB240" s="402"/>
      <c r="AC240" s="402"/>
      <c r="AD240" s="404"/>
      <c r="AE240" s="404"/>
      <c r="AF240" s="402"/>
      <c r="AG240" s="405"/>
      <c r="AH240" s="402"/>
      <c r="AI240" s="402"/>
      <c r="AJ240" s="402"/>
      <c r="AK240" s="402"/>
      <c r="AL240" s="402"/>
      <c r="AM240" s="402"/>
    </row>
    <row r="241" spans="1:39" s="399" customFormat="1" ht="24" x14ac:dyDescent="0.2">
      <c r="A241" s="240">
        <v>2</v>
      </c>
      <c r="B241" s="184" t="s">
        <v>236</v>
      </c>
      <c r="C241" s="671" t="s">
        <v>146</v>
      </c>
      <c r="D241" s="674" t="s">
        <v>408</v>
      </c>
      <c r="E241" s="672" t="s">
        <v>179</v>
      </c>
      <c r="F241" s="699" t="s">
        <v>240</v>
      </c>
      <c r="G241" s="224">
        <v>1600</v>
      </c>
      <c r="H241" s="314">
        <v>1600</v>
      </c>
      <c r="I241" s="314">
        <f>800+J241</f>
        <v>1400</v>
      </c>
      <c r="J241" s="314">
        <v>600</v>
      </c>
      <c r="K241" s="314">
        <f t="shared" ref="K241:K251" si="122">L241</f>
        <v>600</v>
      </c>
      <c r="L241" s="314">
        <v>600</v>
      </c>
      <c r="M241" s="421">
        <f t="shared" si="121"/>
        <v>200</v>
      </c>
      <c r="N241" s="314">
        <f t="shared" ref="N241:N249" si="123">G241-I241</f>
        <v>200</v>
      </c>
      <c r="O241" s="672"/>
      <c r="P241" s="384"/>
      <c r="Q241" s="384"/>
      <c r="R241" s="398"/>
      <c r="S241" s="133"/>
      <c r="V241" s="400"/>
      <c r="W241" s="401"/>
      <c r="X241" s="402"/>
      <c r="Y241" s="403"/>
      <c r="Z241" s="389"/>
      <c r="AA241" s="402"/>
      <c r="AB241" s="402"/>
      <c r="AC241" s="402"/>
      <c r="AD241" s="404"/>
      <c r="AE241" s="404"/>
      <c r="AF241" s="402"/>
      <c r="AG241" s="405"/>
      <c r="AH241" s="402"/>
      <c r="AI241" s="402"/>
      <c r="AJ241" s="402"/>
      <c r="AK241" s="402"/>
      <c r="AL241" s="402"/>
      <c r="AM241" s="402"/>
    </row>
    <row r="242" spans="1:39" s="399" customFormat="1" ht="24" x14ac:dyDescent="0.2">
      <c r="A242" s="240">
        <v>3</v>
      </c>
      <c r="B242" s="184" t="s">
        <v>237</v>
      </c>
      <c r="C242" s="671" t="s">
        <v>146</v>
      </c>
      <c r="D242" s="674" t="s">
        <v>408</v>
      </c>
      <c r="E242" s="672" t="s">
        <v>179</v>
      </c>
      <c r="F242" s="699" t="s">
        <v>241</v>
      </c>
      <c r="G242" s="224">
        <v>1600</v>
      </c>
      <c r="H242" s="314">
        <v>1600</v>
      </c>
      <c r="I242" s="314">
        <f>800+J242</f>
        <v>1400</v>
      </c>
      <c r="J242" s="314">
        <v>600</v>
      </c>
      <c r="K242" s="314">
        <f t="shared" si="122"/>
        <v>600</v>
      </c>
      <c r="L242" s="314">
        <v>600</v>
      </c>
      <c r="M242" s="421">
        <f t="shared" si="121"/>
        <v>200</v>
      </c>
      <c r="N242" s="314">
        <f t="shared" si="123"/>
        <v>200</v>
      </c>
      <c r="O242" s="672"/>
      <c r="P242" s="384"/>
      <c r="Q242" s="384"/>
      <c r="R242" s="398"/>
      <c r="S242" s="133"/>
      <c r="V242" s="400"/>
      <c r="W242" s="401"/>
      <c r="X242" s="402"/>
      <c r="Y242" s="403"/>
      <c r="Z242" s="389"/>
      <c r="AA242" s="402"/>
      <c r="AB242" s="402"/>
      <c r="AC242" s="402"/>
      <c r="AD242" s="404"/>
      <c r="AE242" s="404"/>
      <c r="AF242" s="402"/>
      <c r="AG242" s="405"/>
      <c r="AH242" s="402"/>
      <c r="AI242" s="402"/>
      <c r="AJ242" s="402"/>
      <c r="AK242" s="402"/>
      <c r="AL242" s="402"/>
      <c r="AM242" s="402"/>
    </row>
    <row r="243" spans="1:39" s="399" customFormat="1" ht="24" x14ac:dyDescent="0.2">
      <c r="A243" s="240">
        <v>4</v>
      </c>
      <c r="B243" s="184" t="s">
        <v>238</v>
      </c>
      <c r="C243" s="671" t="s">
        <v>147</v>
      </c>
      <c r="D243" s="674" t="s">
        <v>409</v>
      </c>
      <c r="E243" s="672" t="s">
        <v>179</v>
      </c>
      <c r="F243" s="699" t="s">
        <v>242</v>
      </c>
      <c r="G243" s="224">
        <v>13500</v>
      </c>
      <c r="H243" s="314">
        <v>13500</v>
      </c>
      <c r="I243" s="314">
        <f>4186+J243</f>
        <v>10186</v>
      </c>
      <c r="J243" s="314">
        <v>6000</v>
      </c>
      <c r="K243" s="314">
        <f t="shared" si="122"/>
        <v>6000</v>
      </c>
      <c r="L243" s="314">
        <v>6000</v>
      </c>
      <c r="M243" s="421">
        <f t="shared" si="121"/>
        <v>3314</v>
      </c>
      <c r="N243" s="314">
        <f t="shared" si="123"/>
        <v>3314</v>
      </c>
      <c r="O243" s="672"/>
      <c r="P243" s="384"/>
      <c r="Q243" s="384"/>
      <c r="R243" s="398"/>
      <c r="S243" s="133"/>
      <c r="V243" s="400"/>
      <c r="W243" s="401"/>
      <c r="X243" s="402"/>
      <c r="Y243" s="403"/>
      <c r="Z243" s="389"/>
      <c r="AA243" s="402"/>
      <c r="AB243" s="402"/>
      <c r="AC243" s="402"/>
      <c r="AD243" s="404"/>
      <c r="AE243" s="404"/>
      <c r="AF243" s="402"/>
      <c r="AG243" s="405"/>
      <c r="AH243" s="402"/>
      <c r="AI243" s="402"/>
      <c r="AJ243" s="402"/>
      <c r="AK243" s="402"/>
      <c r="AL243" s="402"/>
      <c r="AM243" s="402"/>
    </row>
    <row r="244" spans="1:39" s="399" customFormat="1" ht="30" x14ac:dyDescent="0.2">
      <c r="A244" s="240">
        <v>5</v>
      </c>
      <c r="B244" s="184" t="s">
        <v>239</v>
      </c>
      <c r="C244" s="671" t="s">
        <v>166</v>
      </c>
      <c r="D244" s="674"/>
      <c r="E244" s="672" t="s">
        <v>179</v>
      </c>
      <c r="F244" s="699" t="s">
        <v>243</v>
      </c>
      <c r="G244" s="224">
        <v>3000</v>
      </c>
      <c r="H244" s="314">
        <v>3000</v>
      </c>
      <c r="I244" s="314">
        <f>1500+J244</f>
        <v>2600</v>
      </c>
      <c r="J244" s="314">
        <v>1100</v>
      </c>
      <c r="K244" s="314">
        <f t="shared" si="122"/>
        <v>1100</v>
      </c>
      <c r="L244" s="314">
        <v>1100</v>
      </c>
      <c r="M244" s="421">
        <f t="shared" si="121"/>
        <v>400</v>
      </c>
      <c r="N244" s="314">
        <f t="shared" si="123"/>
        <v>400</v>
      </c>
      <c r="O244" s="672"/>
      <c r="P244" s="384"/>
      <c r="Q244" s="384"/>
      <c r="R244" s="398"/>
      <c r="S244" s="133"/>
      <c r="V244" s="400"/>
      <c r="W244" s="401"/>
      <c r="X244" s="402"/>
      <c r="Y244" s="403"/>
      <c r="Z244" s="389"/>
      <c r="AA244" s="402"/>
      <c r="AB244" s="402"/>
      <c r="AC244" s="402"/>
      <c r="AD244" s="404"/>
      <c r="AE244" s="404"/>
      <c r="AF244" s="402"/>
      <c r="AG244" s="405"/>
      <c r="AH244" s="402"/>
      <c r="AI244" s="402"/>
      <c r="AJ244" s="402"/>
      <c r="AK244" s="402"/>
      <c r="AL244" s="402"/>
      <c r="AM244" s="402"/>
    </row>
    <row r="245" spans="1:39" s="399" customFormat="1" ht="36" x14ac:dyDescent="0.2">
      <c r="A245" s="240">
        <v>6</v>
      </c>
      <c r="B245" s="184" t="s">
        <v>387</v>
      </c>
      <c r="C245" s="699" t="s">
        <v>260</v>
      </c>
      <c r="D245" s="699" t="s">
        <v>392</v>
      </c>
      <c r="E245" s="672" t="s">
        <v>179</v>
      </c>
      <c r="F245" s="699" t="s">
        <v>397</v>
      </c>
      <c r="G245" s="224">
        <v>19542</v>
      </c>
      <c r="H245" s="314">
        <v>19542</v>
      </c>
      <c r="I245" s="314">
        <f>5000+J245</f>
        <v>13000</v>
      </c>
      <c r="J245" s="314">
        <v>8000</v>
      </c>
      <c r="K245" s="314">
        <f t="shared" si="122"/>
        <v>8000</v>
      </c>
      <c r="L245" s="314">
        <v>8000</v>
      </c>
      <c r="M245" s="421">
        <f t="shared" si="121"/>
        <v>6542</v>
      </c>
      <c r="N245" s="314">
        <f t="shared" si="123"/>
        <v>6542</v>
      </c>
      <c r="O245" s="672"/>
      <c r="P245" s="384"/>
      <c r="Q245" s="384"/>
      <c r="R245" s="398"/>
      <c r="S245" s="133"/>
      <c r="V245" s="400"/>
      <c r="W245" s="401"/>
      <c r="X245" s="402"/>
      <c r="Y245" s="403"/>
      <c r="Z245" s="389"/>
      <c r="AA245" s="402"/>
      <c r="AB245" s="402"/>
      <c r="AC245" s="402"/>
      <c r="AD245" s="404"/>
      <c r="AE245" s="404"/>
      <c r="AF245" s="402"/>
      <c r="AG245" s="405"/>
      <c r="AH245" s="402"/>
      <c r="AI245" s="402"/>
      <c r="AJ245" s="402"/>
      <c r="AK245" s="402"/>
      <c r="AL245" s="402"/>
      <c r="AM245" s="402"/>
    </row>
    <row r="246" spans="1:39" s="399" customFormat="1" ht="24" x14ac:dyDescent="0.2">
      <c r="A246" s="240">
        <v>7</v>
      </c>
      <c r="B246" s="184" t="s">
        <v>388</v>
      </c>
      <c r="C246" s="699" t="s">
        <v>260</v>
      </c>
      <c r="D246" s="699" t="s">
        <v>393</v>
      </c>
      <c r="E246" s="672" t="s">
        <v>179</v>
      </c>
      <c r="F246" s="699" t="s">
        <v>398</v>
      </c>
      <c r="G246" s="224">
        <v>960</v>
      </c>
      <c r="H246" s="314">
        <v>960</v>
      </c>
      <c r="I246" s="314">
        <f>480+J246</f>
        <v>880</v>
      </c>
      <c r="J246" s="314">
        <v>400</v>
      </c>
      <c r="K246" s="314">
        <f t="shared" si="122"/>
        <v>400</v>
      </c>
      <c r="L246" s="314">
        <v>400</v>
      </c>
      <c r="M246" s="421">
        <f t="shared" si="121"/>
        <v>80</v>
      </c>
      <c r="N246" s="314">
        <f t="shared" si="123"/>
        <v>80</v>
      </c>
      <c r="O246" s="672"/>
      <c r="P246" s="384"/>
      <c r="Q246" s="384"/>
      <c r="R246" s="398"/>
      <c r="S246" s="133"/>
      <c r="V246" s="400"/>
      <c r="W246" s="401"/>
      <c r="X246" s="402"/>
      <c r="Y246" s="403"/>
      <c r="Z246" s="389"/>
      <c r="AA246" s="402"/>
      <c r="AB246" s="402"/>
      <c r="AC246" s="402"/>
      <c r="AD246" s="404"/>
      <c r="AE246" s="404"/>
      <c r="AF246" s="402"/>
      <c r="AG246" s="405"/>
      <c r="AH246" s="402"/>
      <c r="AI246" s="402"/>
      <c r="AJ246" s="402"/>
      <c r="AK246" s="402"/>
      <c r="AL246" s="402"/>
      <c r="AM246" s="402"/>
    </row>
    <row r="247" spans="1:39" s="399" customFormat="1" ht="30" x14ac:dyDescent="0.2">
      <c r="A247" s="240">
        <v>8</v>
      </c>
      <c r="B247" s="184" t="s">
        <v>389</v>
      </c>
      <c r="C247" s="699" t="s">
        <v>260</v>
      </c>
      <c r="D247" s="699" t="s">
        <v>394</v>
      </c>
      <c r="E247" s="672" t="s">
        <v>179</v>
      </c>
      <c r="F247" s="699" t="s">
        <v>399</v>
      </c>
      <c r="G247" s="224">
        <v>702</v>
      </c>
      <c r="H247" s="314">
        <v>702</v>
      </c>
      <c r="I247" s="314">
        <f>350+J247</f>
        <v>650</v>
      </c>
      <c r="J247" s="314">
        <v>300</v>
      </c>
      <c r="K247" s="314">
        <f t="shared" si="122"/>
        <v>300</v>
      </c>
      <c r="L247" s="314">
        <v>300</v>
      </c>
      <c r="M247" s="421">
        <f t="shared" si="121"/>
        <v>52</v>
      </c>
      <c r="N247" s="314">
        <f t="shared" si="123"/>
        <v>52</v>
      </c>
      <c r="O247" s="672"/>
      <c r="P247" s="384"/>
      <c r="Q247" s="384"/>
      <c r="R247" s="398"/>
      <c r="S247" s="133"/>
      <c r="V247" s="400"/>
      <c r="W247" s="401"/>
      <c r="X247" s="402"/>
      <c r="Y247" s="403"/>
      <c r="Z247" s="389"/>
      <c r="AA247" s="402"/>
      <c r="AB247" s="402"/>
      <c r="AC247" s="402"/>
      <c r="AD247" s="404"/>
      <c r="AE247" s="404"/>
      <c r="AF247" s="402"/>
      <c r="AG247" s="405"/>
      <c r="AH247" s="402"/>
      <c r="AI247" s="402"/>
      <c r="AJ247" s="402"/>
      <c r="AK247" s="402"/>
      <c r="AL247" s="402"/>
      <c r="AM247" s="402"/>
    </row>
    <row r="248" spans="1:39" s="399" customFormat="1" ht="24" x14ac:dyDescent="0.2">
      <c r="A248" s="240">
        <v>9</v>
      </c>
      <c r="B248" s="184" t="s">
        <v>390</v>
      </c>
      <c r="C248" s="699" t="s">
        <v>370</v>
      </c>
      <c r="D248" s="699" t="s">
        <v>395</v>
      </c>
      <c r="E248" s="672" t="s">
        <v>179</v>
      </c>
      <c r="F248" s="699" t="s">
        <v>400</v>
      </c>
      <c r="G248" s="224">
        <v>1120</v>
      </c>
      <c r="H248" s="314">
        <v>1120</v>
      </c>
      <c r="I248" s="314">
        <f>550+J248</f>
        <v>1050</v>
      </c>
      <c r="J248" s="314">
        <v>500</v>
      </c>
      <c r="K248" s="314">
        <f t="shared" si="122"/>
        <v>500</v>
      </c>
      <c r="L248" s="314">
        <v>500</v>
      </c>
      <c r="M248" s="421">
        <f t="shared" si="121"/>
        <v>70</v>
      </c>
      <c r="N248" s="314">
        <f t="shared" si="123"/>
        <v>70</v>
      </c>
      <c r="O248" s="672"/>
      <c r="P248" s="384"/>
      <c r="Q248" s="384"/>
      <c r="R248" s="398"/>
      <c r="S248" s="133"/>
      <c r="V248" s="400"/>
      <c r="W248" s="401"/>
      <c r="X248" s="402"/>
      <c r="Y248" s="403"/>
      <c r="Z248" s="389"/>
      <c r="AA248" s="402"/>
      <c r="AB248" s="402"/>
      <c r="AC248" s="402"/>
      <c r="AD248" s="404"/>
      <c r="AE248" s="404"/>
      <c r="AF248" s="402"/>
      <c r="AG248" s="405"/>
      <c r="AH248" s="402"/>
      <c r="AI248" s="402"/>
      <c r="AJ248" s="402"/>
      <c r="AK248" s="402"/>
      <c r="AL248" s="402"/>
      <c r="AM248" s="402"/>
    </row>
    <row r="249" spans="1:39" s="399" customFormat="1" ht="30" x14ac:dyDescent="0.2">
      <c r="A249" s="240">
        <v>10</v>
      </c>
      <c r="B249" s="184" t="s">
        <v>391</v>
      </c>
      <c r="C249" s="699" t="s">
        <v>255</v>
      </c>
      <c r="D249" s="699" t="s">
        <v>396</v>
      </c>
      <c r="E249" s="672" t="s">
        <v>179</v>
      </c>
      <c r="F249" s="699" t="s">
        <v>401</v>
      </c>
      <c r="G249" s="224">
        <v>2280</v>
      </c>
      <c r="H249" s="314">
        <v>2280</v>
      </c>
      <c r="I249" s="314">
        <f>1100+J249</f>
        <v>2052</v>
      </c>
      <c r="J249" s="314">
        <v>952</v>
      </c>
      <c r="K249" s="314">
        <f t="shared" si="122"/>
        <v>952</v>
      </c>
      <c r="L249" s="314">
        <v>952</v>
      </c>
      <c r="M249" s="421">
        <f t="shared" si="121"/>
        <v>228</v>
      </c>
      <c r="N249" s="314">
        <f t="shared" si="123"/>
        <v>228</v>
      </c>
      <c r="O249" s="672"/>
      <c r="P249" s="384"/>
      <c r="Q249" s="384"/>
      <c r="R249" s="398"/>
      <c r="S249" s="133"/>
      <c r="V249" s="400"/>
      <c r="W249" s="401"/>
      <c r="X249" s="402"/>
      <c r="Y249" s="403"/>
      <c r="Z249" s="389"/>
      <c r="AA249" s="402"/>
      <c r="AB249" s="402"/>
      <c r="AC249" s="402"/>
      <c r="AD249" s="404"/>
      <c r="AE249" s="404"/>
      <c r="AF249" s="402"/>
      <c r="AG249" s="405"/>
      <c r="AH249" s="402"/>
      <c r="AI249" s="402"/>
      <c r="AJ249" s="402"/>
      <c r="AK249" s="402"/>
      <c r="AL249" s="402"/>
      <c r="AM249" s="402"/>
    </row>
    <row r="250" spans="1:39" s="399" customFormat="1" ht="15" x14ac:dyDescent="0.2">
      <c r="A250" s="205" t="s">
        <v>30</v>
      </c>
      <c r="B250" s="649" t="s">
        <v>463</v>
      </c>
      <c r="C250" s="699"/>
      <c r="D250" s="699"/>
      <c r="E250" s="672"/>
      <c r="F250" s="699"/>
      <c r="G250" s="656">
        <f>SUM(G251)</f>
        <v>6560</v>
      </c>
      <c r="H250" s="656">
        <f t="shared" ref="H250:N250" si="124">SUM(H251)</f>
        <v>6560</v>
      </c>
      <c r="I250" s="656">
        <f t="shared" si="124"/>
        <v>3000</v>
      </c>
      <c r="J250" s="656">
        <f t="shared" si="124"/>
        <v>3000</v>
      </c>
      <c r="K250" s="656">
        <f t="shared" si="124"/>
        <v>3000</v>
      </c>
      <c r="L250" s="656">
        <f t="shared" si="124"/>
        <v>3000</v>
      </c>
      <c r="M250" s="656">
        <f t="shared" si="124"/>
        <v>3560</v>
      </c>
      <c r="N250" s="656">
        <f t="shared" si="124"/>
        <v>2904</v>
      </c>
      <c r="O250" s="672"/>
      <c r="P250" s="384"/>
      <c r="Q250" s="384"/>
      <c r="R250" s="398"/>
      <c r="S250" s="133"/>
      <c r="V250" s="400"/>
      <c r="W250" s="401"/>
      <c r="X250" s="402"/>
      <c r="Y250" s="403"/>
      <c r="Z250" s="389"/>
      <c r="AA250" s="402"/>
      <c r="AB250" s="402"/>
      <c r="AC250" s="402"/>
      <c r="AD250" s="404"/>
      <c r="AE250" s="404"/>
      <c r="AF250" s="402"/>
      <c r="AG250" s="405"/>
      <c r="AH250" s="402"/>
      <c r="AI250" s="402"/>
      <c r="AJ250" s="402"/>
      <c r="AK250" s="402"/>
      <c r="AL250" s="402"/>
      <c r="AM250" s="402"/>
    </row>
    <row r="251" spans="1:39" s="399" customFormat="1" ht="45" x14ac:dyDescent="0.2">
      <c r="A251" s="667" t="s">
        <v>458</v>
      </c>
      <c r="B251" s="184" t="s">
        <v>525</v>
      </c>
      <c r="C251" s="683" t="s">
        <v>166</v>
      </c>
      <c r="D251" s="683" t="s">
        <v>526</v>
      </c>
      <c r="E251" s="683" t="s">
        <v>478</v>
      </c>
      <c r="F251" s="683" t="s">
        <v>527</v>
      </c>
      <c r="G251" s="224">
        <v>6560</v>
      </c>
      <c r="H251" s="314">
        <v>6560</v>
      </c>
      <c r="I251" s="314">
        <f>J251</f>
        <v>3000</v>
      </c>
      <c r="J251" s="314">
        <v>3000</v>
      </c>
      <c r="K251" s="314">
        <f t="shared" si="122"/>
        <v>3000</v>
      </c>
      <c r="L251" s="314">
        <v>3000</v>
      </c>
      <c r="M251" s="421">
        <f t="shared" ref="M251" si="125">G251-I251</f>
        <v>3560</v>
      </c>
      <c r="N251" s="314">
        <f>G251*90%-I251</f>
        <v>2904</v>
      </c>
      <c r="O251" s="672"/>
      <c r="P251" s="384"/>
      <c r="Q251" s="384"/>
      <c r="R251" s="398"/>
      <c r="S251" s="133"/>
      <c r="V251" s="400"/>
      <c r="W251" s="401"/>
      <c r="X251" s="402"/>
      <c r="Y251" s="403"/>
      <c r="Z251" s="389"/>
      <c r="AA251" s="402"/>
      <c r="AB251" s="402"/>
      <c r="AC251" s="402"/>
      <c r="AD251" s="404"/>
      <c r="AE251" s="404"/>
      <c r="AF251" s="402"/>
      <c r="AG251" s="405"/>
      <c r="AH251" s="402"/>
      <c r="AI251" s="402"/>
      <c r="AJ251" s="402"/>
      <c r="AK251" s="402"/>
      <c r="AL251" s="402"/>
      <c r="AM251" s="402"/>
    </row>
    <row r="252" spans="1:39" s="708" customFormat="1" ht="25.15" customHeight="1" x14ac:dyDescent="0.2">
      <c r="A252" s="791" t="s">
        <v>32</v>
      </c>
      <c r="B252" s="780" t="s">
        <v>583</v>
      </c>
      <c r="C252" s="843"/>
      <c r="D252" s="843"/>
      <c r="E252" s="843"/>
      <c r="F252" s="843"/>
      <c r="G252" s="796">
        <f t="shared" ref="G252:N252" si="126">SUM(G253:G259)</f>
        <v>22100</v>
      </c>
      <c r="H252" s="796">
        <f t="shared" si="126"/>
        <v>21350</v>
      </c>
      <c r="I252" s="796">
        <f t="shared" si="126"/>
        <v>0</v>
      </c>
      <c r="J252" s="796">
        <f t="shared" si="126"/>
        <v>0</v>
      </c>
      <c r="K252" s="796">
        <f t="shared" si="126"/>
        <v>0</v>
      </c>
      <c r="L252" s="796">
        <f t="shared" si="126"/>
        <v>0</v>
      </c>
      <c r="M252" s="796">
        <f t="shared" si="126"/>
        <v>22100</v>
      </c>
      <c r="N252" s="796">
        <f t="shared" si="126"/>
        <v>11050</v>
      </c>
      <c r="O252" s="827"/>
      <c r="P252" s="705"/>
      <c r="Q252" s="705"/>
      <c r="R252" s="706"/>
      <c r="S252" s="707"/>
      <c r="V252" s="709"/>
      <c r="W252" s="710"/>
      <c r="X252" s="711"/>
      <c r="Y252" s="712"/>
      <c r="Z252" s="713"/>
      <c r="AA252" s="711"/>
      <c r="AB252" s="711"/>
      <c r="AC252" s="711"/>
      <c r="AD252" s="714"/>
      <c r="AE252" s="714"/>
      <c r="AF252" s="711"/>
      <c r="AG252" s="715"/>
      <c r="AH252" s="711"/>
      <c r="AI252" s="711"/>
      <c r="AJ252" s="711"/>
      <c r="AK252" s="711"/>
      <c r="AL252" s="711"/>
      <c r="AM252" s="711"/>
    </row>
    <row r="253" spans="1:39" s="708" customFormat="1" ht="30" x14ac:dyDescent="0.2">
      <c r="A253" s="787" t="s">
        <v>458</v>
      </c>
      <c r="B253" s="790" t="s">
        <v>640</v>
      </c>
      <c r="C253" s="846" t="s">
        <v>255</v>
      </c>
      <c r="D253" s="847" t="s">
        <v>641</v>
      </c>
      <c r="E253" s="843" t="s">
        <v>605</v>
      </c>
      <c r="F253" s="843"/>
      <c r="G253" s="797">
        <v>5500</v>
      </c>
      <c r="H253" s="797">
        <v>5300</v>
      </c>
      <c r="I253" s="760"/>
      <c r="J253" s="760"/>
      <c r="K253" s="760"/>
      <c r="L253" s="760"/>
      <c r="M253" s="760">
        <f t="shared" ref="M253:M259" si="127">G253-I253</f>
        <v>5500</v>
      </c>
      <c r="N253" s="760">
        <f>G253*50%</f>
        <v>2750</v>
      </c>
      <c r="O253" s="827"/>
      <c r="P253" s="705"/>
      <c r="Q253" s="705"/>
      <c r="R253" s="706"/>
      <c r="S253" s="707"/>
      <c r="V253" s="709"/>
      <c r="W253" s="710"/>
      <c r="X253" s="711"/>
      <c r="Y253" s="712"/>
      <c r="Z253" s="713"/>
      <c r="AA253" s="711"/>
      <c r="AB253" s="711"/>
      <c r="AC253" s="711"/>
      <c r="AD253" s="714"/>
      <c r="AE253" s="714"/>
      <c r="AF253" s="711"/>
      <c r="AG253" s="715"/>
      <c r="AH253" s="711"/>
      <c r="AI253" s="711"/>
      <c r="AJ253" s="711"/>
      <c r="AK253" s="711"/>
      <c r="AL253" s="711"/>
      <c r="AM253" s="711"/>
    </row>
    <row r="254" spans="1:39" s="708" customFormat="1" ht="30" x14ac:dyDescent="0.2">
      <c r="A254" s="787" t="s">
        <v>468</v>
      </c>
      <c r="B254" s="790" t="s">
        <v>701</v>
      </c>
      <c r="C254" s="846" t="s">
        <v>702</v>
      </c>
      <c r="D254" s="847" t="s">
        <v>703</v>
      </c>
      <c r="E254" s="843" t="s">
        <v>605</v>
      </c>
      <c r="F254" s="843"/>
      <c r="G254" s="798">
        <v>2200</v>
      </c>
      <c r="H254" s="798">
        <v>2100</v>
      </c>
      <c r="I254" s="760"/>
      <c r="J254" s="760"/>
      <c r="K254" s="760"/>
      <c r="L254" s="760"/>
      <c r="M254" s="760">
        <f t="shared" si="127"/>
        <v>2200</v>
      </c>
      <c r="N254" s="760">
        <f t="shared" ref="N254:N258" si="128">G254*50%</f>
        <v>1100</v>
      </c>
      <c r="O254" s="827"/>
      <c r="P254" s="705"/>
      <c r="Q254" s="705"/>
      <c r="R254" s="706"/>
      <c r="S254" s="707"/>
      <c r="V254" s="709"/>
      <c r="W254" s="710"/>
      <c r="X254" s="711"/>
      <c r="Y254" s="712"/>
      <c r="Z254" s="713"/>
      <c r="AA254" s="711"/>
      <c r="AB254" s="711"/>
      <c r="AC254" s="711"/>
      <c r="AD254" s="714"/>
      <c r="AE254" s="714"/>
      <c r="AF254" s="711"/>
      <c r="AG254" s="715"/>
      <c r="AH254" s="711"/>
      <c r="AI254" s="711"/>
      <c r="AJ254" s="711"/>
      <c r="AK254" s="711"/>
      <c r="AL254" s="711"/>
      <c r="AM254" s="711"/>
    </row>
    <row r="255" spans="1:39" s="708" customFormat="1" ht="36" x14ac:dyDescent="0.2">
      <c r="A255" s="787" t="s">
        <v>472</v>
      </c>
      <c r="B255" s="790" t="s">
        <v>704</v>
      </c>
      <c r="C255" s="846" t="s">
        <v>260</v>
      </c>
      <c r="D255" s="847" t="s">
        <v>705</v>
      </c>
      <c r="E255" s="843" t="s">
        <v>605</v>
      </c>
      <c r="F255" s="843"/>
      <c r="G255" s="799">
        <v>3200</v>
      </c>
      <c r="H255" s="799">
        <v>3000</v>
      </c>
      <c r="I255" s="760"/>
      <c r="J255" s="760"/>
      <c r="K255" s="760"/>
      <c r="L255" s="760"/>
      <c r="M255" s="760">
        <f t="shared" si="127"/>
        <v>3200</v>
      </c>
      <c r="N255" s="760">
        <f t="shared" si="128"/>
        <v>1600</v>
      </c>
      <c r="O255" s="827"/>
      <c r="P255" s="705"/>
      <c r="Q255" s="705"/>
      <c r="R255" s="706"/>
      <c r="S255" s="707"/>
      <c r="V255" s="709"/>
      <c r="W255" s="710"/>
      <c r="X255" s="711"/>
      <c r="Y255" s="712"/>
      <c r="Z255" s="713"/>
      <c r="AA255" s="711"/>
      <c r="AB255" s="711"/>
      <c r="AC255" s="711"/>
      <c r="AD255" s="714"/>
      <c r="AE255" s="714"/>
      <c r="AF255" s="711"/>
      <c r="AG255" s="715"/>
      <c r="AH255" s="711"/>
      <c r="AI255" s="711"/>
      <c r="AJ255" s="711"/>
      <c r="AK255" s="711"/>
      <c r="AL255" s="711"/>
      <c r="AM255" s="711"/>
    </row>
    <row r="256" spans="1:39" s="708" customFormat="1" ht="36" x14ac:dyDescent="0.2">
      <c r="A256" s="787" t="s">
        <v>504</v>
      </c>
      <c r="B256" s="790" t="s">
        <v>706</v>
      </c>
      <c r="C256" s="846" t="s">
        <v>260</v>
      </c>
      <c r="D256" s="848" t="s">
        <v>707</v>
      </c>
      <c r="E256" s="843" t="s">
        <v>605</v>
      </c>
      <c r="F256" s="849"/>
      <c r="G256" s="797">
        <v>1200</v>
      </c>
      <c r="H256" s="797">
        <v>1100</v>
      </c>
      <c r="I256" s="800"/>
      <c r="J256" s="800"/>
      <c r="K256" s="800"/>
      <c r="L256" s="800"/>
      <c r="M256" s="760">
        <f t="shared" ref="M256:M257" si="129">G256-I256</f>
        <v>1200</v>
      </c>
      <c r="N256" s="760">
        <f t="shared" si="128"/>
        <v>600</v>
      </c>
      <c r="O256" s="858"/>
      <c r="P256" s="705"/>
      <c r="Q256" s="705"/>
      <c r="R256" s="706"/>
      <c r="S256" s="707"/>
      <c r="V256" s="709"/>
      <c r="W256" s="710"/>
      <c r="X256" s="711"/>
      <c r="Y256" s="712"/>
      <c r="Z256" s="713"/>
      <c r="AA256" s="711"/>
      <c r="AB256" s="711"/>
      <c r="AC256" s="711"/>
      <c r="AD256" s="714"/>
      <c r="AE256" s="714"/>
      <c r="AF256" s="711"/>
      <c r="AG256" s="715"/>
      <c r="AH256" s="711"/>
      <c r="AI256" s="711"/>
      <c r="AJ256" s="711"/>
      <c r="AK256" s="711"/>
      <c r="AL256" s="711"/>
      <c r="AM256" s="711"/>
    </row>
    <row r="257" spans="1:45" s="708" customFormat="1" ht="36" x14ac:dyDescent="0.2">
      <c r="A257" s="787" t="s">
        <v>505</v>
      </c>
      <c r="B257" s="790" t="s">
        <v>708</v>
      </c>
      <c r="C257" s="850" t="s">
        <v>255</v>
      </c>
      <c r="D257" s="848" t="s">
        <v>709</v>
      </c>
      <c r="E257" s="843" t="s">
        <v>605</v>
      </c>
      <c r="F257" s="849"/>
      <c r="G257" s="797">
        <v>6000</v>
      </c>
      <c r="H257" s="797">
        <v>5850</v>
      </c>
      <c r="I257" s="800"/>
      <c r="J257" s="800"/>
      <c r="K257" s="800"/>
      <c r="L257" s="800"/>
      <c r="M257" s="760">
        <f t="shared" si="129"/>
        <v>6000</v>
      </c>
      <c r="N257" s="760">
        <f t="shared" si="128"/>
        <v>3000</v>
      </c>
      <c r="O257" s="858"/>
      <c r="P257" s="705"/>
      <c r="Q257" s="705"/>
      <c r="R257" s="706"/>
      <c r="S257" s="707"/>
      <c r="V257" s="709"/>
      <c r="W257" s="710"/>
      <c r="X257" s="711"/>
      <c r="Y257" s="712"/>
      <c r="Z257" s="713"/>
      <c r="AA257" s="711"/>
      <c r="AB257" s="711"/>
      <c r="AC257" s="711"/>
      <c r="AD257" s="714"/>
      <c r="AE257" s="714"/>
      <c r="AF257" s="711"/>
      <c r="AG257" s="715"/>
      <c r="AH257" s="711"/>
      <c r="AI257" s="711"/>
      <c r="AJ257" s="711"/>
      <c r="AK257" s="711"/>
      <c r="AL257" s="711"/>
      <c r="AM257" s="711"/>
    </row>
    <row r="258" spans="1:45" s="708" customFormat="1" ht="24" x14ac:dyDescent="0.2">
      <c r="A258" s="787" t="s">
        <v>506</v>
      </c>
      <c r="B258" s="790" t="s">
        <v>710</v>
      </c>
      <c r="C258" s="846" t="s">
        <v>702</v>
      </c>
      <c r="D258" s="851" t="s">
        <v>711</v>
      </c>
      <c r="E258" s="843" t="s">
        <v>605</v>
      </c>
      <c r="F258" s="849"/>
      <c r="G258" s="797">
        <v>4000</v>
      </c>
      <c r="H258" s="797">
        <v>4000</v>
      </c>
      <c r="I258" s="800"/>
      <c r="J258" s="800"/>
      <c r="K258" s="800"/>
      <c r="L258" s="800"/>
      <c r="M258" s="760">
        <f t="shared" ref="M258" si="130">G258-I258</f>
        <v>4000</v>
      </c>
      <c r="N258" s="760">
        <f t="shared" si="128"/>
        <v>2000</v>
      </c>
      <c r="O258" s="858"/>
      <c r="P258" s="705"/>
      <c r="Q258" s="705"/>
      <c r="R258" s="706"/>
      <c r="S258" s="707"/>
      <c r="V258" s="709"/>
      <c r="W258" s="710"/>
      <c r="X258" s="711"/>
      <c r="Y258" s="712"/>
      <c r="Z258" s="713"/>
      <c r="AA258" s="711"/>
      <c r="AB258" s="711"/>
      <c r="AC258" s="711"/>
      <c r="AD258" s="714"/>
      <c r="AE258" s="714"/>
      <c r="AF258" s="711"/>
      <c r="AG258" s="715"/>
      <c r="AH258" s="711"/>
      <c r="AI258" s="711"/>
      <c r="AJ258" s="711"/>
      <c r="AK258" s="711"/>
      <c r="AL258" s="711"/>
      <c r="AM258" s="711"/>
    </row>
    <row r="259" spans="1:45" s="708" customFormat="1" ht="22.15" customHeight="1" x14ac:dyDescent="0.2">
      <c r="A259" s="801"/>
      <c r="B259" s="802"/>
      <c r="C259" s="852"/>
      <c r="D259" s="853"/>
      <c r="E259" s="853"/>
      <c r="F259" s="853"/>
      <c r="G259" s="803"/>
      <c r="H259" s="803"/>
      <c r="I259" s="804"/>
      <c r="J259" s="804"/>
      <c r="K259" s="804"/>
      <c r="L259" s="804"/>
      <c r="M259" s="804">
        <f t="shared" si="127"/>
        <v>0</v>
      </c>
      <c r="N259" s="804">
        <f t="shared" ref="N259" si="131">G259*35%</f>
        <v>0</v>
      </c>
      <c r="O259" s="805"/>
      <c r="P259" s="705"/>
      <c r="Q259" s="705"/>
      <c r="R259" s="706"/>
      <c r="S259" s="707"/>
      <c r="V259" s="709"/>
      <c r="W259" s="710"/>
      <c r="X259" s="711"/>
      <c r="Y259" s="712"/>
      <c r="Z259" s="713"/>
      <c r="AA259" s="711"/>
      <c r="AB259" s="711"/>
      <c r="AC259" s="711"/>
      <c r="AD259" s="714"/>
      <c r="AE259" s="714"/>
      <c r="AF259" s="711"/>
      <c r="AG259" s="715"/>
      <c r="AH259" s="711"/>
      <c r="AI259" s="711"/>
      <c r="AJ259" s="711"/>
      <c r="AK259" s="711"/>
      <c r="AL259" s="711"/>
      <c r="AM259" s="711"/>
    </row>
    <row r="260" spans="1:45" s="75" customFormat="1" ht="15" x14ac:dyDescent="0.2">
      <c r="A260" s="383"/>
      <c r="B260" s="384"/>
      <c r="C260" s="675"/>
      <c r="D260" s="83"/>
      <c r="E260" s="676"/>
      <c r="F260" s="383"/>
      <c r="G260" s="387"/>
      <c r="H260" s="387"/>
      <c r="I260" s="387"/>
      <c r="J260" s="387"/>
      <c r="K260" s="387"/>
      <c r="L260" s="388"/>
      <c r="M260" s="388"/>
      <c r="N260" s="388"/>
      <c r="O260" s="384"/>
      <c r="P260" s="83"/>
      <c r="Q260" s="83"/>
      <c r="R260" s="118"/>
      <c r="S260" s="133"/>
      <c r="V260" s="137"/>
      <c r="W260" s="77"/>
      <c r="X260" s="367"/>
      <c r="Y260" s="368"/>
      <c r="Z260" s="389"/>
      <c r="AA260" s="367"/>
      <c r="AB260" s="367"/>
      <c r="AC260" s="367"/>
      <c r="AD260" s="365"/>
      <c r="AE260" s="365"/>
      <c r="AF260" s="367"/>
      <c r="AG260" s="103"/>
      <c r="AH260" s="367"/>
      <c r="AI260" s="367"/>
      <c r="AJ260" s="367"/>
      <c r="AK260" s="367"/>
      <c r="AL260" s="367"/>
      <c r="AM260" s="367"/>
    </row>
    <row r="261" spans="1:45" ht="13.5" hidden="1" x14ac:dyDescent="0.2">
      <c r="A261" s="896"/>
      <c r="B261" s="896"/>
      <c r="C261" s="677"/>
      <c r="D261" s="677"/>
      <c r="E261" s="677"/>
      <c r="K261" s="76"/>
      <c r="L261" s="76"/>
      <c r="M261" s="76"/>
      <c r="N261" s="76"/>
      <c r="O261" s="83"/>
      <c r="P261" s="83"/>
      <c r="Q261" s="83"/>
    </row>
    <row r="262" spans="1:45" hidden="1" x14ac:dyDescent="0.2">
      <c r="A262" s="94"/>
      <c r="B262" s="97" t="s">
        <v>405</v>
      </c>
      <c r="C262" s="678"/>
      <c r="D262" s="678"/>
      <c r="E262" s="678"/>
      <c r="F262" s="97"/>
      <c r="G262" s="96">
        <f>SUM(G263:G280)</f>
        <v>519000</v>
      </c>
      <c r="H262" s="96"/>
      <c r="I262" s="96">
        <f>SUM(I263:I280)</f>
        <v>453285</v>
      </c>
      <c r="J262" s="96"/>
      <c r="K262" s="96"/>
      <c r="L262" s="96"/>
      <c r="M262" s="96"/>
      <c r="N262" s="96"/>
      <c r="O262" s="97"/>
      <c r="P262" s="164"/>
      <c r="Q262" s="165"/>
      <c r="R262" s="166"/>
      <c r="S262" s="96">
        <f>SUM(S263:S280)</f>
        <v>4</v>
      </c>
    </row>
    <row r="263" spans="1:45" hidden="1" x14ac:dyDescent="0.2">
      <c r="A263" s="89">
        <v>1</v>
      </c>
      <c r="B263" s="90" t="s">
        <v>268</v>
      </c>
      <c r="C263" s="679"/>
      <c r="D263" s="679"/>
      <c r="E263" s="679"/>
      <c r="F263" s="88"/>
      <c r="G263" s="87">
        <f t="shared" ref="G263:G280" si="132">SUMIF($S$10:$S$17,B263,$G$10:$G$17)</f>
        <v>519000</v>
      </c>
      <c r="H263" s="87"/>
      <c r="I263" s="87">
        <f t="shared" ref="I263:I280" si="133">SUMIF($S$10:$S$17,B263,$I$10:$I$17)</f>
        <v>453285</v>
      </c>
      <c r="J263" s="87"/>
      <c r="K263" s="87"/>
      <c r="L263" s="87"/>
      <c r="M263" s="87"/>
      <c r="N263" s="87"/>
      <c r="O263" s="88"/>
      <c r="P263" s="167"/>
      <c r="R263" s="168"/>
      <c r="S263" s="169">
        <f t="shared" ref="S263:S280" si="134">COUNTIF($S$9:$S$17,B263)</f>
        <v>4</v>
      </c>
    </row>
    <row r="264" spans="1:45" hidden="1" x14ac:dyDescent="0.2">
      <c r="A264" s="89">
        <v>2</v>
      </c>
      <c r="B264" s="88" t="s">
        <v>404</v>
      </c>
      <c r="C264" s="679"/>
      <c r="D264" s="679"/>
      <c r="E264" s="679"/>
      <c r="F264" s="88"/>
      <c r="G264" s="87">
        <f t="shared" si="132"/>
        <v>0</v>
      </c>
      <c r="H264" s="87"/>
      <c r="I264" s="87">
        <f t="shared" si="133"/>
        <v>0</v>
      </c>
      <c r="J264" s="87"/>
      <c r="K264" s="87"/>
      <c r="L264" s="87"/>
      <c r="M264" s="87"/>
      <c r="N264" s="87"/>
      <c r="O264" s="88"/>
      <c r="P264" s="167"/>
      <c r="R264" s="168"/>
      <c r="S264" s="169">
        <f t="shared" si="134"/>
        <v>0</v>
      </c>
    </row>
    <row r="265" spans="1:45" hidden="1" x14ac:dyDescent="0.2">
      <c r="A265" s="89">
        <v>3</v>
      </c>
      <c r="B265" s="74" t="s">
        <v>403</v>
      </c>
      <c r="C265" s="679"/>
      <c r="D265" s="679"/>
      <c r="E265" s="679"/>
      <c r="F265" s="88"/>
      <c r="G265" s="87">
        <f t="shared" si="132"/>
        <v>0</v>
      </c>
      <c r="H265" s="87"/>
      <c r="I265" s="87">
        <f t="shared" si="133"/>
        <v>0</v>
      </c>
      <c r="J265" s="87"/>
      <c r="K265" s="87"/>
      <c r="L265" s="87"/>
      <c r="M265" s="87"/>
      <c r="N265" s="87"/>
      <c r="O265" s="88"/>
      <c r="P265" s="167"/>
      <c r="R265" s="168"/>
      <c r="S265" s="169">
        <f t="shared" si="134"/>
        <v>0</v>
      </c>
    </row>
    <row r="266" spans="1:45" hidden="1" x14ac:dyDescent="0.2">
      <c r="A266" s="89">
        <v>4</v>
      </c>
      <c r="B266" s="91" t="s">
        <v>353</v>
      </c>
      <c r="C266" s="679"/>
      <c r="D266" s="679"/>
      <c r="E266" s="679"/>
      <c r="F266" s="88"/>
      <c r="G266" s="87">
        <f t="shared" si="132"/>
        <v>0</v>
      </c>
      <c r="H266" s="87"/>
      <c r="I266" s="87">
        <f t="shared" si="133"/>
        <v>0</v>
      </c>
      <c r="J266" s="87"/>
      <c r="K266" s="87"/>
      <c r="L266" s="87"/>
      <c r="M266" s="87"/>
      <c r="N266" s="87"/>
      <c r="O266" s="88"/>
      <c r="P266" s="167"/>
      <c r="R266" s="168"/>
      <c r="S266" s="169">
        <f t="shared" si="134"/>
        <v>0</v>
      </c>
    </row>
    <row r="267" spans="1:45" hidden="1" x14ac:dyDescent="0.2">
      <c r="A267" s="89">
        <v>5</v>
      </c>
      <c r="B267" s="92" t="s">
        <v>274</v>
      </c>
      <c r="C267" s="679"/>
      <c r="D267" s="679"/>
      <c r="E267" s="679"/>
      <c r="F267" s="88"/>
      <c r="G267" s="87">
        <f t="shared" si="132"/>
        <v>0</v>
      </c>
      <c r="H267" s="87"/>
      <c r="I267" s="87">
        <f t="shared" si="133"/>
        <v>0</v>
      </c>
      <c r="J267" s="87"/>
      <c r="K267" s="87"/>
      <c r="L267" s="87"/>
      <c r="M267" s="87"/>
      <c r="N267" s="87"/>
      <c r="O267" s="88"/>
      <c r="P267" s="167"/>
      <c r="R267" s="168"/>
      <c r="S267" s="169">
        <f t="shared" si="134"/>
        <v>0</v>
      </c>
    </row>
    <row r="268" spans="1:45" s="103" customFormat="1" hidden="1" x14ac:dyDescent="0.2">
      <c r="A268" s="89">
        <v>6</v>
      </c>
      <c r="B268" s="91" t="s">
        <v>279</v>
      </c>
      <c r="C268" s="679"/>
      <c r="D268" s="679"/>
      <c r="E268" s="679"/>
      <c r="F268" s="88"/>
      <c r="G268" s="87">
        <f t="shared" si="132"/>
        <v>0</v>
      </c>
      <c r="H268" s="87"/>
      <c r="I268" s="87">
        <f t="shared" si="133"/>
        <v>0</v>
      </c>
      <c r="J268" s="87"/>
      <c r="K268" s="87"/>
      <c r="L268" s="87"/>
      <c r="M268" s="87"/>
      <c r="N268" s="87"/>
      <c r="O268" s="88"/>
      <c r="P268" s="167"/>
      <c r="Q268" s="74"/>
      <c r="R268" s="168"/>
      <c r="S268" s="169">
        <f t="shared" si="134"/>
        <v>0</v>
      </c>
      <c r="T268" s="74"/>
      <c r="U268" s="74"/>
      <c r="V268" s="74"/>
      <c r="W268" s="74"/>
      <c r="AN268" s="74"/>
      <c r="AO268" s="74"/>
      <c r="AP268" s="74"/>
      <c r="AQ268" s="74"/>
      <c r="AR268" s="74"/>
      <c r="AS268" s="74"/>
    </row>
    <row r="269" spans="1:45" s="103" customFormat="1" hidden="1" x14ac:dyDescent="0.2">
      <c r="A269" s="89">
        <v>7</v>
      </c>
      <c r="B269" s="91" t="s">
        <v>277</v>
      </c>
      <c r="C269" s="679"/>
      <c r="D269" s="679"/>
      <c r="E269" s="679"/>
      <c r="F269" s="88"/>
      <c r="G269" s="87">
        <f t="shared" si="132"/>
        <v>0</v>
      </c>
      <c r="H269" s="87"/>
      <c r="I269" s="87">
        <f t="shared" si="133"/>
        <v>0</v>
      </c>
      <c r="J269" s="87"/>
      <c r="K269" s="87"/>
      <c r="L269" s="87"/>
      <c r="M269" s="87"/>
      <c r="N269" s="87"/>
      <c r="O269" s="88"/>
      <c r="P269" s="167"/>
      <c r="Q269" s="74"/>
      <c r="R269" s="168"/>
      <c r="S269" s="169">
        <f t="shared" si="134"/>
        <v>0</v>
      </c>
      <c r="T269" s="74"/>
      <c r="U269" s="74"/>
      <c r="V269" s="74">
        <v>7</v>
      </c>
      <c r="W269" s="77">
        <f>I269</f>
        <v>0</v>
      </c>
      <c r="AN269" s="74"/>
      <c r="AO269" s="74"/>
      <c r="AP269" s="74"/>
      <c r="AQ269" s="74"/>
      <c r="AR269" s="74"/>
      <c r="AS269" s="74"/>
    </row>
    <row r="270" spans="1:45" s="103" customFormat="1" hidden="1" x14ac:dyDescent="0.2">
      <c r="A270" s="89">
        <v>8</v>
      </c>
      <c r="B270" s="91" t="s">
        <v>270</v>
      </c>
      <c r="C270" s="679"/>
      <c r="D270" s="679"/>
      <c r="E270" s="679"/>
      <c r="F270" s="88"/>
      <c r="G270" s="87">
        <f t="shared" si="132"/>
        <v>0</v>
      </c>
      <c r="H270" s="87"/>
      <c r="I270" s="87">
        <f t="shared" si="133"/>
        <v>0</v>
      </c>
      <c r="J270" s="87"/>
      <c r="K270" s="87"/>
      <c r="L270" s="87"/>
      <c r="M270" s="87"/>
      <c r="N270" s="87"/>
      <c r="O270" s="88"/>
      <c r="P270" s="167"/>
      <c r="Q270" s="74"/>
      <c r="R270" s="168"/>
      <c r="S270" s="169">
        <f t="shared" si="134"/>
        <v>0</v>
      </c>
      <c r="T270" s="74"/>
      <c r="U270" s="74"/>
      <c r="V270" s="74"/>
      <c r="W270" s="77"/>
      <c r="AN270" s="74"/>
      <c r="AO270" s="74"/>
      <c r="AP270" s="74"/>
      <c r="AQ270" s="74"/>
      <c r="AR270" s="74"/>
      <c r="AS270" s="74"/>
    </row>
    <row r="271" spans="1:45" s="103" customFormat="1" hidden="1" x14ac:dyDescent="0.2">
      <c r="A271" s="89">
        <v>9</v>
      </c>
      <c r="B271" s="93" t="s">
        <v>276</v>
      </c>
      <c r="C271" s="679"/>
      <c r="D271" s="679"/>
      <c r="E271" s="679"/>
      <c r="F271" s="88"/>
      <c r="G271" s="87">
        <f t="shared" si="132"/>
        <v>0</v>
      </c>
      <c r="H271" s="87"/>
      <c r="I271" s="87">
        <f t="shared" si="133"/>
        <v>0</v>
      </c>
      <c r="J271" s="87"/>
      <c r="K271" s="87"/>
      <c r="L271" s="87"/>
      <c r="M271" s="87"/>
      <c r="N271" s="87"/>
      <c r="O271" s="88"/>
      <c r="P271" s="167"/>
      <c r="Q271" s="74"/>
      <c r="R271" s="168"/>
      <c r="S271" s="169">
        <f t="shared" si="134"/>
        <v>0</v>
      </c>
      <c r="T271" s="74"/>
      <c r="U271" s="74"/>
      <c r="V271" s="74"/>
      <c r="W271" s="74"/>
      <c r="AN271" s="74"/>
      <c r="AO271" s="74"/>
      <c r="AP271" s="74"/>
      <c r="AQ271" s="74"/>
      <c r="AR271" s="74"/>
      <c r="AS271" s="74"/>
    </row>
    <row r="272" spans="1:45" s="103" customFormat="1" hidden="1" x14ac:dyDescent="0.2">
      <c r="A272" s="89">
        <v>10</v>
      </c>
      <c r="B272" s="91" t="s">
        <v>352</v>
      </c>
      <c r="C272" s="679"/>
      <c r="D272" s="679"/>
      <c r="E272" s="679"/>
      <c r="F272" s="88"/>
      <c r="G272" s="87">
        <f t="shared" si="132"/>
        <v>0</v>
      </c>
      <c r="H272" s="87"/>
      <c r="I272" s="87">
        <f t="shared" si="133"/>
        <v>0</v>
      </c>
      <c r="J272" s="87"/>
      <c r="K272" s="87"/>
      <c r="L272" s="87"/>
      <c r="M272" s="87"/>
      <c r="N272" s="87"/>
      <c r="O272" s="88"/>
      <c r="P272" s="167"/>
      <c r="Q272" s="74"/>
      <c r="R272" s="168"/>
      <c r="S272" s="169">
        <f t="shared" si="134"/>
        <v>0</v>
      </c>
      <c r="T272" s="74"/>
      <c r="U272" s="74"/>
      <c r="V272" s="74"/>
      <c r="W272" s="74"/>
      <c r="AN272" s="74"/>
      <c r="AO272" s="74"/>
      <c r="AP272" s="74"/>
      <c r="AQ272" s="74"/>
      <c r="AR272" s="74"/>
      <c r="AS272" s="74"/>
    </row>
    <row r="273" spans="1:45" s="103" customFormat="1" hidden="1" x14ac:dyDescent="0.2">
      <c r="A273" s="89">
        <v>11</v>
      </c>
      <c r="B273" s="91" t="s">
        <v>280</v>
      </c>
      <c r="C273" s="679"/>
      <c r="D273" s="679"/>
      <c r="E273" s="679"/>
      <c r="F273" s="88"/>
      <c r="G273" s="87">
        <f t="shared" si="132"/>
        <v>0</v>
      </c>
      <c r="H273" s="87"/>
      <c r="I273" s="87">
        <f t="shared" si="133"/>
        <v>0</v>
      </c>
      <c r="J273" s="87"/>
      <c r="K273" s="87"/>
      <c r="L273" s="87"/>
      <c r="M273" s="87"/>
      <c r="N273" s="87"/>
      <c r="O273" s="88"/>
      <c r="P273" s="167"/>
      <c r="Q273" s="74"/>
      <c r="R273" s="168"/>
      <c r="S273" s="169">
        <f t="shared" si="134"/>
        <v>0</v>
      </c>
      <c r="T273" s="74"/>
      <c r="U273" s="74"/>
      <c r="V273" s="74"/>
      <c r="W273" s="74"/>
      <c r="AN273" s="74"/>
      <c r="AO273" s="74"/>
      <c r="AP273" s="74"/>
      <c r="AQ273" s="74"/>
      <c r="AR273" s="74"/>
      <c r="AS273" s="74"/>
    </row>
    <row r="274" spans="1:45" s="103" customFormat="1" hidden="1" x14ac:dyDescent="0.2">
      <c r="A274" s="89">
        <v>12</v>
      </c>
      <c r="B274" s="91" t="s">
        <v>272</v>
      </c>
      <c r="C274" s="679"/>
      <c r="D274" s="679"/>
      <c r="E274" s="679"/>
      <c r="F274" s="88"/>
      <c r="G274" s="87">
        <f t="shared" si="132"/>
        <v>0</v>
      </c>
      <c r="H274" s="87"/>
      <c r="I274" s="87">
        <f t="shared" si="133"/>
        <v>0</v>
      </c>
      <c r="J274" s="87"/>
      <c r="K274" s="87"/>
      <c r="L274" s="87"/>
      <c r="M274" s="87"/>
      <c r="N274" s="87"/>
      <c r="O274" s="88"/>
      <c r="P274" s="167"/>
      <c r="Q274" s="74"/>
      <c r="R274" s="168"/>
      <c r="S274" s="169">
        <f t="shared" si="134"/>
        <v>0</v>
      </c>
      <c r="T274" s="74"/>
      <c r="U274" s="74"/>
      <c r="V274" s="74">
        <v>3</v>
      </c>
      <c r="W274" s="77">
        <f>I274</f>
        <v>0</v>
      </c>
      <c r="AN274" s="74"/>
      <c r="AO274" s="74"/>
      <c r="AP274" s="74"/>
      <c r="AQ274" s="74"/>
      <c r="AR274" s="74"/>
      <c r="AS274" s="74"/>
    </row>
    <row r="275" spans="1:45" s="103" customFormat="1" hidden="1" x14ac:dyDescent="0.2">
      <c r="A275" s="89">
        <v>13</v>
      </c>
      <c r="B275" s="91" t="s">
        <v>278</v>
      </c>
      <c r="C275" s="679"/>
      <c r="D275" s="679"/>
      <c r="E275" s="679"/>
      <c r="F275" s="88"/>
      <c r="G275" s="87">
        <f t="shared" si="132"/>
        <v>0</v>
      </c>
      <c r="H275" s="87"/>
      <c r="I275" s="87">
        <f t="shared" si="133"/>
        <v>0</v>
      </c>
      <c r="J275" s="87"/>
      <c r="K275" s="87"/>
      <c r="L275" s="87"/>
      <c r="M275" s="87"/>
      <c r="N275" s="87"/>
      <c r="O275" s="88"/>
      <c r="P275" s="167"/>
      <c r="Q275" s="74"/>
      <c r="R275" s="168"/>
      <c r="S275" s="169">
        <f t="shared" si="134"/>
        <v>0</v>
      </c>
      <c r="T275" s="74"/>
      <c r="U275" s="74"/>
      <c r="V275" s="74"/>
      <c r="W275" s="74"/>
      <c r="AN275" s="74"/>
      <c r="AO275" s="74"/>
      <c r="AP275" s="74"/>
      <c r="AQ275" s="74"/>
      <c r="AR275" s="74"/>
      <c r="AS275" s="74"/>
    </row>
    <row r="276" spans="1:45" s="103" customFormat="1" hidden="1" x14ac:dyDescent="0.2">
      <c r="A276" s="89">
        <v>14</v>
      </c>
      <c r="B276" s="91" t="s">
        <v>271</v>
      </c>
      <c r="C276" s="679"/>
      <c r="D276" s="679"/>
      <c r="E276" s="679"/>
      <c r="F276" s="88"/>
      <c r="G276" s="87">
        <f t="shared" si="132"/>
        <v>0</v>
      </c>
      <c r="H276" s="87"/>
      <c r="I276" s="87">
        <f t="shared" si="133"/>
        <v>0</v>
      </c>
      <c r="J276" s="87"/>
      <c r="K276" s="87"/>
      <c r="L276" s="87"/>
      <c r="M276" s="87"/>
      <c r="N276" s="87"/>
      <c r="O276" s="88"/>
      <c r="P276" s="167"/>
      <c r="Q276" s="74"/>
      <c r="R276" s="168"/>
      <c r="S276" s="169">
        <f t="shared" si="134"/>
        <v>0</v>
      </c>
      <c r="T276" s="74"/>
      <c r="U276" s="74"/>
      <c r="V276" s="74">
        <v>5</v>
      </c>
      <c r="W276" s="77">
        <f>I276</f>
        <v>0</v>
      </c>
      <c r="AN276" s="74"/>
      <c r="AO276" s="74"/>
      <c r="AP276" s="74"/>
      <c r="AQ276" s="74"/>
      <c r="AR276" s="74"/>
      <c r="AS276" s="74"/>
    </row>
    <row r="277" spans="1:45" s="103" customFormat="1" hidden="1" x14ac:dyDescent="0.2">
      <c r="A277" s="89">
        <v>15</v>
      </c>
      <c r="B277" s="91" t="s">
        <v>269</v>
      </c>
      <c r="C277" s="679"/>
      <c r="D277" s="679"/>
      <c r="E277" s="679"/>
      <c r="F277" s="88"/>
      <c r="G277" s="87">
        <f t="shared" si="132"/>
        <v>0</v>
      </c>
      <c r="H277" s="87"/>
      <c r="I277" s="87">
        <f t="shared" si="133"/>
        <v>0</v>
      </c>
      <c r="J277" s="87"/>
      <c r="K277" s="87"/>
      <c r="L277" s="87"/>
      <c r="M277" s="87"/>
      <c r="N277" s="87"/>
      <c r="O277" s="88"/>
      <c r="P277" s="167"/>
      <c r="Q277" s="74"/>
      <c r="R277" s="168"/>
      <c r="S277" s="169">
        <f t="shared" si="134"/>
        <v>0</v>
      </c>
      <c r="T277" s="74"/>
      <c r="U277" s="74"/>
      <c r="V277" s="74">
        <v>6</v>
      </c>
      <c r="W277" s="77">
        <f>I277</f>
        <v>0</v>
      </c>
      <c r="AN277" s="74"/>
      <c r="AO277" s="74"/>
      <c r="AP277" s="74"/>
      <c r="AQ277" s="74"/>
      <c r="AR277" s="74"/>
      <c r="AS277" s="74"/>
    </row>
    <row r="278" spans="1:45" s="103" customFormat="1" hidden="1" x14ac:dyDescent="0.2">
      <c r="A278" s="89">
        <v>16</v>
      </c>
      <c r="B278" s="91" t="s">
        <v>275</v>
      </c>
      <c r="C278" s="679"/>
      <c r="D278" s="679"/>
      <c r="E278" s="679"/>
      <c r="F278" s="88"/>
      <c r="G278" s="87">
        <f t="shared" si="132"/>
        <v>0</v>
      </c>
      <c r="H278" s="87"/>
      <c r="I278" s="87">
        <f t="shared" si="133"/>
        <v>0</v>
      </c>
      <c r="J278" s="87"/>
      <c r="K278" s="87"/>
      <c r="L278" s="87"/>
      <c r="M278" s="87"/>
      <c r="N278" s="87"/>
      <c r="O278" s="88"/>
      <c r="P278" s="167"/>
      <c r="Q278" s="74"/>
      <c r="R278" s="168"/>
      <c r="S278" s="169">
        <f t="shared" si="134"/>
        <v>0</v>
      </c>
      <c r="T278" s="74"/>
      <c r="U278" s="74"/>
      <c r="V278" s="74">
        <v>3</v>
      </c>
      <c r="W278" s="77">
        <f>I278</f>
        <v>0</v>
      </c>
      <c r="AN278" s="74"/>
      <c r="AO278" s="74"/>
      <c r="AP278" s="74"/>
      <c r="AQ278" s="74"/>
      <c r="AR278" s="74"/>
      <c r="AS278" s="74"/>
    </row>
    <row r="279" spans="1:45" s="103" customFormat="1" hidden="1" x14ac:dyDescent="0.2">
      <c r="A279" s="89">
        <v>17</v>
      </c>
      <c r="B279" s="91" t="s">
        <v>273</v>
      </c>
      <c r="C279" s="679"/>
      <c r="D279" s="679"/>
      <c r="E279" s="679"/>
      <c r="F279" s="88"/>
      <c r="G279" s="87">
        <f t="shared" si="132"/>
        <v>0</v>
      </c>
      <c r="H279" s="87"/>
      <c r="I279" s="87">
        <f t="shared" si="133"/>
        <v>0</v>
      </c>
      <c r="J279" s="87"/>
      <c r="K279" s="87"/>
      <c r="L279" s="87"/>
      <c r="M279" s="87"/>
      <c r="N279" s="87"/>
      <c r="O279" s="88"/>
      <c r="P279" s="167"/>
      <c r="Q279" s="74"/>
      <c r="R279" s="168"/>
      <c r="S279" s="169">
        <f t="shared" si="134"/>
        <v>0</v>
      </c>
      <c r="T279" s="74"/>
      <c r="U279" s="74"/>
      <c r="V279" s="74">
        <v>4</v>
      </c>
      <c r="W279" s="77">
        <f>I279</f>
        <v>0</v>
      </c>
      <c r="AN279" s="74"/>
      <c r="AO279" s="74"/>
      <c r="AP279" s="74"/>
      <c r="AQ279" s="74"/>
      <c r="AR279" s="74"/>
      <c r="AS279" s="74"/>
    </row>
    <row r="280" spans="1:45" s="103" customFormat="1" hidden="1" x14ac:dyDescent="0.2">
      <c r="A280" s="86"/>
      <c r="B280" s="116" t="s">
        <v>536</v>
      </c>
      <c r="C280" s="83"/>
      <c r="D280" s="83"/>
      <c r="E280" s="83"/>
      <c r="F280" s="74"/>
      <c r="G280" s="87">
        <f t="shared" si="132"/>
        <v>0</v>
      </c>
      <c r="H280" s="87"/>
      <c r="I280" s="87">
        <f t="shared" si="133"/>
        <v>0</v>
      </c>
      <c r="J280" s="87"/>
      <c r="K280" s="87"/>
      <c r="L280" s="87"/>
      <c r="M280" s="87"/>
      <c r="N280" s="87"/>
      <c r="O280" s="74"/>
      <c r="P280" s="74"/>
      <c r="Q280" s="74"/>
      <c r="R280" s="118"/>
      <c r="S280" s="169">
        <f t="shared" si="134"/>
        <v>0</v>
      </c>
      <c r="T280" s="74"/>
      <c r="U280" s="74"/>
      <c r="V280" s="74">
        <f>SUM(V269:V279)</f>
        <v>28</v>
      </c>
      <c r="W280" s="74"/>
      <c r="AN280" s="74"/>
      <c r="AO280" s="74"/>
      <c r="AP280" s="74"/>
      <c r="AQ280" s="74"/>
      <c r="AR280" s="74"/>
      <c r="AS280" s="74"/>
    </row>
    <row r="281" spans="1:45" s="103" customFormat="1" hidden="1" x14ac:dyDescent="0.2">
      <c r="A281" s="86"/>
      <c r="B281" s="74"/>
      <c r="C281" s="83"/>
      <c r="D281" s="83"/>
      <c r="E281" s="83"/>
      <c r="F281" s="74"/>
      <c r="G281" s="74"/>
      <c r="H281" s="74"/>
      <c r="I281" s="74"/>
      <c r="J281" s="74"/>
      <c r="K281" s="81"/>
      <c r="L281" s="81"/>
      <c r="M281" s="81"/>
      <c r="N281" s="81"/>
      <c r="O281" s="74"/>
      <c r="P281" s="74"/>
      <c r="Q281" s="74"/>
      <c r="R281" s="118"/>
      <c r="S281" s="74"/>
      <c r="T281" s="74"/>
      <c r="U281" s="74"/>
      <c r="V281" s="74"/>
      <c r="W281" s="74"/>
      <c r="AN281" s="74"/>
      <c r="AO281" s="74"/>
      <c r="AP281" s="74"/>
      <c r="AQ281" s="74"/>
      <c r="AR281" s="74"/>
      <c r="AS281" s="74"/>
    </row>
    <row r="282" spans="1:45" hidden="1" x14ac:dyDescent="0.2"/>
    <row r="286" spans="1:45" s="76" customFormat="1" x14ac:dyDescent="0.2">
      <c r="A286" s="74"/>
      <c r="B286" s="74"/>
      <c r="C286" s="83"/>
      <c r="D286" s="83"/>
      <c r="E286" s="83"/>
      <c r="F286" s="74"/>
      <c r="G286" s="77"/>
      <c r="H286" s="77"/>
      <c r="I286" s="77"/>
      <c r="J286" s="77"/>
      <c r="K286" s="99"/>
      <c r="L286" s="99"/>
      <c r="M286" s="99"/>
      <c r="N286" s="99"/>
      <c r="O286" s="74"/>
      <c r="P286" s="74"/>
      <c r="Q286" s="74"/>
      <c r="R286" s="118"/>
      <c r="S286" s="74"/>
      <c r="T286" s="74"/>
      <c r="U286" s="74"/>
      <c r="V286" s="74"/>
      <c r="W286" s="74"/>
      <c r="X286" s="103"/>
      <c r="Y286" s="103"/>
      <c r="Z286" s="103"/>
      <c r="AA286" s="103"/>
      <c r="AB286" s="103"/>
      <c r="AC286" s="103"/>
      <c r="AD286" s="103"/>
      <c r="AE286" s="103"/>
      <c r="AF286" s="103"/>
      <c r="AG286" s="103"/>
      <c r="AH286" s="103"/>
      <c r="AI286" s="103"/>
      <c r="AJ286" s="103"/>
      <c r="AK286" s="103"/>
      <c r="AL286" s="103"/>
      <c r="AM286" s="103"/>
      <c r="AN286" s="74"/>
      <c r="AO286" s="74"/>
      <c r="AP286" s="74"/>
      <c r="AQ286" s="74"/>
      <c r="AR286" s="74"/>
      <c r="AS286" s="74"/>
    </row>
    <row r="325" spans="1:45" s="76" customFormat="1" x14ac:dyDescent="0.2">
      <c r="A325" s="74"/>
      <c r="B325" s="74"/>
      <c r="C325" s="83"/>
      <c r="D325" s="83"/>
      <c r="E325" s="83"/>
      <c r="F325" s="74"/>
      <c r="G325" s="74"/>
      <c r="H325" s="74"/>
      <c r="I325" s="77" t="e">
        <f>#REF!</f>
        <v>#REF!</v>
      </c>
      <c r="J325" s="77"/>
      <c r="K325" s="81"/>
      <c r="L325" s="81"/>
      <c r="M325" s="81"/>
      <c r="N325" s="81"/>
      <c r="O325" s="74"/>
      <c r="P325" s="74"/>
      <c r="Q325" s="74"/>
      <c r="R325" s="118"/>
      <c r="S325" s="74"/>
      <c r="T325" s="74"/>
      <c r="U325" s="74"/>
      <c r="V325" s="74"/>
      <c r="W325" s="74"/>
      <c r="X325" s="103"/>
      <c r="Y325" s="103"/>
      <c r="Z325" s="103"/>
      <c r="AA325" s="103"/>
      <c r="AB325" s="103"/>
      <c r="AC325" s="103"/>
      <c r="AD325" s="103"/>
      <c r="AE325" s="103"/>
      <c r="AF325" s="103"/>
      <c r="AG325" s="103"/>
      <c r="AH325" s="103"/>
      <c r="AI325" s="103"/>
      <c r="AJ325" s="103"/>
      <c r="AK325" s="103"/>
      <c r="AL325" s="103"/>
      <c r="AM325" s="103"/>
      <c r="AN325" s="74"/>
      <c r="AO325" s="74"/>
      <c r="AP325" s="74"/>
      <c r="AQ325" s="74"/>
      <c r="AR325" s="74"/>
      <c r="AS325" s="74"/>
    </row>
    <row r="326" spans="1:45" s="76" customFormat="1" x14ac:dyDescent="0.2">
      <c r="A326" s="74"/>
      <c r="B326" s="74"/>
      <c r="C326" s="83"/>
      <c r="D326" s="83"/>
      <c r="E326" s="83"/>
      <c r="F326" s="74"/>
      <c r="G326" s="74"/>
      <c r="H326" s="74"/>
      <c r="I326" s="77" t="e">
        <f>#REF!</f>
        <v>#REF!</v>
      </c>
      <c r="J326" s="77"/>
      <c r="K326" s="81"/>
      <c r="L326" s="81"/>
      <c r="M326" s="81"/>
      <c r="N326" s="81"/>
      <c r="O326" s="74"/>
      <c r="P326" s="74"/>
      <c r="Q326" s="74"/>
      <c r="R326" s="118"/>
      <c r="S326" s="74"/>
      <c r="T326" s="74"/>
      <c r="U326" s="74"/>
      <c r="V326" s="74"/>
      <c r="W326" s="74"/>
      <c r="X326" s="103"/>
      <c r="Y326" s="103"/>
      <c r="Z326" s="103"/>
      <c r="AA326" s="103"/>
      <c r="AB326" s="103"/>
      <c r="AC326" s="103"/>
      <c r="AD326" s="103"/>
      <c r="AE326" s="103"/>
      <c r="AF326" s="103"/>
      <c r="AG326" s="103"/>
      <c r="AH326" s="103"/>
      <c r="AI326" s="103"/>
      <c r="AJ326" s="103"/>
      <c r="AK326" s="103"/>
      <c r="AL326" s="103"/>
      <c r="AM326" s="103"/>
      <c r="AN326" s="74"/>
      <c r="AO326" s="74"/>
      <c r="AP326" s="74"/>
      <c r="AQ326" s="74"/>
      <c r="AR326" s="74"/>
      <c r="AS326" s="74"/>
    </row>
    <row r="327" spans="1:45" s="76" customFormat="1" x14ac:dyDescent="0.2">
      <c r="A327" s="74"/>
      <c r="B327" s="74"/>
      <c r="C327" s="83"/>
      <c r="D327" s="83"/>
      <c r="E327" s="83"/>
      <c r="F327" s="74"/>
      <c r="G327" s="74"/>
      <c r="H327" s="74"/>
      <c r="I327" s="77" t="e">
        <f>I326+I325</f>
        <v>#REF!</v>
      </c>
      <c r="J327" s="77"/>
      <c r="K327" s="171"/>
      <c r="L327" s="171"/>
      <c r="M327" s="171"/>
      <c r="N327" s="171"/>
      <c r="O327" s="74"/>
      <c r="P327" s="74"/>
      <c r="Q327" s="74"/>
      <c r="R327" s="118"/>
      <c r="S327" s="74"/>
      <c r="T327" s="74"/>
      <c r="U327" s="74"/>
      <c r="V327" s="74"/>
      <c r="W327" s="74"/>
      <c r="X327" s="103"/>
      <c r="Y327" s="103"/>
      <c r="Z327" s="103"/>
      <c r="AA327" s="103"/>
      <c r="AB327" s="103"/>
      <c r="AC327" s="103"/>
      <c r="AD327" s="103"/>
      <c r="AE327" s="103"/>
      <c r="AF327" s="103"/>
      <c r="AG327" s="103"/>
      <c r="AH327" s="103"/>
      <c r="AI327" s="103"/>
      <c r="AJ327" s="103"/>
      <c r="AK327" s="103"/>
      <c r="AL327" s="103"/>
      <c r="AM327" s="103"/>
      <c r="AN327" s="74"/>
      <c r="AO327" s="74"/>
      <c r="AP327" s="74"/>
      <c r="AQ327" s="74"/>
      <c r="AR327" s="74"/>
      <c r="AS327" s="74"/>
    </row>
    <row r="329" spans="1:45" s="76" customFormat="1" x14ac:dyDescent="0.2">
      <c r="A329" s="74"/>
      <c r="B329" s="74"/>
      <c r="C329" s="83"/>
      <c r="D329" s="83"/>
      <c r="E329" s="83"/>
      <c r="F329" s="74"/>
      <c r="G329" s="74"/>
      <c r="H329" s="74"/>
      <c r="I329" s="74"/>
      <c r="J329" s="74"/>
      <c r="K329" s="81"/>
      <c r="L329" s="81"/>
      <c r="M329" s="81"/>
      <c r="N329" s="81"/>
      <c r="O329" s="74"/>
      <c r="P329" s="74"/>
      <c r="Q329" s="74"/>
      <c r="R329" s="118"/>
      <c r="S329" s="74"/>
      <c r="T329" s="74"/>
      <c r="U329" s="74"/>
      <c r="V329" s="74"/>
      <c r="W329" s="74"/>
      <c r="X329" s="103"/>
      <c r="Y329" s="103"/>
      <c r="Z329" s="103"/>
      <c r="AA329" s="103"/>
      <c r="AB329" s="103"/>
      <c r="AC329" s="103"/>
      <c r="AD329" s="103"/>
      <c r="AE329" s="103"/>
      <c r="AF329" s="103"/>
      <c r="AG329" s="103"/>
      <c r="AH329" s="103"/>
      <c r="AI329" s="103"/>
      <c r="AJ329" s="103"/>
      <c r="AK329" s="103"/>
      <c r="AL329" s="103"/>
      <c r="AM329" s="103"/>
      <c r="AN329" s="74"/>
      <c r="AO329" s="74"/>
      <c r="AP329" s="74"/>
      <c r="AQ329" s="74"/>
      <c r="AR329" s="74"/>
      <c r="AS329" s="74"/>
    </row>
  </sheetData>
  <mergeCells count="26">
    <mergeCell ref="A1:O1"/>
    <mergeCell ref="A2:O2"/>
    <mergeCell ref="A3:O3"/>
    <mergeCell ref="L4:O4"/>
    <mergeCell ref="A5:A7"/>
    <mergeCell ref="B5:B7"/>
    <mergeCell ref="C5:C7"/>
    <mergeCell ref="D5:D7"/>
    <mergeCell ref="E5:E7"/>
    <mergeCell ref="F5:G5"/>
    <mergeCell ref="M5:M7"/>
    <mergeCell ref="AL12:AM12"/>
    <mergeCell ref="A261:B261"/>
    <mergeCell ref="N5:N7"/>
    <mergeCell ref="S5:S7"/>
    <mergeCell ref="U5:U7"/>
    <mergeCell ref="F6:F7"/>
    <mergeCell ref="G6:G7"/>
    <mergeCell ref="I6:I7"/>
    <mergeCell ref="J6:J7"/>
    <mergeCell ref="K6:K7"/>
    <mergeCell ref="L6:L7"/>
    <mergeCell ref="H5:H7"/>
    <mergeCell ref="I5:J5"/>
    <mergeCell ref="K5:L5"/>
    <mergeCell ref="O5:O7"/>
  </mergeCells>
  <printOptions horizontalCentered="1"/>
  <pageMargins left="0.19685039370078741" right="0.19685039370078741" top="0.51181102362204722" bottom="0.51181102362204722" header="0.51181102362204722" footer="0.51181102362204722"/>
  <pageSetup paperSize="9" scale="75" orientation="landscape" r:id="rId1"/>
  <headerFooter>
    <oddHeader>Page &amp;P</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W160"/>
  <sheetViews>
    <sheetView zoomScale="85" zoomScaleNormal="85" zoomScaleSheetLayoutView="130" workbookViewId="0">
      <pane ySplit="7" topLeftCell="A81" activePane="bottomLeft" state="frozen"/>
      <selection pane="bottomLeft" activeCell="K89" sqref="K89"/>
    </sheetView>
  </sheetViews>
  <sheetFormatPr defaultColWidth="9.33203125" defaultRowHeight="12.75" x14ac:dyDescent="0.2"/>
  <cols>
    <col min="1" max="1" width="5.33203125" style="74" customWidth="1"/>
    <col min="2" max="2" width="60" style="74" customWidth="1"/>
    <col min="3" max="3" width="9.33203125" style="74" customWidth="1"/>
    <col min="4" max="4" width="8.6640625" style="74" customWidth="1"/>
    <col min="5" max="5" width="7.83203125" style="74" customWidth="1"/>
    <col min="6" max="6" width="14.5" style="74" customWidth="1"/>
    <col min="7" max="7" width="12.5" style="74" customWidth="1"/>
    <col min="8" max="8" width="11.6640625" style="74" customWidth="1"/>
    <col min="9" max="9" width="13" style="76" customWidth="1"/>
    <col min="10" max="10" width="10.5" style="76" customWidth="1"/>
    <col min="11" max="11" width="11.83203125" style="81" customWidth="1"/>
    <col min="12" max="16" width="12" style="81" customWidth="1"/>
    <col min="17" max="17" width="8.6640625" style="76" customWidth="1"/>
    <col min="18" max="18" width="9.83203125" style="76" customWidth="1"/>
    <col min="19" max="21" width="6.1640625" style="74" customWidth="1"/>
    <col min="22" max="22" width="8.33203125" style="118" customWidth="1"/>
    <col min="23" max="23" width="17.33203125" style="74" customWidth="1"/>
    <col min="24" max="24" width="10.5" style="74" customWidth="1"/>
    <col min="25" max="25" width="23.5" style="74" customWidth="1"/>
    <col min="26" max="26" width="10.1640625" style="74" customWidth="1"/>
    <col min="27" max="27" width="11.5" style="74" customWidth="1"/>
    <col min="28" max="28" width="11.6640625" style="103" customWidth="1"/>
    <col min="29" max="30" width="9.33203125" style="103" customWidth="1"/>
    <col min="31" max="31" width="9.83203125" style="103" customWidth="1"/>
    <col min="32" max="32" width="9.33203125" style="103" customWidth="1"/>
    <col min="33" max="33" width="9.33203125" style="103"/>
    <col min="34" max="34" width="11.6640625" style="103" bestFit="1" customWidth="1"/>
    <col min="35" max="35" width="12.33203125" style="103" customWidth="1"/>
    <col min="36" max="36" width="11.1640625" style="103" bestFit="1" customWidth="1"/>
    <col min="37" max="43" width="9.33203125" style="103"/>
    <col min="44" max="16384" width="9.33203125" style="74"/>
  </cols>
  <sheetData>
    <row r="1" spans="1:43" ht="15.75" x14ac:dyDescent="0.2">
      <c r="A1" s="903" t="s">
        <v>603</v>
      </c>
      <c r="B1" s="903"/>
      <c r="C1" s="903"/>
      <c r="D1" s="903"/>
      <c r="E1" s="903"/>
      <c r="F1" s="903"/>
      <c r="G1" s="903"/>
      <c r="H1" s="903"/>
      <c r="I1" s="903"/>
      <c r="J1" s="903"/>
      <c r="K1" s="903"/>
      <c r="L1" s="903"/>
      <c r="M1" s="903"/>
      <c r="N1" s="903"/>
      <c r="O1" s="903"/>
      <c r="P1" s="903"/>
      <c r="Q1" s="903"/>
      <c r="R1" s="903"/>
      <c r="S1" s="903"/>
      <c r="T1" s="117"/>
      <c r="U1" s="117"/>
      <c r="Y1" s="77"/>
    </row>
    <row r="2" spans="1:43" ht="18.600000000000001" customHeight="1" x14ac:dyDescent="0.2">
      <c r="A2" s="880" t="s">
        <v>652</v>
      </c>
      <c r="B2" s="880"/>
      <c r="C2" s="880"/>
      <c r="D2" s="880"/>
      <c r="E2" s="880"/>
      <c r="F2" s="880"/>
      <c r="G2" s="880"/>
      <c r="H2" s="880"/>
      <c r="I2" s="880"/>
      <c r="J2" s="880"/>
      <c r="K2" s="880"/>
      <c r="L2" s="880"/>
      <c r="M2" s="880"/>
      <c r="N2" s="880"/>
      <c r="O2" s="880"/>
      <c r="P2" s="880"/>
      <c r="Q2" s="880"/>
      <c r="R2" s="880"/>
      <c r="S2" s="880"/>
      <c r="T2" s="172"/>
      <c r="U2" s="172"/>
    </row>
    <row r="3" spans="1:43" ht="17.25" customHeight="1" x14ac:dyDescent="0.2">
      <c r="A3" s="881" t="s">
        <v>575</v>
      </c>
      <c r="B3" s="881"/>
      <c r="C3" s="881"/>
      <c r="D3" s="881"/>
      <c r="E3" s="881"/>
      <c r="F3" s="881"/>
      <c r="G3" s="881"/>
      <c r="H3" s="881"/>
      <c r="I3" s="881"/>
      <c r="J3" s="881"/>
      <c r="K3" s="881"/>
      <c r="L3" s="881"/>
      <c r="M3" s="881"/>
      <c r="N3" s="881"/>
      <c r="O3" s="881"/>
      <c r="P3" s="881"/>
      <c r="Q3" s="881"/>
      <c r="R3" s="881"/>
      <c r="S3" s="881"/>
      <c r="T3" s="173"/>
      <c r="U3" s="173"/>
      <c r="V3" s="119"/>
    </row>
    <row r="4" spans="1:43" ht="21.75" customHeight="1" thickBot="1" x14ac:dyDescent="0.25">
      <c r="A4" s="78"/>
      <c r="B4" s="78"/>
      <c r="C4" s="78"/>
      <c r="D4" s="78"/>
      <c r="E4" s="78"/>
      <c r="F4" s="78"/>
      <c r="G4" s="78"/>
      <c r="H4" s="78"/>
      <c r="I4" s="80"/>
      <c r="J4" s="100"/>
      <c r="K4" s="382"/>
      <c r="L4" s="382"/>
      <c r="M4" s="382"/>
      <c r="N4" s="382"/>
      <c r="O4" s="382"/>
      <c r="P4" s="890" t="s">
        <v>109</v>
      </c>
      <c r="Q4" s="890"/>
      <c r="R4" s="890"/>
      <c r="S4" s="890"/>
      <c r="T4" s="120"/>
      <c r="U4" s="120"/>
      <c r="V4" s="119"/>
    </row>
    <row r="5" spans="1:43" ht="30.75" customHeight="1" x14ac:dyDescent="0.2">
      <c r="A5" s="875" t="s">
        <v>84</v>
      </c>
      <c r="B5" s="877" t="s">
        <v>85</v>
      </c>
      <c r="C5" s="891" t="s">
        <v>133</v>
      </c>
      <c r="D5" s="891" t="s">
        <v>134</v>
      </c>
      <c r="E5" s="891" t="s">
        <v>135</v>
      </c>
      <c r="F5" s="877" t="s">
        <v>86</v>
      </c>
      <c r="G5" s="877"/>
      <c r="H5" s="877" t="s">
        <v>414</v>
      </c>
      <c r="I5" s="882" t="s">
        <v>107</v>
      </c>
      <c r="J5" s="882"/>
      <c r="K5" s="882" t="s">
        <v>654</v>
      </c>
      <c r="L5" s="882"/>
      <c r="M5" s="882" t="s">
        <v>577</v>
      </c>
      <c r="N5" s="882"/>
      <c r="O5" s="882" t="s">
        <v>578</v>
      </c>
      <c r="P5" s="882"/>
      <c r="Q5" s="882" t="s">
        <v>117</v>
      </c>
      <c r="R5" s="882" t="s">
        <v>579</v>
      </c>
      <c r="S5" s="873" t="s">
        <v>88</v>
      </c>
      <c r="T5" s="121"/>
      <c r="U5" s="121"/>
      <c r="W5" s="898" t="s">
        <v>267</v>
      </c>
      <c r="X5" s="122">
        <f>92/173%</f>
        <v>53.179190751445084</v>
      </c>
      <c r="Y5" s="899" t="s">
        <v>106</v>
      </c>
    </row>
    <row r="6" spans="1:43" ht="18.75" customHeight="1" x14ac:dyDescent="0.2">
      <c r="A6" s="876"/>
      <c r="B6" s="878"/>
      <c r="C6" s="892"/>
      <c r="D6" s="892"/>
      <c r="E6" s="892"/>
      <c r="F6" s="878" t="s">
        <v>89</v>
      </c>
      <c r="G6" s="878" t="s">
        <v>90</v>
      </c>
      <c r="H6" s="878"/>
      <c r="I6" s="883"/>
      <c r="J6" s="883"/>
      <c r="K6" s="883"/>
      <c r="L6" s="883"/>
      <c r="M6" s="883"/>
      <c r="N6" s="883"/>
      <c r="O6" s="883"/>
      <c r="P6" s="883"/>
      <c r="Q6" s="883"/>
      <c r="R6" s="883"/>
      <c r="S6" s="874"/>
      <c r="T6" s="121"/>
      <c r="U6" s="121"/>
      <c r="W6" s="898"/>
      <c r="Y6" s="899"/>
    </row>
    <row r="7" spans="1:43" ht="77.25" customHeight="1" x14ac:dyDescent="0.2">
      <c r="A7" s="907"/>
      <c r="B7" s="906"/>
      <c r="C7" s="908"/>
      <c r="D7" s="908"/>
      <c r="E7" s="908"/>
      <c r="F7" s="906"/>
      <c r="G7" s="906"/>
      <c r="H7" s="906"/>
      <c r="I7" s="632" t="s">
        <v>108</v>
      </c>
      <c r="J7" s="633" t="s">
        <v>415</v>
      </c>
      <c r="K7" s="633" t="s">
        <v>23</v>
      </c>
      <c r="L7" s="633" t="s">
        <v>132</v>
      </c>
      <c r="M7" s="633" t="s">
        <v>23</v>
      </c>
      <c r="N7" s="633" t="s">
        <v>132</v>
      </c>
      <c r="O7" s="633" t="s">
        <v>23</v>
      </c>
      <c r="P7" s="633" t="s">
        <v>132</v>
      </c>
      <c r="Q7" s="904"/>
      <c r="R7" s="904"/>
      <c r="S7" s="905"/>
      <c r="T7" s="121"/>
      <c r="U7" s="121"/>
      <c r="V7" s="123">
        <f>H8+1813</f>
        <v>61498.502</v>
      </c>
      <c r="W7" s="898"/>
      <c r="Y7" s="899"/>
    </row>
    <row r="8" spans="1:43" ht="16.899999999999999" customHeight="1" x14ac:dyDescent="0.2">
      <c r="A8" s="614"/>
      <c r="B8" s="197" t="s">
        <v>23</v>
      </c>
      <c r="C8" s="197"/>
      <c r="D8" s="197"/>
      <c r="E8" s="197"/>
      <c r="F8" s="615"/>
      <c r="G8" s="198">
        <f t="shared" ref="G8:P8" si="0">G14+G27</f>
        <v>650361</v>
      </c>
      <c r="H8" s="198">
        <f t="shared" si="0"/>
        <v>59685.502</v>
      </c>
      <c r="I8" s="198">
        <f t="shared" si="0"/>
        <v>106561.45</v>
      </c>
      <c r="J8" s="198">
        <f t="shared" si="0"/>
        <v>7727</v>
      </c>
      <c r="K8" s="198">
        <f t="shared" si="0"/>
        <v>33402.876000000004</v>
      </c>
      <c r="L8" s="198">
        <f t="shared" si="0"/>
        <v>27921.648999999998</v>
      </c>
      <c r="M8" s="198">
        <f t="shared" si="0"/>
        <v>527.38599999999997</v>
      </c>
      <c r="N8" s="198">
        <f t="shared" si="0"/>
        <v>527.38599999999997</v>
      </c>
      <c r="O8" s="198">
        <f t="shared" si="0"/>
        <v>59685.502</v>
      </c>
      <c r="P8" s="198">
        <f t="shared" si="0"/>
        <v>527.38599999999997</v>
      </c>
      <c r="Q8" s="616">
        <f t="shared" ref="Q8:Q14" si="1">K8/H8%</f>
        <v>55.964806997853522</v>
      </c>
      <c r="R8" s="198">
        <f>R14+R27</f>
        <v>91357.701000000001</v>
      </c>
      <c r="S8" s="617">
        <f>SUM(S9:S13)</f>
        <v>48</v>
      </c>
      <c r="T8" s="124"/>
      <c r="U8" s="124"/>
      <c r="X8" s="125">
        <f>Q8-31.84</f>
        <v>24.124806997853522</v>
      </c>
      <c r="Z8" s="77">
        <f>H8+66627</f>
        <v>126312.50200000001</v>
      </c>
      <c r="AA8" s="126">
        <f>800+45808+43818</f>
        <v>90426</v>
      </c>
    </row>
    <row r="9" spans="1:43" s="79" customFormat="1" ht="18" hidden="1" customHeight="1" x14ac:dyDescent="0.2">
      <c r="A9" s="183">
        <v>1</v>
      </c>
      <c r="B9" s="184" t="s">
        <v>127</v>
      </c>
      <c r="C9" s="184"/>
      <c r="D9" s="184"/>
      <c r="E9" s="184"/>
      <c r="F9" s="184"/>
      <c r="G9" s="185">
        <f>SUMIF($V$14:$V$91,V9,$G$14:$G$91)</f>
        <v>349732</v>
      </c>
      <c r="H9" s="185">
        <f>SUMIF($V$14:$V$91,V9,$H$14:$H$91)</f>
        <v>1772.6949999999997</v>
      </c>
      <c r="I9" s="230">
        <f>SUMIF($V$14:$V$91,V9,$I$14:$I$91)</f>
        <v>0</v>
      </c>
      <c r="J9" s="185">
        <f>SUMIF($V$14:$V$91,V9,$J$14:$J$91)</f>
        <v>0</v>
      </c>
      <c r="K9" s="185">
        <f>SUMIF($V$14:$V$91,V9,$K$14:$K$91)</f>
        <v>1216.7879999999998</v>
      </c>
      <c r="L9" s="185">
        <f>SUMIF($V$14:$V$91,V9,$L$14:$L$91)</f>
        <v>1216.7879999999998</v>
      </c>
      <c r="M9" s="185">
        <f>SUMIF($V$14:$V$91,V9,$M$14:$M$91)</f>
        <v>527.38599999999997</v>
      </c>
      <c r="N9" s="185">
        <f>SUMIF($V$14:$V$91,V9,$N$14:$N$91)</f>
        <v>527.38599999999997</v>
      </c>
      <c r="O9" s="185">
        <f>SUMIF($V$14:$V$91,V9,$O$14:$O$91)</f>
        <v>1772.6949999999997</v>
      </c>
      <c r="P9" s="185">
        <f>SUMIF($V$14:$V$91,V9,$P$14:$P$91)</f>
        <v>527.38599999999997</v>
      </c>
      <c r="Q9" s="186">
        <f t="shared" si="1"/>
        <v>68.640572687348921</v>
      </c>
      <c r="R9" s="185">
        <f>SUMIF($V$14:$V$91,V9,$R$14:$R$91)</f>
        <v>0</v>
      </c>
      <c r="S9" s="187">
        <f>COUNTIF($V$14:$V$91,V9)</f>
        <v>10</v>
      </c>
      <c r="T9" s="127"/>
      <c r="U9" s="127"/>
      <c r="V9" s="118" t="s">
        <v>124</v>
      </c>
      <c r="AA9" s="128">
        <v>66627</v>
      </c>
      <c r="AB9" s="103"/>
      <c r="AC9" s="103"/>
      <c r="AD9" s="103"/>
      <c r="AE9" s="103"/>
      <c r="AF9" s="103"/>
      <c r="AG9" s="103"/>
      <c r="AH9" s="103"/>
      <c r="AI9" s="103"/>
      <c r="AJ9" s="103"/>
      <c r="AK9" s="103"/>
      <c r="AL9" s="103"/>
      <c r="AM9" s="103"/>
      <c r="AN9" s="103"/>
      <c r="AO9" s="103"/>
      <c r="AP9" s="103"/>
      <c r="AQ9" s="103"/>
    </row>
    <row r="10" spans="1:43" s="79" customFormat="1" ht="18" hidden="1" customHeight="1" x14ac:dyDescent="0.2">
      <c r="A10" s="183">
        <v>2</v>
      </c>
      <c r="B10" s="184" t="s">
        <v>128</v>
      </c>
      <c r="C10" s="184"/>
      <c r="D10" s="184"/>
      <c r="E10" s="184"/>
      <c r="F10" s="184"/>
      <c r="G10" s="185">
        <f>SUMIF($V$14:$V$91,V10,$G$14:$G$91)</f>
        <v>52097</v>
      </c>
      <c r="H10" s="185">
        <f>SUMIF($V$14:$V$91,V10,$H$14:$H$91)</f>
        <v>5803.5160000000005</v>
      </c>
      <c r="I10" s="230">
        <f>SUMIF($V$14:$V$91,V10,$I$14:$I$91)</f>
        <v>50796.495999999999</v>
      </c>
      <c r="J10" s="185">
        <f>SUMIF($V$14:$V$91,V10,$J$14:$J$91)</f>
        <v>0</v>
      </c>
      <c r="K10" s="185">
        <f>SUMIF($V$14:$V$91,V10,$K$14:$K$91)</f>
        <v>5685.9440000000004</v>
      </c>
      <c r="L10" s="185">
        <f>SUMIF($V$14:$V$91,V10,$L$14:$L$91)</f>
        <v>5387.7169999999996</v>
      </c>
      <c r="M10" s="185">
        <f>SUMIF($V$14:$V$91,V10,$M$14:$M$91)</f>
        <v>0</v>
      </c>
      <c r="N10" s="185">
        <f>SUMIF($V$14:$V$91,V10,$N$14:$N$91)</f>
        <v>0</v>
      </c>
      <c r="O10" s="185">
        <f>SUMIF($V$14:$V$91,V10,$O$14:$O$91)</f>
        <v>5803.5160000000005</v>
      </c>
      <c r="P10" s="185">
        <f>SUMIF($V$14:$V$91,V10,$P$14:$P$91)</f>
        <v>0</v>
      </c>
      <c r="Q10" s="186">
        <f t="shared" si="1"/>
        <v>97.974124651332048</v>
      </c>
      <c r="R10" s="185">
        <f>SUMIF($V$14:$V$91,V10,$R$14:$R$91)</f>
        <v>0</v>
      </c>
      <c r="S10" s="187">
        <f>COUNTIF($V$14:$V$91,V10)</f>
        <v>11</v>
      </c>
      <c r="T10" s="127"/>
      <c r="U10" s="127"/>
      <c r="V10" s="118" t="s">
        <v>125</v>
      </c>
      <c r="AA10" s="128">
        <f>AA8+AA9</f>
        <v>157053</v>
      </c>
      <c r="AB10" s="103"/>
      <c r="AC10" s="103"/>
      <c r="AD10" s="103"/>
      <c r="AE10" s="103"/>
      <c r="AF10" s="103"/>
      <c r="AG10" s="103"/>
      <c r="AH10" s="103"/>
      <c r="AI10" s="103"/>
      <c r="AJ10" s="103"/>
      <c r="AK10" s="103"/>
      <c r="AL10" s="103"/>
      <c r="AM10" s="103"/>
      <c r="AN10" s="103"/>
      <c r="AO10" s="103"/>
      <c r="AP10" s="103"/>
      <c r="AQ10" s="103"/>
    </row>
    <row r="11" spans="1:43" s="79" customFormat="1" ht="18" hidden="1" customHeight="1" x14ac:dyDescent="0.2">
      <c r="A11" s="183">
        <v>3</v>
      </c>
      <c r="B11" s="184" t="s">
        <v>129</v>
      </c>
      <c r="C11" s="184"/>
      <c r="D11" s="293"/>
      <c r="E11" s="184"/>
      <c r="F11" s="184"/>
      <c r="G11" s="185">
        <f>SUMIF($V$14:$V$91,V11,$G$14:$G$91)</f>
        <v>15450</v>
      </c>
      <c r="H11" s="185">
        <f>SUMIF($V$14:$V$91,V11,$H$14:$H$91)</f>
        <v>8550.2910000000011</v>
      </c>
      <c r="I11" s="230">
        <f>SUMIF($V$14:$V$91,V11,$I$14:$I$91)</f>
        <v>13704.089</v>
      </c>
      <c r="J11" s="185">
        <f>SUMIF($V$14:$V$91,V11,$J$14:$J$91)</f>
        <v>0</v>
      </c>
      <c r="K11" s="185">
        <f>SUMIF($V$14:$V$91,V11,$K$14:$K$91)</f>
        <v>6100</v>
      </c>
      <c r="L11" s="185">
        <f>SUMIF($V$14:$V$91,V11,$L$14:$L$91)</f>
        <v>6100</v>
      </c>
      <c r="M11" s="185">
        <f>SUMIF($V$14:$V$91,V11,$M$14:$M$91)</f>
        <v>0</v>
      </c>
      <c r="N11" s="185">
        <f>SUMIF($V$14:$V$91,V11,$N$14:$N$91)</f>
        <v>0</v>
      </c>
      <c r="O11" s="185">
        <f>SUMIF($V$14:$V$91,V11,$O$14:$O$91)</f>
        <v>8550.2910000000011</v>
      </c>
      <c r="P11" s="185">
        <f>SUMIF($V$14:$V$91,V11,$P$14:$P$91)</f>
        <v>0</v>
      </c>
      <c r="Q11" s="185">
        <f t="shared" si="1"/>
        <v>71.342601088079917</v>
      </c>
      <c r="R11" s="185">
        <f>SUMIF($V$14:$V$91,V11,$R$14:$R$91)</f>
        <v>2199.7089999999998</v>
      </c>
      <c r="S11" s="187">
        <f>COUNTIF($V$14:$V$91,V11)</f>
        <v>3</v>
      </c>
      <c r="T11" s="127"/>
      <c r="U11" s="127"/>
      <c r="V11" s="118" t="s">
        <v>126</v>
      </c>
      <c r="AB11" s="103"/>
      <c r="AC11" s="103"/>
      <c r="AD11" s="103"/>
      <c r="AE11" s="103"/>
      <c r="AF11" s="103"/>
      <c r="AG11" s="103"/>
      <c r="AH11" s="103"/>
      <c r="AI11" s="103"/>
      <c r="AJ11" s="103"/>
      <c r="AK11" s="103"/>
      <c r="AL11" s="103"/>
      <c r="AM11" s="103"/>
      <c r="AN11" s="103"/>
      <c r="AO11" s="103"/>
      <c r="AP11" s="103"/>
      <c r="AQ11" s="103"/>
    </row>
    <row r="12" spans="1:43" s="79" customFormat="1" ht="18" hidden="1" customHeight="1" x14ac:dyDescent="0.2">
      <c r="A12" s="183">
        <v>4</v>
      </c>
      <c r="B12" s="184" t="s">
        <v>130</v>
      </c>
      <c r="C12" s="184"/>
      <c r="D12" s="184"/>
      <c r="E12" s="184"/>
      <c r="F12" s="184"/>
      <c r="G12" s="185">
        <f>SUMIF($V$14:$V$91,V12,$G$14:$G$91)</f>
        <v>146952</v>
      </c>
      <c r="H12" s="185">
        <f>SUMIF($V$14:$V$91,V12,$H$14:$H$91)</f>
        <v>35809</v>
      </c>
      <c r="I12" s="230">
        <f>SUMIF($V$14:$V$91,V12,$I$14:$I$91)</f>
        <v>41060.864999999998</v>
      </c>
      <c r="J12" s="185">
        <f>SUMIF($V$14:$V$91,V12,$J$14:$J$91)</f>
        <v>7652</v>
      </c>
      <c r="K12" s="185">
        <f>SUMIF($V$14:$V$91,V12,$K$14:$K$91)</f>
        <v>17481.358</v>
      </c>
      <c r="L12" s="185">
        <f>SUMIF($V$14:$V$91,V12,$L$14:$L$91)</f>
        <v>14415.358</v>
      </c>
      <c r="M12" s="185">
        <f>SUMIF($V$14:$V$91,V12,$M$14:$M$91)</f>
        <v>0</v>
      </c>
      <c r="N12" s="185">
        <f>SUMIF($V$14:$V$91,V12,$N$14:$N$91)</f>
        <v>0</v>
      </c>
      <c r="O12" s="185">
        <f>SUMIF($V$14:$V$91,V12,$O$14:$O$91)</f>
        <v>35809</v>
      </c>
      <c r="P12" s="185">
        <f>SUMIF($V$14:$V$91,V12,$P$14:$P$91)</f>
        <v>0</v>
      </c>
      <c r="Q12" s="186">
        <f t="shared" si="1"/>
        <v>48.818336172470609</v>
      </c>
      <c r="R12" s="185">
        <f>SUMIF($V$14:$V$91,V12,$R$14:$R$91)</f>
        <v>43471.991999999998</v>
      </c>
      <c r="S12" s="187">
        <f>COUNTIF($V$14:$V$91,V12)</f>
        <v>18</v>
      </c>
      <c r="T12" s="127"/>
      <c r="U12" s="127"/>
      <c r="V12" s="118" t="s">
        <v>122</v>
      </c>
      <c r="AB12" s="103"/>
      <c r="AC12" s="103"/>
      <c r="AD12" s="103"/>
      <c r="AE12" s="103"/>
      <c r="AF12" s="103"/>
      <c r="AG12" s="103"/>
      <c r="AH12" s="103"/>
      <c r="AI12" s="103"/>
      <c r="AJ12" s="103"/>
      <c r="AK12" s="103"/>
      <c r="AL12" s="103"/>
      <c r="AM12" s="103"/>
      <c r="AN12" s="103"/>
      <c r="AO12" s="103"/>
      <c r="AP12" s="103"/>
      <c r="AQ12" s="103"/>
    </row>
    <row r="13" spans="1:43" s="79" customFormat="1" ht="18" hidden="1" customHeight="1" x14ac:dyDescent="0.2">
      <c r="A13" s="183">
        <v>5</v>
      </c>
      <c r="B13" s="184" t="s">
        <v>131</v>
      </c>
      <c r="C13" s="184"/>
      <c r="D13" s="184"/>
      <c r="E13" s="184"/>
      <c r="F13" s="184"/>
      <c r="G13" s="185">
        <f>SUMIF($V$14:$V$91,V13,$G$14:$G$91)</f>
        <v>80130</v>
      </c>
      <c r="H13" s="185">
        <f>SUMIF($V$14:$V$91,V13,$H$14:$H$91)</f>
        <v>7750</v>
      </c>
      <c r="I13" s="230">
        <f>SUMIF($V$14:$V$91,V13,$I$14:$I$91)</f>
        <v>1000</v>
      </c>
      <c r="J13" s="185">
        <f>SUMIF($V$14:$V$91,V13,$J$14:$J$91)</f>
        <v>75</v>
      </c>
      <c r="K13" s="185">
        <f>SUMIF($V$14:$V$91,V13,$K$14:$K$91)</f>
        <v>2918.7860000000001</v>
      </c>
      <c r="L13" s="185">
        <f>SUMIF($V$14:$V$91,V13,$L$14:$L$91)</f>
        <v>801.78599999999994</v>
      </c>
      <c r="M13" s="185">
        <f>SUMIF($V$14:$V$91,V13,$M$14:$M$91)</f>
        <v>0</v>
      </c>
      <c r="N13" s="185">
        <f>SUMIF($V$14:$V$91,V13,$N$14:$N$91)</f>
        <v>0</v>
      </c>
      <c r="O13" s="185">
        <f>SUMIF($V$14:$V$91,V13,$O$14:$O$91)</f>
        <v>7750</v>
      </c>
      <c r="P13" s="185">
        <f>SUMIF($V$14:$V$91,V13,$P$14:$P$91)</f>
        <v>0</v>
      </c>
      <c r="Q13" s="186">
        <f t="shared" si="1"/>
        <v>37.661754838709676</v>
      </c>
      <c r="R13" s="185">
        <f>SUMIF($V$14:$V$91,V13,$R$14:$R$91)</f>
        <v>28426</v>
      </c>
      <c r="S13" s="187">
        <f>COUNTIF($V$14:$V$91,V13)</f>
        <v>6</v>
      </c>
      <c r="T13" s="127"/>
      <c r="U13" s="127"/>
      <c r="V13" s="118" t="s">
        <v>123</v>
      </c>
      <c r="AB13" s="103"/>
      <c r="AC13" s="103"/>
      <c r="AD13" s="103"/>
      <c r="AE13" s="103"/>
      <c r="AF13" s="103"/>
      <c r="AG13" s="103"/>
      <c r="AH13" s="103"/>
      <c r="AI13" s="103"/>
      <c r="AJ13" s="103"/>
      <c r="AK13" s="103"/>
      <c r="AL13" s="103"/>
      <c r="AM13" s="103"/>
      <c r="AN13" s="103"/>
      <c r="AO13" s="103"/>
      <c r="AP13" s="103"/>
      <c r="AQ13" s="103"/>
    </row>
    <row r="14" spans="1:43" ht="17.45" customHeight="1" x14ac:dyDescent="0.2">
      <c r="A14" s="294" t="s">
        <v>24</v>
      </c>
      <c r="B14" s="295" t="s">
        <v>8</v>
      </c>
      <c r="C14" s="295"/>
      <c r="D14" s="295"/>
      <c r="E14" s="295"/>
      <c r="F14" s="296"/>
      <c r="G14" s="297">
        <f>G15+G21+G23+G25</f>
        <v>134270</v>
      </c>
      <c r="H14" s="297">
        <f t="shared" ref="H14:R14" si="2">H15+H21+H23+H25</f>
        <v>12997.386</v>
      </c>
      <c r="I14" s="297">
        <f t="shared" si="2"/>
        <v>8786</v>
      </c>
      <c r="J14" s="297">
        <f t="shared" si="2"/>
        <v>3361</v>
      </c>
      <c r="K14" s="297">
        <f t="shared" si="2"/>
        <v>6298.1720000000005</v>
      </c>
      <c r="L14" s="297">
        <f t="shared" si="2"/>
        <v>3415.172</v>
      </c>
      <c r="M14" s="297">
        <f t="shared" si="2"/>
        <v>527.38599999999997</v>
      </c>
      <c r="N14" s="297">
        <f t="shared" si="2"/>
        <v>527.38599999999997</v>
      </c>
      <c r="O14" s="297">
        <f t="shared" si="2"/>
        <v>12997.386</v>
      </c>
      <c r="P14" s="297">
        <f t="shared" si="2"/>
        <v>527.38599999999997</v>
      </c>
      <c r="Q14" s="298">
        <f t="shared" si="1"/>
        <v>48.457220551886358</v>
      </c>
      <c r="R14" s="297">
        <f t="shared" si="2"/>
        <v>28703</v>
      </c>
      <c r="S14" s="299"/>
      <c r="T14" s="83"/>
      <c r="U14" s="83"/>
    </row>
    <row r="15" spans="1:43" s="82" customFormat="1" ht="15" x14ac:dyDescent="0.2">
      <c r="A15" s="306" t="str">
        <f>'Bieu CKGN (ko in)'!A17</f>
        <v>a</v>
      </c>
      <c r="B15" s="307" t="str">
        <f>'Bieu CKGN (ko in)'!B17</f>
        <v>Dự án hoàn thành, đã phê duyệt quyết toán</v>
      </c>
      <c r="C15" s="307"/>
      <c r="D15" s="307"/>
      <c r="E15" s="307"/>
      <c r="F15" s="204"/>
      <c r="G15" s="311">
        <f t="shared" ref="G15:R15" si="3">SUM(G16:G20)</f>
        <v>54300</v>
      </c>
      <c r="H15" s="319">
        <f t="shared" si="3"/>
        <v>527.38599999999997</v>
      </c>
      <c r="I15" s="311">
        <f t="shared" si="3"/>
        <v>0</v>
      </c>
      <c r="J15" s="311">
        <f t="shared" si="3"/>
        <v>0</v>
      </c>
      <c r="K15" s="311">
        <f t="shared" si="3"/>
        <v>527.38599999999997</v>
      </c>
      <c r="L15" s="311">
        <f t="shared" si="3"/>
        <v>527.38599999999997</v>
      </c>
      <c r="M15" s="311">
        <f t="shared" si="3"/>
        <v>527.38599999999997</v>
      </c>
      <c r="N15" s="311">
        <f t="shared" si="3"/>
        <v>527.38599999999997</v>
      </c>
      <c r="O15" s="311">
        <f t="shared" si="3"/>
        <v>527.38599999999997</v>
      </c>
      <c r="P15" s="311">
        <f t="shared" si="3"/>
        <v>527.38599999999997</v>
      </c>
      <c r="Q15" s="311"/>
      <c r="R15" s="311">
        <f t="shared" si="3"/>
        <v>0</v>
      </c>
      <c r="S15" s="310"/>
      <c r="T15" s="129"/>
      <c r="U15" s="129"/>
      <c r="V15" s="138"/>
      <c r="W15" s="130"/>
      <c r="X15" s="131"/>
      <c r="Z15" s="130"/>
      <c r="AB15" s="112"/>
      <c r="AC15" s="112"/>
      <c r="AD15" s="112"/>
      <c r="AE15" s="112"/>
      <c r="AF15" s="112"/>
      <c r="AG15" s="112"/>
      <c r="AH15" s="365"/>
      <c r="AI15" s="365"/>
      <c r="AJ15" s="112"/>
      <c r="AK15" s="112"/>
      <c r="AL15" s="112"/>
      <c r="AM15" s="112"/>
      <c r="AN15" s="112"/>
      <c r="AO15" s="112"/>
      <c r="AP15" s="112"/>
      <c r="AQ15" s="112"/>
    </row>
    <row r="16" spans="1:43" ht="45" x14ac:dyDescent="0.2">
      <c r="A16" s="208">
        <f>'Bieu CKGN (ko in)'!A18</f>
        <v>1</v>
      </c>
      <c r="B16" s="242" t="s">
        <v>418</v>
      </c>
      <c r="C16" s="218" t="s">
        <v>138</v>
      </c>
      <c r="D16" s="242"/>
      <c r="E16" s="219"/>
      <c r="F16" s="219" t="s">
        <v>419</v>
      </c>
      <c r="G16" s="314">
        <v>3500</v>
      </c>
      <c r="H16" s="225">
        <v>26.625</v>
      </c>
      <c r="I16" s="230">
        <f>+J16</f>
        <v>0</v>
      </c>
      <c r="J16" s="213"/>
      <c r="K16" s="225">
        <f>L16</f>
        <v>26.625</v>
      </c>
      <c r="L16" s="225">
        <v>26.625</v>
      </c>
      <c r="M16" s="225">
        <v>26.625</v>
      </c>
      <c r="N16" s="225">
        <v>26.625</v>
      </c>
      <c r="O16" s="225">
        <v>26.625</v>
      </c>
      <c r="P16" s="225">
        <v>26.625</v>
      </c>
      <c r="Q16" s="230"/>
      <c r="R16" s="230"/>
      <c r="S16" s="315"/>
      <c r="T16" s="83"/>
      <c r="U16" s="83"/>
      <c r="V16" s="118" t="s">
        <v>124</v>
      </c>
      <c r="W16" s="133" t="s">
        <v>268</v>
      </c>
      <c r="AH16" s="365">
        <f t="shared" ref="AH16:AI20" si="4">H16-K16</f>
        <v>0</v>
      </c>
      <c r="AI16" s="365">
        <f t="shared" si="4"/>
        <v>-26.625</v>
      </c>
    </row>
    <row r="17" spans="1:49" ht="30" x14ac:dyDescent="0.2">
      <c r="A17" s="208">
        <f>'Bieu CKGN (ko in)'!A19</f>
        <v>2</v>
      </c>
      <c r="B17" s="242" t="s">
        <v>420</v>
      </c>
      <c r="C17" s="218" t="s">
        <v>143</v>
      </c>
      <c r="D17" s="242"/>
      <c r="E17" s="265"/>
      <c r="F17" s="219" t="s">
        <v>421</v>
      </c>
      <c r="G17" s="314">
        <v>9800</v>
      </c>
      <c r="H17" s="225">
        <v>201.38300000000001</v>
      </c>
      <c r="I17" s="230">
        <f t="shared" ref="I17:I20" si="5">+J17</f>
        <v>0</v>
      </c>
      <c r="J17" s="230"/>
      <c r="K17" s="225">
        <f>L17</f>
        <v>201.38300000000001</v>
      </c>
      <c r="L17" s="225">
        <v>201.38300000000001</v>
      </c>
      <c r="M17" s="225">
        <v>201.38300000000001</v>
      </c>
      <c r="N17" s="225">
        <v>201.38300000000001</v>
      </c>
      <c r="O17" s="225">
        <v>201.38300000000001</v>
      </c>
      <c r="P17" s="225">
        <v>201.38300000000001</v>
      </c>
      <c r="Q17" s="230"/>
      <c r="R17" s="230"/>
      <c r="S17" s="315"/>
      <c r="T17" s="83"/>
      <c r="U17" s="83"/>
      <c r="V17" s="118" t="s">
        <v>124</v>
      </c>
      <c r="W17" s="133" t="s">
        <v>268</v>
      </c>
      <c r="AH17" s="365">
        <f t="shared" si="4"/>
        <v>0</v>
      </c>
      <c r="AI17" s="365">
        <f t="shared" si="4"/>
        <v>-201.38300000000001</v>
      </c>
    </row>
    <row r="18" spans="1:49" ht="30" x14ac:dyDescent="0.2">
      <c r="A18" s="208">
        <v>3</v>
      </c>
      <c r="B18" s="242" t="s">
        <v>422</v>
      </c>
      <c r="C18" s="218" t="s">
        <v>148</v>
      </c>
      <c r="D18" s="242"/>
      <c r="E18" s="219"/>
      <c r="F18" s="219" t="s">
        <v>423</v>
      </c>
      <c r="G18" s="314">
        <v>19700</v>
      </c>
      <c r="H18" s="320">
        <v>156.37799999999999</v>
      </c>
      <c r="I18" s="230">
        <f t="shared" si="5"/>
        <v>0</v>
      </c>
      <c r="J18" s="230"/>
      <c r="K18" s="225">
        <f t="shared" ref="K18:K20" si="6">L18</f>
        <v>156.37799999999999</v>
      </c>
      <c r="L18" s="225">
        <v>156.37799999999999</v>
      </c>
      <c r="M18" s="225">
        <v>156.37799999999999</v>
      </c>
      <c r="N18" s="225">
        <v>156.37799999999999</v>
      </c>
      <c r="O18" s="225">
        <v>156.37799999999999</v>
      </c>
      <c r="P18" s="225">
        <v>156.37799999999999</v>
      </c>
      <c r="Q18" s="230"/>
      <c r="R18" s="230"/>
      <c r="S18" s="321"/>
      <c r="T18" s="139"/>
      <c r="U18" s="139"/>
      <c r="V18" s="118" t="s">
        <v>124</v>
      </c>
      <c r="W18" s="133" t="s">
        <v>268</v>
      </c>
      <c r="AH18" s="365">
        <f t="shared" si="4"/>
        <v>0</v>
      </c>
      <c r="AI18" s="365">
        <f t="shared" si="4"/>
        <v>-156.37799999999999</v>
      </c>
    </row>
    <row r="19" spans="1:49" ht="30" x14ac:dyDescent="0.2">
      <c r="A19" s="208">
        <v>4</v>
      </c>
      <c r="B19" s="242" t="s">
        <v>424</v>
      </c>
      <c r="C19" s="218" t="s">
        <v>166</v>
      </c>
      <c r="D19" s="242"/>
      <c r="E19" s="219"/>
      <c r="F19" s="219" t="s">
        <v>425</v>
      </c>
      <c r="G19" s="314">
        <v>11300</v>
      </c>
      <c r="H19" s="320">
        <v>112</v>
      </c>
      <c r="I19" s="230">
        <f t="shared" si="5"/>
        <v>0</v>
      </c>
      <c r="J19" s="230"/>
      <c r="K19" s="225">
        <f t="shared" si="6"/>
        <v>112</v>
      </c>
      <c r="L19" s="225">
        <v>112</v>
      </c>
      <c r="M19" s="225">
        <v>112</v>
      </c>
      <c r="N19" s="225">
        <v>112</v>
      </c>
      <c r="O19" s="225">
        <v>112</v>
      </c>
      <c r="P19" s="225">
        <v>112</v>
      </c>
      <c r="Q19" s="230"/>
      <c r="R19" s="230"/>
      <c r="S19" s="315"/>
      <c r="T19" s="140"/>
      <c r="U19" s="140"/>
      <c r="V19" s="118" t="s">
        <v>124</v>
      </c>
      <c r="W19" s="133" t="s">
        <v>268</v>
      </c>
      <c r="AH19" s="365">
        <f t="shared" si="4"/>
        <v>0</v>
      </c>
      <c r="AI19" s="365">
        <f t="shared" si="4"/>
        <v>-112</v>
      </c>
    </row>
    <row r="20" spans="1:49" ht="30" x14ac:dyDescent="0.2">
      <c r="A20" s="208">
        <v>5</v>
      </c>
      <c r="B20" s="242" t="s">
        <v>426</v>
      </c>
      <c r="C20" s="218" t="s">
        <v>226</v>
      </c>
      <c r="D20" s="242"/>
      <c r="E20" s="219"/>
      <c r="F20" s="219" t="s">
        <v>427</v>
      </c>
      <c r="G20" s="314">
        <v>10000</v>
      </c>
      <c r="H20" s="320">
        <v>31</v>
      </c>
      <c r="I20" s="230">
        <f t="shared" si="5"/>
        <v>0</v>
      </c>
      <c r="J20" s="230"/>
      <c r="K20" s="225">
        <f t="shared" si="6"/>
        <v>31</v>
      </c>
      <c r="L20" s="225">
        <v>31</v>
      </c>
      <c r="M20" s="225">
        <v>31</v>
      </c>
      <c r="N20" s="225">
        <v>31</v>
      </c>
      <c r="O20" s="225">
        <v>31</v>
      </c>
      <c r="P20" s="225">
        <v>31</v>
      </c>
      <c r="Q20" s="230"/>
      <c r="R20" s="230"/>
      <c r="S20" s="321"/>
      <c r="T20" s="139"/>
      <c r="U20" s="139"/>
      <c r="V20" s="118" t="s">
        <v>124</v>
      </c>
      <c r="W20" s="133" t="s">
        <v>268</v>
      </c>
      <c r="AH20" s="365">
        <f t="shared" si="4"/>
        <v>0</v>
      </c>
      <c r="AI20" s="365">
        <f t="shared" si="4"/>
        <v>-31</v>
      </c>
    </row>
    <row r="21" spans="1:49" s="82" customFormat="1" ht="15" x14ac:dyDescent="0.2">
      <c r="A21" s="306" t="s">
        <v>30</v>
      </c>
      <c r="B21" s="307" t="s">
        <v>428</v>
      </c>
      <c r="C21" s="307"/>
      <c r="D21" s="307"/>
      <c r="E21" s="307"/>
      <c r="F21" s="260"/>
      <c r="G21" s="311">
        <f>SUM(G22)</f>
        <v>14990</v>
      </c>
      <c r="H21" s="311">
        <f t="shared" ref="H21:R21" si="7">SUM(H22)</f>
        <v>4720</v>
      </c>
      <c r="I21" s="311">
        <f t="shared" si="7"/>
        <v>7786</v>
      </c>
      <c r="J21" s="311">
        <f t="shared" si="7"/>
        <v>3286</v>
      </c>
      <c r="K21" s="311">
        <f t="shared" si="7"/>
        <v>2852</v>
      </c>
      <c r="L21" s="311">
        <f t="shared" si="7"/>
        <v>2086</v>
      </c>
      <c r="M21" s="311">
        <f t="shared" si="7"/>
        <v>0</v>
      </c>
      <c r="N21" s="311">
        <f t="shared" si="7"/>
        <v>0</v>
      </c>
      <c r="O21" s="311">
        <f t="shared" si="7"/>
        <v>4720</v>
      </c>
      <c r="P21" s="311">
        <f t="shared" si="7"/>
        <v>0</v>
      </c>
      <c r="Q21" s="311"/>
      <c r="R21" s="311">
        <f t="shared" si="7"/>
        <v>4722</v>
      </c>
      <c r="S21" s="310"/>
      <c r="T21" s="129"/>
      <c r="U21" s="129"/>
      <c r="V21" s="119"/>
      <c r="AB21" s="112"/>
      <c r="AC21" s="112"/>
      <c r="AD21" s="112"/>
      <c r="AE21" s="112"/>
      <c r="AF21" s="112"/>
      <c r="AG21" s="112"/>
      <c r="AH21" s="365"/>
      <c r="AI21" s="365"/>
      <c r="AJ21" s="112"/>
      <c r="AK21" s="112"/>
      <c r="AL21" s="112"/>
      <c r="AM21" s="112"/>
      <c r="AN21" s="112"/>
      <c r="AO21" s="112"/>
      <c r="AP21" s="112"/>
      <c r="AQ21" s="112"/>
    </row>
    <row r="22" spans="1:49" s="79" customFormat="1" ht="28.5" customHeight="1" x14ac:dyDescent="0.2">
      <c r="A22" s="183">
        <f>'Bieu CKGN (ko in)'!A25</f>
        <v>1</v>
      </c>
      <c r="B22" s="184" t="str">
        <f>'Bieu CKGN (ko in)'!B25</f>
        <v>Nâng cấp hệ thống nước sinh hoạt thị trấn Mường Tè</v>
      </c>
      <c r="C22" s="240" t="s">
        <v>142</v>
      </c>
      <c r="D22" s="184"/>
      <c r="E22" s="184"/>
      <c r="F22" s="240" t="str">
        <f>'Bieu CKGN (ko in)'!C25</f>
        <v>1626-06/12/2021</v>
      </c>
      <c r="G22" s="224">
        <f>'Bieu CKGN (ko in)'!D25</f>
        <v>14990</v>
      </c>
      <c r="H22" s="224">
        <v>4720</v>
      </c>
      <c r="I22" s="230">
        <v>7786</v>
      </c>
      <c r="J22" s="185">
        <v>3286</v>
      </c>
      <c r="K22" s="322">
        <v>2852</v>
      </c>
      <c r="L22" s="185">
        <v>2086</v>
      </c>
      <c r="M22" s="185"/>
      <c r="N22" s="185"/>
      <c r="O22" s="224">
        <v>4720</v>
      </c>
      <c r="P22" s="185"/>
      <c r="Q22" s="185"/>
      <c r="R22" s="185">
        <f>G22-(O22+5548)</f>
        <v>4722</v>
      </c>
      <c r="S22" s="223"/>
      <c r="T22" s="83"/>
      <c r="U22" s="83"/>
      <c r="V22" s="118" t="s">
        <v>122</v>
      </c>
      <c r="W22" s="133" t="s">
        <v>268</v>
      </c>
      <c r="Y22" s="115"/>
      <c r="AB22" s="103"/>
      <c r="AC22" s="103"/>
      <c r="AD22" s="103"/>
      <c r="AE22" s="103"/>
      <c r="AF22" s="103"/>
      <c r="AG22" s="103"/>
      <c r="AH22" s="365">
        <f>H22-K22</f>
        <v>1868</v>
      </c>
      <c r="AI22" s="365">
        <f>I22-L22</f>
        <v>5700</v>
      </c>
      <c r="AJ22" s="103"/>
      <c r="AK22" s="103"/>
      <c r="AL22" s="103"/>
      <c r="AM22" s="103"/>
      <c r="AN22" s="103"/>
      <c r="AO22" s="103"/>
      <c r="AP22" s="103"/>
      <c r="AQ22" s="103"/>
    </row>
    <row r="23" spans="1:49" s="79" customFormat="1" ht="28.5" customHeight="1" x14ac:dyDescent="0.2">
      <c r="A23" s="201" t="s">
        <v>32</v>
      </c>
      <c r="B23" s="307" t="s">
        <v>463</v>
      </c>
      <c r="C23" s="240"/>
      <c r="D23" s="184"/>
      <c r="E23" s="184"/>
      <c r="F23" s="240"/>
      <c r="G23" s="311">
        <f>SUM(G24)</f>
        <v>14980</v>
      </c>
      <c r="H23" s="311">
        <f t="shared" ref="H23:R23" si="8">SUM(H24)</f>
        <v>7750</v>
      </c>
      <c r="I23" s="311">
        <f t="shared" si="8"/>
        <v>1000</v>
      </c>
      <c r="J23" s="311">
        <f t="shared" si="8"/>
        <v>75</v>
      </c>
      <c r="K23" s="311">
        <f t="shared" si="8"/>
        <v>2918.7860000000001</v>
      </c>
      <c r="L23" s="311">
        <f t="shared" si="8"/>
        <v>801.78599999999994</v>
      </c>
      <c r="M23" s="311">
        <f t="shared" si="8"/>
        <v>0</v>
      </c>
      <c r="N23" s="311">
        <f t="shared" si="8"/>
        <v>0</v>
      </c>
      <c r="O23" s="311">
        <f t="shared" si="8"/>
        <v>7750</v>
      </c>
      <c r="P23" s="311">
        <f t="shared" si="8"/>
        <v>0</v>
      </c>
      <c r="Q23" s="185"/>
      <c r="R23" s="311">
        <f t="shared" si="8"/>
        <v>6481</v>
      </c>
      <c r="S23" s="223"/>
      <c r="T23" s="83"/>
      <c r="U23" s="83"/>
      <c r="V23" s="118"/>
      <c r="W23" s="133"/>
      <c r="Y23" s="115"/>
      <c r="AB23" s="103"/>
      <c r="AC23" s="103"/>
      <c r="AD23" s="103"/>
      <c r="AE23" s="103"/>
      <c r="AF23" s="103"/>
      <c r="AG23" s="103"/>
      <c r="AH23" s="365"/>
      <c r="AI23" s="365"/>
      <c r="AJ23" s="103"/>
      <c r="AK23" s="103"/>
      <c r="AL23" s="103"/>
      <c r="AM23" s="103"/>
      <c r="AN23" s="103"/>
      <c r="AO23" s="103"/>
      <c r="AP23" s="103"/>
      <c r="AQ23" s="103"/>
    </row>
    <row r="24" spans="1:49" s="79" customFormat="1" ht="45" x14ac:dyDescent="0.2">
      <c r="A24" s="183">
        <v>2</v>
      </c>
      <c r="B24" s="184" t="s">
        <v>532</v>
      </c>
      <c r="C24" s="240" t="s">
        <v>142</v>
      </c>
      <c r="D24" s="184"/>
      <c r="E24" s="184"/>
      <c r="F24" s="240" t="s">
        <v>533</v>
      </c>
      <c r="G24" s="224">
        <v>14980</v>
      </c>
      <c r="H24" s="224">
        <v>7750</v>
      </c>
      <c r="I24" s="185">
        <f>925+75</f>
        <v>1000</v>
      </c>
      <c r="J24" s="185">
        <v>75</v>
      </c>
      <c r="K24" s="322">
        <v>2918.7860000000001</v>
      </c>
      <c r="L24" s="185">
        <v>801.78599999999994</v>
      </c>
      <c r="M24" s="185"/>
      <c r="N24" s="185"/>
      <c r="O24" s="224">
        <v>7750</v>
      </c>
      <c r="P24" s="185"/>
      <c r="Q24" s="185"/>
      <c r="R24" s="185">
        <f>G24*95%-O24</f>
        <v>6481</v>
      </c>
      <c r="S24" s="223"/>
      <c r="T24" s="83"/>
      <c r="U24" s="83"/>
      <c r="V24" s="118" t="s">
        <v>123</v>
      </c>
      <c r="W24" s="133" t="s">
        <v>268</v>
      </c>
      <c r="Y24" s="115"/>
      <c r="AB24" s="103"/>
      <c r="AC24" s="103"/>
      <c r="AD24" s="103"/>
      <c r="AE24" s="103"/>
      <c r="AF24" s="103"/>
      <c r="AG24" s="103"/>
      <c r="AH24" s="365"/>
      <c r="AI24" s="365"/>
      <c r="AJ24" s="103"/>
      <c r="AK24" s="103"/>
      <c r="AL24" s="103"/>
      <c r="AM24" s="103"/>
      <c r="AN24" s="103"/>
      <c r="AO24" s="103"/>
      <c r="AP24" s="103"/>
      <c r="AQ24" s="103"/>
    </row>
    <row r="25" spans="1:49" s="79" customFormat="1" ht="15" x14ac:dyDescent="0.2">
      <c r="A25" s="306" t="s">
        <v>36</v>
      </c>
      <c r="B25" s="307" t="s">
        <v>583</v>
      </c>
      <c r="C25" s="240"/>
      <c r="D25" s="184"/>
      <c r="E25" s="184"/>
      <c r="F25" s="240"/>
      <c r="G25" s="311">
        <f>SUM(G26)</f>
        <v>50000</v>
      </c>
      <c r="H25" s="311">
        <f t="shared" ref="H25:R25" si="9">SUM(H26)</f>
        <v>0</v>
      </c>
      <c r="I25" s="311">
        <f t="shared" si="9"/>
        <v>0</v>
      </c>
      <c r="J25" s="311">
        <f t="shared" si="9"/>
        <v>0</v>
      </c>
      <c r="K25" s="311">
        <f t="shared" si="9"/>
        <v>0</v>
      </c>
      <c r="L25" s="311">
        <f t="shared" si="9"/>
        <v>0</v>
      </c>
      <c r="M25" s="311">
        <f t="shared" si="9"/>
        <v>0</v>
      </c>
      <c r="N25" s="311">
        <f t="shared" si="9"/>
        <v>0</v>
      </c>
      <c r="O25" s="311">
        <f t="shared" si="9"/>
        <v>0</v>
      </c>
      <c r="P25" s="311">
        <f t="shared" si="9"/>
        <v>0</v>
      </c>
      <c r="Q25" s="185"/>
      <c r="R25" s="311">
        <f t="shared" si="9"/>
        <v>17500</v>
      </c>
      <c r="S25" s="223"/>
      <c r="T25" s="83"/>
      <c r="U25" s="83"/>
      <c r="V25" s="118"/>
      <c r="W25" s="133"/>
      <c r="Y25" s="115"/>
      <c r="AB25" s="103"/>
      <c r="AC25" s="103"/>
      <c r="AD25" s="103"/>
      <c r="AE25" s="103"/>
      <c r="AF25" s="103"/>
      <c r="AG25" s="103"/>
      <c r="AH25" s="365"/>
      <c r="AI25" s="365"/>
      <c r="AJ25" s="103"/>
      <c r="AK25" s="103"/>
      <c r="AL25" s="103"/>
      <c r="AM25" s="103"/>
      <c r="AN25" s="103"/>
      <c r="AO25" s="103"/>
      <c r="AP25" s="103"/>
      <c r="AQ25" s="103"/>
    </row>
    <row r="26" spans="1:49" s="79" customFormat="1" ht="45" x14ac:dyDescent="0.2">
      <c r="A26" s="183">
        <v>1</v>
      </c>
      <c r="B26" s="184" t="s">
        <v>584</v>
      </c>
      <c r="C26" s="240" t="s">
        <v>142</v>
      </c>
      <c r="D26" s="184"/>
      <c r="E26" s="184"/>
      <c r="F26" s="240"/>
      <c r="G26" s="224">
        <v>50000</v>
      </c>
      <c r="H26" s="224"/>
      <c r="I26" s="185"/>
      <c r="J26" s="185"/>
      <c r="K26" s="322"/>
      <c r="L26" s="185"/>
      <c r="M26" s="185"/>
      <c r="N26" s="185"/>
      <c r="O26" s="185"/>
      <c r="P26" s="185"/>
      <c r="Q26" s="185"/>
      <c r="R26" s="185">
        <f>G26*35%</f>
        <v>17500</v>
      </c>
      <c r="S26" s="223"/>
      <c r="T26" s="83"/>
      <c r="U26" s="83"/>
      <c r="V26" s="118" t="s">
        <v>123</v>
      </c>
      <c r="W26" s="133" t="s">
        <v>268</v>
      </c>
      <c r="Y26" s="115"/>
      <c r="AB26" s="103"/>
      <c r="AC26" s="103"/>
      <c r="AD26" s="103"/>
      <c r="AE26" s="103"/>
      <c r="AF26" s="103"/>
      <c r="AG26" s="103"/>
      <c r="AH26" s="365"/>
      <c r="AI26" s="365"/>
      <c r="AJ26" s="103"/>
      <c r="AK26" s="103"/>
      <c r="AL26" s="103"/>
      <c r="AM26" s="103"/>
      <c r="AN26" s="103"/>
      <c r="AO26" s="103"/>
      <c r="AP26" s="103"/>
      <c r="AQ26" s="103"/>
    </row>
    <row r="27" spans="1:49" ht="19.149999999999999" customHeight="1" x14ac:dyDescent="0.2">
      <c r="A27" s="294" t="str">
        <f>'Bieu CKGN (ko in)'!A26</f>
        <v>B</v>
      </c>
      <c r="B27" s="295" t="str">
        <f>'Bieu CKGN (ko in)'!B26</f>
        <v>Cấp huyện quản lý</v>
      </c>
      <c r="C27" s="295"/>
      <c r="D27" s="295"/>
      <c r="E27" s="295"/>
      <c r="F27" s="296"/>
      <c r="G27" s="297">
        <f t="shared" ref="G27:P27" si="10">G28+G81</f>
        <v>516091</v>
      </c>
      <c r="H27" s="297">
        <f t="shared" si="10"/>
        <v>46688.116000000002</v>
      </c>
      <c r="I27" s="297">
        <f t="shared" si="10"/>
        <v>97775.45</v>
      </c>
      <c r="J27" s="297">
        <f t="shared" si="10"/>
        <v>4366</v>
      </c>
      <c r="K27" s="297">
        <f t="shared" si="10"/>
        <v>27104.704000000002</v>
      </c>
      <c r="L27" s="297">
        <f t="shared" si="10"/>
        <v>24506.476999999999</v>
      </c>
      <c r="M27" s="297">
        <f t="shared" si="10"/>
        <v>0</v>
      </c>
      <c r="N27" s="297">
        <f t="shared" si="10"/>
        <v>0</v>
      </c>
      <c r="O27" s="297">
        <f t="shared" si="10"/>
        <v>46688.116000000002</v>
      </c>
      <c r="P27" s="297">
        <f t="shared" si="10"/>
        <v>0</v>
      </c>
      <c r="Q27" s="298">
        <f>K27/H27%</f>
        <v>58.05482491518827</v>
      </c>
      <c r="R27" s="297">
        <f>R28+R81</f>
        <v>62654.701000000001</v>
      </c>
      <c r="S27" s="299"/>
      <c r="T27" s="83"/>
      <c r="U27" s="83"/>
      <c r="AH27" s="365"/>
      <c r="AI27" s="365"/>
    </row>
    <row r="28" spans="1:49" ht="19.149999999999999" customHeight="1" x14ac:dyDescent="0.2">
      <c r="A28" s="300" t="s">
        <v>15</v>
      </c>
      <c r="B28" s="301" t="s">
        <v>528</v>
      </c>
      <c r="C28" s="301"/>
      <c r="D28" s="301"/>
      <c r="E28" s="301"/>
      <c r="F28" s="302"/>
      <c r="G28" s="318">
        <f>G29</f>
        <v>481761</v>
      </c>
      <c r="H28" s="318">
        <f>H29</f>
        <v>33888.116000000002</v>
      </c>
      <c r="I28" s="318">
        <f t="shared" ref="I28:R28" si="11">I29</f>
        <v>79506.45</v>
      </c>
      <c r="J28" s="318">
        <f t="shared" si="11"/>
        <v>3316</v>
      </c>
      <c r="K28" s="318">
        <f t="shared" si="11"/>
        <v>25904.704000000002</v>
      </c>
      <c r="L28" s="318">
        <f t="shared" si="11"/>
        <v>23306.476999999999</v>
      </c>
      <c r="M28" s="318">
        <f t="shared" si="11"/>
        <v>0</v>
      </c>
      <c r="N28" s="318">
        <f t="shared" si="11"/>
        <v>0</v>
      </c>
      <c r="O28" s="318">
        <f t="shared" si="11"/>
        <v>33888.116000000002</v>
      </c>
      <c r="P28" s="318">
        <f t="shared" si="11"/>
        <v>0</v>
      </c>
      <c r="Q28" s="304"/>
      <c r="R28" s="318">
        <f t="shared" si="11"/>
        <v>53633.701000000001</v>
      </c>
      <c r="S28" s="305"/>
      <c r="T28" s="83"/>
      <c r="U28" s="83"/>
      <c r="V28" s="141"/>
      <c r="AH28" s="365"/>
      <c r="AI28" s="365"/>
    </row>
    <row r="29" spans="1:49" ht="19.149999999999999" customHeight="1" x14ac:dyDescent="0.2">
      <c r="A29" s="323" t="s">
        <v>452</v>
      </c>
      <c r="B29" s="324" t="s">
        <v>461</v>
      </c>
      <c r="C29" s="324"/>
      <c r="D29" s="324"/>
      <c r="E29" s="324"/>
      <c r="F29" s="325"/>
      <c r="G29" s="326">
        <f t="shared" ref="G29:P29" si="12">G30+G75</f>
        <v>481761</v>
      </c>
      <c r="H29" s="326">
        <f t="shared" si="12"/>
        <v>33888.116000000002</v>
      </c>
      <c r="I29" s="326">
        <f t="shared" si="12"/>
        <v>79506.45</v>
      </c>
      <c r="J29" s="326">
        <f t="shared" si="12"/>
        <v>3316</v>
      </c>
      <c r="K29" s="326">
        <f t="shared" si="12"/>
        <v>25904.704000000002</v>
      </c>
      <c r="L29" s="326">
        <f t="shared" si="12"/>
        <v>23306.476999999999</v>
      </c>
      <c r="M29" s="326">
        <f t="shared" si="12"/>
        <v>0</v>
      </c>
      <c r="N29" s="326">
        <f t="shared" si="12"/>
        <v>0</v>
      </c>
      <c r="O29" s="326">
        <f t="shared" si="12"/>
        <v>33888.116000000002</v>
      </c>
      <c r="P29" s="326">
        <f t="shared" si="12"/>
        <v>0</v>
      </c>
      <c r="Q29" s="327"/>
      <c r="R29" s="326">
        <f>R30+R75</f>
        <v>53633.701000000001</v>
      </c>
      <c r="S29" s="328"/>
      <c r="T29" s="83"/>
      <c r="U29" s="83"/>
      <c r="V29" s="141"/>
      <c r="AH29" s="365"/>
      <c r="AI29" s="365"/>
    </row>
    <row r="30" spans="1:49" ht="19.149999999999999" customHeight="1" x14ac:dyDescent="0.2">
      <c r="A30" s="329" t="s">
        <v>529</v>
      </c>
      <c r="B30" s="330" t="s">
        <v>14</v>
      </c>
      <c r="C30" s="330"/>
      <c r="D30" s="330"/>
      <c r="E30" s="330"/>
      <c r="F30" s="331"/>
      <c r="G30" s="332">
        <f>G31+G36+G37+G41+G50+G54+G61+G64</f>
        <v>467809</v>
      </c>
      <c r="H30" s="332">
        <f t="shared" ref="H30:R30" si="13">H31+H36+H37+H41+H50+H54+H61+H64</f>
        <v>27272.116000000002</v>
      </c>
      <c r="I30" s="332">
        <f t="shared" si="13"/>
        <v>76000.584999999992</v>
      </c>
      <c r="J30" s="332">
        <f t="shared" si="13"/>
        <v>740</v>
      </c>
      <c r="K30" s="332">
        <f t="shared" si="13"/>
        <v>22522.561000000002</v>
      </c>
      <c r="L30" s="332">
        <f t="shared" si="13"/>
        <v>20674.333999999999</v>
      </c>
      <c r="M30" s="332">
        <f t="shared" si="13"/>
        <v>0</v>
      </c>
      <c r="N30" s="332">
        <f t="shared" si="13"/>
        <v>0</v>
      </c>
      <c r="O30" s="332">
        <f t="shared" si="13"/>
        <v>27272.116000000002</v>
      </c>
      <c r="P30" s="332">
        <f t="shared" si="13"/>
        <v>0</v>
      </c>
      <c r="Q30" s="364">
        <f>K30/H30%</f>
        <v>82.584574662266775</v>
      </c>
      <c r="R30" s="332">
        <f t="shared" si="13"/>
        <v>48636.300999999999</v>
      </c>
      <c r="S30" s="333"/>
      <c r="T30" s="83"/>
      <c r="U30" s="83"/>
      <c r="X30" s="77" t="e">
        <f>H30+#REF!+H81</f>
        <v>#REF!</v>
      </c>
      <c r="Z30" s="77" t="e">
        <f>#REF!+K30+#REF!</f>
        <v>#REF!</v>
      </c>
      <c r="AA30" s="74" t="e">
        <f>Z30/X30*100</f>
        <v>#REF!</v>
      </c>
      <c r="AH30" s="365"/>
      <c r="AI30" s="365"/>
    </row>
    <row r="31" spans="1:49" s="82" customFormat="1" ht="19.149999999999999" customHeight="1" x14ac:dyDescent="0.2">
      <c r="A31" s="306" t="str">
        <f>'Bieu CKGN (ko in)'!A28</f>
        <v>a</v>
      </c>
      <c r="B31" s="307" t="s">
        <v>432</v>
      </c>
      <c r="C31" s="307"/>
      <c r="D31" s="307"/>
      <c r="E31" s="307"/>
      <c r="F31" s="260"/>
      <c r="G31" s="334">
        <f>SUM(G32:G35)</f>
        <v>294602</v>
      </c>
      <c r="H31" s="334">
        <f t="shared" ref="H31:R31" si="14">SUM(H32:H35)</f>
        <v>1188.3089999999997</v>
      </c>
      <c r="I31" s="334">
        <f t="shared" si="14"/>
        <v>0</v>
      </c>
      <c r="J31" s="334">
        <f t="shared" si="14"/>
        <v>0</v>
      </c>
      <c r="K31" s="334">
        <f t="shared" si="14"/>
        <v>689.40199999999993</v>
      </c>
      <c r="L31" s="334">
        <f t="shared" si="14"/>
        <v>689.40199999999993</v>
      </c>
      <c r="M31" s="334">
        <f t="shared" si="14"/>
        <v>0</v>
      </c>
      <c r="N31" s="334">
        <f t="shared" si="14"/>
        <v>0</v>
      </c>
      <c r="O31" s="334">
        <f t="shared" si="14"/>
        <v>1188.3089999999997</v>
      </c>
      <c r="P31" s="334">
        <f t="shared" si="14"/>
        <v>0</v>
      </c>
      <c r="Q31" s="335"/>
      <c r="R31" s="334">
        <f t="shared" si="14"/>
        <v>0</v>
      </c>
      <c r="S31" s="310"/>
      <c r="T31" s="129"/>
      <c r="U31" s="129"/>
      <c r="V31" s="119"/>
      <c r="AB31" s="112"/>
      <c r="AC31" s="112"/>
      <c r="AD31" s="112"/>
      <c r="AE31" s="112"/>
      <c r="AF31" s="112"/>
      <c r="AG31" s="112"/>
      <c r="AH31" s="365"/>
      <c r="AI31" s="365"/>
      <c r="AJ31" s="112"/>
      <c r="AK31" s="112"/>
      <c r="AL31" s="112"/>
      <c r="AM31" s="112"/>
      <c r="AN31" s="112"/>
      <c r="AO31" s="112"/>
      <c r="AP31" s="112"/>
      <c r="AQ31" s="112"/>
    </row>
    <row r="32" spans="1:49" s="107" customFormat="1" ht="45" x14ac:dyDescent="0.2">
      <c r="A32" s="208">
        <v>1</v>
      </c>
      <c r="B32" s="242" t="s">
        <v>433</v>
      </c>
      <c r="C32" s="451" t="s">
        <v>260</v>
      </c>
      <c r="D32" s="618" t="s">
        <v>437</v>
      </c>
      <c r="E32" s="619" t="s">
        <v>439</v>
      </c>
      <c r="F32" s="620" t="s">
        <v>441</v>
      </c>
      <c r="G32" s="314">
        <v>14000</v>
      </c>
      <c r="H32" s="222">
        <v>473.98399999999998</v>
      </c>
      <c r="I32" s="230">
        <f>+J32</f>
        <v>0</v>
      </c>
      <c r="J32" s="230"/>
      <c r="K32" s="225">
        <v>473.98399999999998</v>
      </c>
      <c r="L32" s="336">
        <v>473.98399999999998</v>
      </c>
      <c r="M32" s="336"/>
      <c r="N32" s="336"/>
      <c r="O32" s="222">
        <v>473.98399999999998</v>
      </c>
      <c r="P32" s="336"/>
      <c r="Q32" s="230"/>
      <c r="R32" s="230"/>
      <c r="S32" s="315"/>
      <c r="T32" s="83"/>
      <c r="U32" s="83"/>
      <c r="V32" s="118" t="s">
        <v>124</v>
      </c>
      <c r="W32" s="133" t="s">
        <v>268</v>
      </c>
      <c r="X32" s="74"/>
      <c r="Y32" s="74"/>
      <c r="Z32" s="74"/>
      <c r="AA32" s="74"/>
      <c r="AB32" s="103"/>
      <c r="AC32" s="370"/>
      <c r="AD32" s="370"/>
      <c r="AE32" s="370"/>
      <c r="AF32" s="370"/>
      <c r="AG32" s="103"/>
      <c r="AH32" s="365"/>
      <c r="AI32" s="365"/>
      <c r="AJ32" s="103"/>
      <c r="AK32" s="103"/>
      <c r="AL32" s="103"/>
      <c r="AM32" s="103"/>
      <c r="AN32" s="103"/>
      <c r="AO32" s="103"/>
      <c r="AP32" s="103"/>
      <c r="AQ32" s="103"/>
      <c r="AR32" s="74"/>
      <c r="AS32" s="74"/>
      <c r="AT32" s="74"/>
      <c r="AU32" s="74"/>
      <c r="AV32" s="74"/>
      <c r="AW32" s="74"/>
    </row>
    <row r="33" spans="1:49" s="108" customFormat="1" ht="30" x14ac:dyDescent="0.2">
      <c r="A33" s="208">
        <v>2</v>
      </c>
      <c r="B33" s="242" t="s">
        <v>434</v>
      </c>
      <c r="C33" s="451" t="s">
        <v>259</v>
      </c>
      <c r="D33" s="219" t="s">
        <v>438</v>
      </c>
      <c r="E33" s="219" t="s">
        <v>440</v>
      </c>
      <c r="F33" s="621" t="s">
        <v>442</v>
      </c>
      <c r="G33" s="314">
        <v>211656</v>
      </c>
      <c r="H33" s="222">
        <v>146.08000000000001</v>
      </c>
      <c r="I33" s="230">
        <f t="shared" ref="I33:I35" si="15">+J33</f>
        <v>0</v>
      </c>
      <c r="J33" s="230"/>
      <c r="K33" s="225">
        <v>146.08000000000001</v>
      </c>
      <c r="L33" s="225">
        <v>146.08000000000001</v>
      </c>
      <c r="M33" s="225"/>
      <c r="N33" s="225"/>
      <c r="O33" s="222">
        <v>146.08000000000001</v>
      </c>
      <c r="P33" s="225"/>
      <c r="Q33" s="230"/>
      <c r="R33" s="230"/>
      <c r="S33" s="315"/>
      <c r="T33" s="83"/>
      <c r="U33" s="83"/>
      <c r="V33" s="118" t="s">
        <v>124</v>
      </c>
      <c r="W33" s="133" t="s">
        <v>268</v>
      </c>
      <c r="X33" s="74"/>
      <c r="Y33" s="74"/>
      <c r="Z33" s="74"/>
      <c r="AA33" s="74"/>
      <c r="AB33" s="103"/>
      <c r="AC33" s="371"/>
      <c r="AD33" s="371"/>
      <c r="AE33" s="371"/>
      <c r="AF33" s="371"/>
      <c r="AG33" s="103"/>
      <c r="AH33" s="365"/>
      <c r="AI33" s="365"/>
      <c r="AJ33" s="103"/>
      <c r="AK33" s="103"/>
      <c r="AL33" s="103"/>
      <c r="AM33" s="103"/>
      <c r="AN33" s="103"/>
      <c r="AO33" s="103"/>
      <c r="AP33" s="103"/>
      <c r="AQ33" s="103"/>
      <c r="AR33" s="74"/>
      <c r="AS33" s="74"/>
      <c r="AT33" s="74"/>
      <c r="AU33" s="74"/>
      <c r="AV33" s="74"/>
      <c r="AW33" s="74"/>
    </row>
    <row r="34" spans="1:49" s="108" customFormat="1" ht="30" x14ac:dyDescent="0.2">
      <c r="A34" s="208">
        <v>3</v>
      </c>
      <c r="B34" s="242" t="s">
        <v>435</v>
      </c>
      <c r="C34" s="451" t="s">
        <v>257</v>
      </c>
      <c r="D34" s="219"/>
      <c r="E34" s="219"/>
      <c r="F34" s="621" t="s">
        <v>443</v>
      </c>
      <c r="G34" s="314">
        <v>68046</v>
      </c>
      <c r="H34" s="222">
        <v>444</v>
      </c>
      <c r="I34" s="230">
        <f t="shared" si="15"/>
        <v>0</v>
      </c>
      <c r="J34" s="230"/>
      <c r="K34" s="225">
        <f t="shared" ref="K34" si="16">L34</f>
        <v>0</v>
      </c>
      <c r="L34" s="225"/>
      <c r="M34" s="225"/>
      <c r="N34" s="225"/>
      <c r="O34" s="222">
        <v>444</v>
      </c>
      <c r="P34" s="225"/>
      <c r="Q34" s="230"/>
      <c r="R34" s="230"/>
      <c r="S34" s="315"/>
      <c r="T34" s="83"/>
      <c r="U34" s="83"/>
      <c r="V34" s="118" t="s">
        <v>124</v>
      </c>
      <c r="W34" s="133" t="s">
        <v>268</v>
      </c>
      <c r="X34" s="74"/>
      <c r="Y34" s="74"/>
      <c r="Z34" s="74"/>
      <c r="AA34" s="74"/>
      <c r="AB34" s="103"/>
      <c r="AC34" s="371"/>
      <c r="AD34" s="371"/>
      <c r="AE34" s="371"/>
      <c r="AF34" s="371"/>
      <c r="AG34" s="103"/>
      <c r="AH34" s="365"/>
      <c r="AI34" s="365"/>
      <c r="AJ34" s="103"/>
      <c r="AK34" s="103"/>
      <c r="AL34" s="103"/>
      <c r="AM34" s="103"/>
      <c r="AN34" s="103"/>
      <c r="AO34" s="103"/>
      <c r="AP34" s="103"/>
      <c r="AQ34" s="103"/>
      <c r="AR34" s="74"/>
      <c r="AS34" s="74"/>
      <c r="AT34" s="74"/>
      <c r="AU34" s="74"/>
      <c r="AV34" s="74"/>
      <c r="AW34" s="74"/>
    </row>
    <row r="35" spans="1:49" s="108" customFormat="1" ht="30" x14ac:dyDescent="0.2">
      <c r="A35" s="208">
        <v>4</v>
      </c>
      <c r="B35" s="242" t="s">
        <v>436</v>
      </c>
      <c r="C35" s="451" t="s">
        <v>258</v>
      </c>
      <c r="D35" s="219"/>
      <c r="E35" s="219"/>
      <c r="F35" s="621" t="s">
        <v>444</v>
      </c>
      <c r="G35" s="314">
        <v>900</v>
      </c>
      <c r="H35" s="222">
        <v>124.245</v>
      </c>
      <c r="I35" s="230">
        <f t="shared" si="15"/>
        <v>0</v>
      </c>
      <c r="J35" s="230"/>
      <c r="K35" s="225">
        <v>69.337999999999994</v>
      </c>
      <c r="L35" s="225">
        <v>69.337999999999994</v>
      </c>
      <c r="M35" s="225"/>
      <c r="N35" s="225"/>
      <c r="O35" s="222">
        <v>124.245</v>
      </c>
      <c r="P35" s="225"/>
      <c r="Q35" s="230"/>
      <c r="R35" s="230"/>
      <c r="S35" s="337"/>
      <c r="T35" s="142"/>
      <c r="U35" s="142"/>
      <c r="V35" s="118" t="s">
        <v>124</v>
      </c>
      <c r="W35" s="133" t="s">
        <v>268</v>
      </c>
      <c r="X35" s="77"/>
      <c r="Y35" s="74"/>
      <c r="Z35" s="74"/>
      <c r="AA35" s="74"/>
      <c r="AB35" s="103"/>
      <c r="AC35" s="371"/>
      <c r="AD35" s="371"/>
      <c r="AE35" s="371"/>
      <c r="AF35" s="371"/>
      <c r="AG35" s="103"/>
      <c r="AH35" s="365"/>
      <c r="AI35" s="365"/>
      <c r="AJ35" s="103"/>
      <c r="AK35" s="103"/>
      <c r="AL35" s="103"/>
      <c r="AM35" s="103"/>
      <c r="AN35" s="103"/>
      <c r="AO35" s="103"/>
      <c r="AP35" s="103"/>
      <c r="AQ35" s="103"/>
      <c r="AR35" s="74"/>
      <c r="AS35" s="74"/>
      <c r="AT35" s="74"/>
      <c r="AU35" s="74"/>
      <c r="AV35" s="74"/>
      <c r="AW35" s="74"/>
    </row>
    <row r="36" spans="1:49" s="107" customFormat="1" ht="15" x14ac:dyDescent="0.2">
      <c r="A36" s="306" t="s">
        <v>30</v>
      </c>
      <c r="B36" s="622" t="s">
        <v>596</v>
      </c>
      <c r="C36" s="218"/>
      <c r="D36" s="407"/>
      <c r="E36" s="407"/>
      <c r="F36" s="219"/>
      <c r="G36" s="314"/>
      <c r="H36" s="314"/>
      <c r="I36" s="230"/>
      <c r="J36" s="230"/>
      <c r="K36" s="244"/>
      <c r="L36" s="244"/>
      <c r="M36" s="244"/>
      <c r="N36" s="244"/>
      <c r="O36" s="314"/>
      <c r="P36" s="244"/>
      <c r="Q36" s="230"/>
      <c r="R36" s="335">
        <v>2500</v>
      </c>
      <c r="S36" s="315"/>
      <c r="T36" s="142"/>
      <c r="U36" s="142"/>
      <c r="V36" s="118"/>
      <c r="W36" s="133"/>
      <c r="X36" s="77"/>
      <c r="Y36" s="74"/>
      <c r="Z36" s="74"/>
      <c r="AA36" s="74"/>
      <c r="AB36" s="103"/>
      <c r="AC36" s="370"/>
      <c r="AD36" s="370"/>
      <c r="AE36" s="370"/>
      <c r="AF36" s="370"/>
      <c r="AG36" s="103"/>
      <c r="AH36" s="365"/>
      <c r="AI36" s="365"/>
      <c r="AJ36" s="103"/>
      <c r="AK36" s="103"/>
      <c r="AL36" s="103"/>
      <c r="AM36" s="103"/>
      <c r="AN36" s="103"/>
      <c r="AO36" s="103"/>
      <c r="AP36" s="103"/>
      <c r="AQ36" s="103"/>
      <c r="AR36" s="74"/>
      <c r="AS36" s="74"/>
      <c r="AT36" s="74"/>
      <c r="AU36" s="74"/>
      <c r="AV36" s="74"/>
      <c r="AW36" s="74"/>
    </row>
    <row r="37" spans="1:49" s="109" customFormat="1" ht="30" x14ac:dyDescent="0.2">
      <c r="A37" s="306" t="s">
        <v>32</v>
      </c>
      <c r="B37" s="307" t="str">
        <f>'Bieu CKGN (ko in)'!B35</f>
        <v>Dự án hoàn thành bàn giao, đưa vào sử dụng trước ngày 31/12/2021</v>
      </c>
      <c r="C37" s="307"/>
      <c r="D37" s="307"/>
      <c r="E37" s="307"/>
      <c r="F37" s="260"/>
      <c r="G37" s="311">
        <f>SUM(G38:G40)</f>
        <v>20747</v>
      </c>
      <c r="H37" s="311">
        <f t="shared" ref="H37:R37" si="17">SUM(H38:H40)</f>
        <v>370.93799999999999</v>
      </c>
      <c r="I37" s="335">
        <f>SUM(I38:I40)</f>
        <v>20138</v>
      </c>
      <c r="J37" s="335">
        <f>SUM(J38:J40)</f>
        <v>0</v>
      </c>
      <c r="K37" s="335">
        <f t="shared" si="17"/>
        <v>359.20899999999995</v>
      </c>
      <c r="L37" s="335">
        <f t="shared" si="17"/>
        <v>221.143</v>
      </c>
      <c r="M37" s="335">
        <f t="shared" si="17"/>
        <v>0</v>
      </c>
      <c r="N37" s="335">
        <f t="shared" si="17"/>
        <v>0</v>
      </c>
      <c r="O37" s="335">
        <f t="shared" si="17"/>
        <v>370.93799999999999</v>
      </c>
      <c r="P37" s="335">
        <f t="shared" si="17"/>
        <v>0</v>
      </c>
      <c r="Q37" s="335"/>
      <c r="R37" s="335">
        <f t="shared" si="17"/>
        <v>0</v>
      </c>
      <c r="S37" s="310"/>
      <c r="T37" s="129"/>
      <c r="U37" s="129"/>
      <c r="V37" s="119"/>
      <c r="W37" s="82"/>
      <c r="X37" s="82"/>
      <c r="Y37" s="82"/>
      <c r="Z37" s="82"/>
      <c r="AA37" s="82"/>
      <c r="AB37" s="112"/>
      <c r="AC37" s="372"/>
      <c r="AD37" s="372"/>
      <c r="AE37" s="372"/>
      <c r="AF37" s="372"/>
      <c r="AG37" s="112"/>
      <c r="AH37" s="365"/>
      <c r="AI37" s="365"/>
      <c r="AJ37" s="112"/>
      <c r="AK37" s="112"/>
      <c r="AL37" s="112"/>
      <c r="AM37" s="112"/>
      <c r="AN37" s="112"/>
      <c r="AO37" s="112"/>
      <c r="AP37" s="112"/>
      <c r="AQ37" s="112"/>
      <c r="AR37" s="82"/>
      <c r="AS37" s="82"/>
      <c r="AT37" s="82"/>
      <c r="AU37" s="82"/>
      <c r="AV37" s="82"/>
      <c r="AW37" s="82"/>
    </row>
    <row r="38" spans="1:49" s="108" customFormat="1" ht="30" x14ac:dyDescent="0.2">
      <c r="A38" s="208">
        <f>'Bieu CKGN (ko in)'!A36</f>
        <v>1</v>
      </c>
      <c r="B38" s="242" t="str">
        <f>'Bieu CKGN (ko in)'!B36</f>
        <v>Mặt bằng hạ tầng kỹ thuật điểm ĐCĐC  Là Si, xã Tá Bạ</v>
      </c>
      <c r="C38" s="218" t="s">
        <v>144</v>
      </c>
      <c r="D38" s="242"/>
      <c r="E38" s="242"/>
      <c r="F38" s="219" t="str">
        <f>'Bieu CKGN (ko in)'!C36</f>
        <v>2048-31/10/18</v>
      </c>
      <c r="G38" s="314">
        <f>'Bieu CKGN (ko in)'!D36</f>
        <v>6997</v>
      </c>
      <c r="H38" s="320">
        <v>168.69800000000001</v>
      </c>
      <c r="I38" s="338">
        <f>6650+J38</f>
        <v>6650</v>
      </c>
      <c r="J38" s="230"/>
      <c r="K38" s="244">
        <v>168.69799999999998</v>
      </c>
      <c r="L38" s="244">
        <v>46.744</v>
      </c>
      <c r="M38" s="244"/>
      <c r="N38" s="244"/>
      <c r="O38" s="437">
        <v>168.69800000000001</v>
      </c>
      <c r="P38" s="244"/>
      <c r="Q38" s="230"/>
      <c r="R38" s="230"/>
      <c r="S38" s="315"/>
      <c r="T38" s="83"/>
      <c r="U38" s="83"/>
      <c r="V38" s="118" t="s">
        <v>125</v>
      </c>
      <c r="W38" s="133" t="s">
        <v>268</v>
      </c>
      <c r="X38" s="74"/>
      <c r="Y38" s="74"/>
      <c r="Z38" s="74"/>
      <c r="AA38" s="74"/>
      <c r="AB38" s="103">
        <f>1000</f>
        <v>1000</v>
      </c>
      <c r="AC38" s="371">
        <f>AA38+AB38</f>
        <v>1000</v>
      </c>
      <c r="AD38" s="371"/>
      <c r="AE38" s="371"/>
      <c r="AF38" s="371"/>
      <c r="AG38" s="103"/>
      <c r="AH38" s="365">
        <f t="shared" ref="AH38:AI40" si="18">H38-K38</f>
        <v>0</v>
      </c>
      <c r="AI38" s="365">
        <f t="shared" si="18"/>
        <v>6603.2560000000003</v>
      </c>
      <c r="AJ38" s="103"/>
      <c r="AK38" s="103"/>
      <c r="AL38" s="103"/>
      <c r="AM38" s="103"/>
      <c r="AN38" s="103"/>
      <c r="AO38" s="103"/>
      <c r="AP38" s="103"/>
      <c r="AQ38" s="103"/>
      <c r="AR38" s="74"/>
      <c r="AS38" s="74"/>
      <c r="AT38" s="74"/>
      <c r="AU38" s="74"/>
      <c r="AV38" s="74"/>
      <c r="AW38" s="74"/>
    </row>
    <row r="39" spans="1:49" s="108" customFormat="1" ht="30" x14ac:dyDescent="0.2">
      <c r="A39" s="208">
        <f>'Bieu CKGN (ko in)'!A37</f>
        <v>2</v>
      </c>
      <c r="B39" s="242" t="str">
        <f>'Bieu CKGN (ko in)'!B37</f>
        <v>Xây dựng phòng họp Huyện ủy, huyện Mường Tè</v>
      </c>
      <c r="C39" s="218" t="s">
        <v>140</v>
      </c>
      <c r="D39" s="242"/>
      <c r="E39" s="219" t="s">
        <v>161</v>
      </c>
      <c r="F39" s="219" t="str">
        <f>'Bieu CKGN (ko in)'!C37</f>
        <v>2824-18/10/19</v>
      </c>
      <c r="G39" s="314">
        <f>'Bieu CKGN (ko in)'!D37</f>
        <v>6800</v>
      </c>
      <c r="H39" s="320">
        <v>153.24</v>
      </c>
      <c r="I39" s="338">
        <f>6788+J39</f>
        <v>6788</v>
      </c>
      <c r="J39" s="230"/>
      <c r="K39" s="225">
        <v>141.511</v>
      </c>
      <c r="L39" s="222">
        <v>125.399</v>
      </c>
      <c r="M39" s="222"/>
      <c r="N39" s="222"/>
      <c r="O39" s="437">
        <v>153.24</v>
      </c>
      <c r="P39" s="222"/>
      <c r="Q39" s="230"/>
      <c r="R39" s="230"/>
      <c r="S39" s="315"/>
      <c r="T39" s="83"/>
      <c r="U39" s="83"/>
      <c r="V39" s="118" t="s">
        <v>125</v>
      </c>
      <c r="W39" s="133" t="s">
        <v>268</v>
      </c>
      <c r="X39" s="74"/>
      <c r="Y39" s="74"/>
      <c r="Z39" s="74"/>
      <c r="AA39" s="74"/>
      <c r="AB39" s="103"/>
      <c r="AC39" s="371"/>
      <c r="AD39" s="371"/>
      <c r="AE39" s="371"/>
      <c r="AF39" s="371"/>
      <c r="AG39" s="103"/>
      <c r="AH39" s="365">
        <f t="shared" si="18"/>
        <v>11.729000000000013</v>
      </c>
      <c r="AI39" s="365">
        <f t="shared" si="18"/>
        <v>6662.6009999999997</v>
      </c>
      <c r="AJ39" s="103"/>
      <c r="AK39" s="103"/>
      <c r="AL39" s="103"/>
      <c r="AM39" s="103"/>
      <c r="AN39" s="103"/>
      <c r="AO39" s="103"/>
      <c r="AP39" s="103"/>
      <c r="AQ39" s="103"/>
      <c r="AR39" s="74"/>
      <c r="AS39" s="74"/>
      <c r="AT39" s="74"/>
      <c r="AU39" s="74"/>
      <c r="AV39" s="74"/>
      <c r="AW39" s="74"/>
    </row>
    <row r="40" spans="1:49" s="108" customFormat="1" ht="75" x14ac:dyDescent="0.2">
      <c r="A40" s="208">
        <f>'Bieu CKGN (ko in)'!A38</f>
        <v>3</v>
      </c>
      <c r="B40" s="242" t="str">
        <f>'Bieu CKGN (ko in)'!B38</f>
        <v>Sắp xếp dân cư vùng thiên tai bản Pa Thoóng trên với bản Đầu Nậm Xả</v>
      </c>
      <c r="C40" s="218" t="s">
        <v>145</v>
      </c>
      <c r="D40" s="218" t="s">
        <v>150</v>
      </c>
      <c r="E40" s="219" t="s">
        <v>161</v>
      </c>
      <c r="F40" s="219" t="str">
        <f>'Bieu CKGN (ko in)'!C38</f>
        <v>2946a/31.10.19</v>
      </c>
      <c r="G40" s="314">
        <f>'Bieu CKGN (ko in)'!D38</f>
        <v>6950</v>
      </c>
      <c r="H40" s="320">
        <v>49</v>
      </c>
      <c r="I40" s="339">
        <f>6700+J40</f>
        <v>6700</v>
      </c>
      <c r="J40" s="230"/>
      <c r="K40" s="225">
        <v>49</v>
      </c>
      <c r="L40" s="225">
        <v>49</v>
      </c>
      <c r="M40" s="225"/>
      <c r="N40" s="225"/>
      <c r="O40" s="437">
        <v>49</v>
      </c>
      <c r="P40" s="225"/>
      <c r="Q40" s="230"/>
      <c r="R40" s="230"/>
      <c r="S40" s="315"/>
      <c r="T40" s="83"/>
      <c r="U40" s="83"/>
      <c r="V40" s="118" t="s">
        <v>125</v>
      </c>
      <c r="W40" s="133" t="s">
        <v>268</v>
      </c>
      <c r="X40" s="74"/>
      <c r="Y40" s="74"/>
      <c r="Z40" s="74"/>
      <c r="AA40" s="74"/>
      <c r="AB40" s="103"/>
      <c r="AC40" s="371"/>
      <c r="AD40" s="371"/>
      <c r="AE40" s="371"/>
      <c r="AF40" s="371"/>
      <c r="AG40" s="103"/>
      <c r="AH40" s="365">
        <f t="shared" si="18"/>
        <v>0</v>
      </c>
      <c r="AI40" s="365">
        <f t="shared" si="18"/>
        <v>6651</v>
      </c>
      <c r="AJ40" s="103"/>
      <c r="AK40" s="103"/>
      <c r="AL40" s="103"/>
      <c r="AM40" s="103"/>
      <c r="AN40" s="103"/>
      <c r="AO40" s="103"/>
      <c r="AP40" s="103"/>
      <c r="AQ40" s="103"/>
      <c r="AR40" s="74"/>
      <c r="AS40" s="74"/>
      <c r="AT40" s="74"/>
      <c r="AU40" s="74"/>
      <c r="AV40" s="74"/>
      <c r="AW40" s="74"/>
    </row>
    <row r="41" spans="1:49" s="110" customFormat="1" ht="15" x14ac:dyDescent="0.2">
      <c r="A41" s="306" t="s">
        <v>36</v>
      </c>
      <c r="B41" s="307" t="s">
        <v>445</v>
      </c>
      <c r="C41" s="307"/>
      <c r="D41" s="307"/>
      <c r="E41" s="307"/>
      <c r="F41" s="204"/>
      <c r="G41" s="311">
        <f>SUM(G42:G49)</f>
        <v>31350</v>
      </c>
      <c r="H41" s="311">
        <f t="shared" ref="H41:R41" si="19">SUM(H42:H49)</f>
        <v>5432.5780000000004</v>
      </c>
      <c r="I41" s="335">
        <f>SUM(I42:I49)</f>
        <v>30658.495999999999</v>
      </c>
      <c r="J41" s="335">
        <f t="shared" si="19"/>
        <v>0</v>
      </c>
      <c r="K41" s="335">
        <f t="shared" si="19"/>
        <v>5326.7350000000006</v>
      </c>
      <c r="L41" s="335">
        <f t="shared" si="19"/>
        <v>5166.5739999999996</v>
      </c>
      <c r="M41" s="335">
        <f t="shared" si="19"/>
        <v>0</v>
      </c>
      <c r="N41" s="335">
        <f t="shared" si="19"/>
        <v>0</v>
      </c>
      <c r="O41" s="335">
        <f t="shared" si="19"/>
        <v>5432.5780000000004</v>
      </c>
      <c r="P41" s="335">
        <f t="shared" si="19"/>
        <v>0</v>
      </c>
      <c r="Q41" s="335"/>
      <c r="R41" s="335">
        <f t="shared" si="19"/>
        <v>0</v>
      </c>
      <c r="S41" s="310"/>
      <c r="T41" s="129"/>
      <c r="U41" s="129"/>
      <c r="V41" s="119"/>
      <c r="W41" s="82"/>
      <c r="X41" s="82"/>
      <c r="Y41" s="82"/>
      <c r="Z41" s="82"/>
      <c r="AA41" s="82"/>
      <c r="AB41" s="112"/>
      <c r="AC41" s="373"/>
      <c r="AD41" s="373"/>
      <c r="AE41" s="373"/>
      <c r="AF41" s="373"/>
      <c r="AG41" s="112"/>
      <c r="AH41" s="365"/>
      <c r="AI41" s="365"/>
      <c r="AJ41" s="112"/>
      <c r="AK41" s="112"/>
      <c r="AL41" s="112"/>
      <c r="AM41" s="112"/>
      <c r="AN41" s="112"/>
      <c r="AO41" s="112"/>
      <c r="AP41" s="112"/>
      <c r="AQ41" s="112"/>
      <c r="AR41" s="82"/>
      <c r="AS41" s="82"/>
      <c r="AT41" s="82"/>
      <c r="AU41" s="82"/>
      <c r="AV41" s="82"/>
      <c r="AW41" s="82"/>
    </row>
    <row r="42" spans="1:49" ht="75" x14ac:dyDescent="0.2">
      <c r="A42" s="208">
        <f>'Bieu CKGN (ko in)'!A40</f>
        <v>1</v>
      </c>
      <c r="B42" s="242" t="str">
        <f>'Bieu CKGN (ko in)'!B40</f>
        <v>Xây dựng bổ sung trường PTDTBT TH, THCS xã Can Hồ</v>
      </c>
      <c r="C42" s="218" t="s">
        <v>146</v>
      </c>
      <c r="D42" s="218" t="s">
        <v>151</v>
      </c>
      <c r="E42" s="219" t="s">
        <v>162</v>
      </c>
      <c r="F42" s="219" t="str">
        <f>'Bieu CKGN (ko in)'!C40</f>
        <v>3557-31/12/2020</v>
      </c>
      <c r="G42" s="314">
        <f>'Bieu CKGN (ko in)'!D40</f>
        <v>6000</v>
      </c>
      <c r="H42" s="320">
        <v>1057.4949999999999</v>
      </c>
      <c r="I42" s="230">
        <f>5980.496+J42</f>
        <v>5980.4960000000001</v>
      </c>
      <c r="J42" s="230"/>
      <c r="K42" s="225">
        <v>1057.232</v>
      </c>
      <c r="L42" s="225">
        <v>1057.232</v>
      </c>
      <c r="M42" s="225"/>
      <c r="N42" s="225"/>
      <c r="O42" s="225">
        <v>1057.4949999999999</v>
      </c>
      <c r="P42" s="225"/>
      <c r="Q42" s="230"/>
      <c r="R42" s="244"/>
      <c r="S42" s="315"/>
      <c r="T42" s="83"/>
      <c r="U42" s="83"/>
      <c r="V42" s="118" t="s">
        <v>125</v>
      </c>
      <c r="W42" s="133" t="s">
        <v>268</v>
      </c>
      <c r="AH42" s="365">
        <f t="shared" ref="AH42:AI49" si="20">H42-K42</f>
        <v>0.26299999999991996</v>
      </c>
      <c r="AI42" s="365">
        <f t="shared" si="20"/>
        <v>4923.2640000000001</v>
      </c>
    </row>
    <row r="43" spans="1:49" ht="75" x14ac:dyDescent="0.2">
      <c r="A43" s="208">
        <f>'Bieu CKGN (ko in)'!A41</f>
        <v>2</v>
      </c>
      <c r="B43" s="242" t="str">
        <f>'Bieu CKGN (ko in)'!B41</f>
        <v>Nhà hiệu bộ, phòng học chức năng trường THCS Thu Lũm</v>
      </c>
      <c r="C43" s="218" t="s">
        <v>143</v>
      </c>
      <c r="D43" s="218" t="s">
        <v>152</v>
      </c>
      <c r="E43" s="219" t="s">
        <v>162</v>
      </c>
      <c r="F43" s="219" t="str">
        <f>'Bieu CKGN (ko in)'!C41</f>
        <v>3559-31/12/2020</v>
      </c>
      <c r="G43" s="314">
        <f>'Bieu CKGN (ko in)'!D41</f>
        <v>6500</v>
      </c>
      <c r="H43" s="320">
        <v>1296.989</v>
      </c>
      <c r="I43" s="230">
        <f>6497+J43</f>
        <v>6497</v>
      </c>
      <c r="J43" s="230"/>
      <c r="K43" s="225">
        <v>1296.9880000000001</v>
      </c>
      <c r="L43" s="225">
        <v>1296.9880000000001</v>
      </c>
      <c r="M43" s="225"/>
      <c r="N43" s="225"/>
      <c r="O43" s="225">
        <v>1296.989</v>
      </c>
      <c r="P43" s="225"/>
      <c r="Q43" s="230"/>
      <c r="R43" s="230"/>
      <c r="S43" s="315"/>
      <c r="T43" s="83"/>
      <c r="U43" s="83"/>
      <c r="V43" s="118" t="s">
        <v>125</v>
      </c>
      <c r="W43" s="133" t="s">
        <v>268</v>
      </c>
      <c r="X43" s="134"/>
      <c r="AH43" s="365">
        <f t="shared" si="20"/>
        <v>9.9999999997635314E-4</v>
      </c>
      <c r="AI43" s="365">
        <f t="shared" si="20"/>
        <v>5200.0119999999997</v>
      </c>
    </row>
    <row r="44" spans="1:49" ht="60" x14ac:dyDescent="0.2">
      <c r="A44" s="208">
        <f>'Bieu CKGN (ko in)'!A42</f>
        <v>3</v>
      </c>
      <c r="B44" s="242" t="str">
        <f>'Bieu CKGN (ko in)'!B42</f>
        <v>Phòng học chức năng trường TH, THCS Bum Nưa</v>
      </c>
      <c r="C44" s="218" t="s">
        <v>147</v>
      </c>
      <c r="D44" s="218" t="s">
        <v>153</v>
      </c>
      <c r="E44" s="219" t="s">
        <v>162</v>
      </c>
      <c r="F44" s="219" t="str">
        <f>'Bieu CKGN (ko in)'!C42</f>
        <v>3558-31/12/2020</v>
      </c>
      <c r="G44" s="314">
        <f>'Bieu CKGN (ko in)'!D42</f>
        <v>4200</v>
      </c>
      <c r="H44" s="320">
        <v>832.31899999999996</v>
      </c>
      <c r="I44" s="230">
        <f>4196+J44</f>
        <v>4196</v>
      </c>
      <c r="J44" s="230"/>
      <c r="K44" s="225">
        <v>827.31799999999998</v>
      </c>
      <c r="L44" s="225">
        <v>827.31799999999998</v>
      </c>
      <c r="M44" s="225"/>
      <c r="N44" s="225"/>
      <c r="O44" s="225">
        <v>832.31899999999996</v>
      </c>
      <c r="P44" s="225"/>
      <c r="Q44" s="230"/>
      <c r="R44" s="230"/>
      <c r="S44" s="315"/>
      <c r="T44" s="83"/>
      <c r="U44" s="83"/>
      <c r="V44" s="118" t="s">
        <v>125</v>
      </c>
      <c r="W44" s="133" t="s">
        <v>268</v>
      </c>
      <c r="X44" s="134"/>
      <c r="AH44" s="365">
        <f t="shared" si="20"/>
        <v>5.0009999999999764</v>
      </c>
      <c r="AI44" s="365">
        <f t="shared" si="20"/>
        <v>3368.6819999999998</v>
      </c>
    </row>
    <row r="45" spans="1:49" ht="30" x14ac:dyDescent="0.2">
      <c r="A45" s="208">
        <f>'Bieu CKGN (ko in)'!A43</f>
        <v>4</v>
      </c>
      <c r="B45" s="242" t="str">
        <f>'Bieu CKGN (ko in)'!B43</f>
        <v>Sửa chữa nhà lớp học, nhà bán trú và các HMPT trường THCS xã Mù Cả</v>
      </c>
      <c r="C45" s="219" t="s">
        <v>148</v>
      </c>
      <c r="D45" s="242"/>
      <c r="E45" s="219" t="s">
        <v>162</v>
      </c>
      <c r="F45" s="219" t="str">
        <f>'Bieu CKGN (ko in)'!C43</f>
        <v>3561-31/12/2020</v>
      </c>
      <c r="G45" s="314">
        <f>'Bieu CKGN (ko in)'!D43</f>
        <v>2050</v>
      </c>
      <c r="H45" s="320">
        <v>380</v>
      </c>
      <c r="I45" s="230">
        <f>1800+J45</f>
        <v>1800</v>
      </c>
      <c r="J45" s="230"/>
      <c r="K45" s="225">
        <v>303.88099999999997</v>
      </c>
      <c r="L45" s="225">
        <v>303.88099999999997</v>
      </c>
      <c r="M45" s="225"/>
      <c r="N45" s="225"/>
      <c r="O45" s="225">
        <v>380</v>
      </c>
      <c r="P45" s="225"/>
      <c r="Q45" s="230"/>
      <c r="R45" s="230"/>
      <c r="S45" s="315"/>
      <c r="T45" s="83"/>
      <c r="U45" s="83"/>
      <c r="V45" s="118" t="s">
        <v>125</v>
      </c>
      <c r="W45" s="133" t="s">
        <v>403</v>
      </c>
      <c r="AH45" s="365">
        <f t="shared" si="20"/>
        <v>76.119000000000028</v>
      </c>
      <c r="AI45" s="365">
        <f t="shared" si="20"/>
        <v>1496.1190000000001</v>
      </c>
    </row>
    <row r="46" spans="1:49" ht="30" x14ac:dyDescent="0.2">
      <c r="A46" s="208">
        <f>'Bieu CKGN (ko in)'!A44</f>
        <v>5</v>
      </c>
      <c r="B46" s="242" t="str">
        <f>'Bieu CKGN (ko in)'!B44</f>
        <v>Kè chống sạt bảo vệ trường TH, THCS, xã Tá Bạ</v>
      </c>
      <c r="C46" s="218" t="s">
        <v>144</v>
      </c>
      <c r="D46" s="218" t="s">
        <v>154</v>
      </c>
      <c r="E46" s="219" t="s">
        <v>162</v>
      </c>
      <c r="F46" s="219" t="str">
        <f>'Bieu CKGN (ko in)'!C44</f>
        <v>3491-29/12/2020</v>
      </c>
      <c r="G46" s="314">
        <f>'Bieu CKGN (ko in)'!D44</f>
        <v>2100</v>
      </c>
      <c r="H46" s="320">
        <v>312.55</v>
      </c>
      <c r="I46" s="230">
        <f>2084+J46</f>
        <v>2084</v>
      </c>
      <c r="J46" s="230"/>
      <c r="K46" s="225">
        <v>311.673</v>
      </c>
      <c r="L46" s="225">
        <v>311.673</v>
      </c>
      <c r="M46" s="225"/>
      <c r="N46" s="225"/>
      <c r="O46" s="225">
        <v>312.55</v>
      </c>
      <c r="P46" s="225"/>
      <c r="Q46" s="230"/>
      <c r="R46" s="230"/>
      <c r="S46" s="315"/>
      <c r="T46" s="83"/>
      <c r="U46" s="83"/>
      <c r="V46" s="118" t="s">
        <v>125</v>
      </c>
      <c r="W46" s="133" t="s">
        <v>268</v>
      </c>
      <c r="AH46" s="365">
        <f t="shared" si="20"/>
        <v>0.87700000000000955</v>
      </c>
      <c r="AI46" s="365">
        <f t="shared" si="20"/>
        <v>1772.327</v>
      </c>
    </row>
    <row r="47" spans="1:49" ht="30" x14ac:dyDescent="0.2">
      <c r="A47" s="208">
        <f>'Bieu CKGN (ko in)'!A45</f>
        <v>6</v>
      </c>
      <c r="B47" s="242" t="str">
        <f>'Bieu CKGN (ko in)'!B45</f>
        <v>Thủy lợi Nhù Cư Ló Cá, xã Thu Lũm</v>
      </c>
      <c r="C47" s="218" t="s">
        <v>143</v>
      </c>
      <c r="D47" s="218" t="s">
        <v>155</v>
      </c>
      <c r="E47" s="219" t="s">
        <v>162</v>
      </c>
      <c r="F47" s="219" t="str">
        <f>'Bieu CKGN (ko in)'!C45</f>
        <v>3552-31/12/2020</v>
      </c>
      <c r="G47" s="314">
        <f>'Bieu CKGN (ko in)'!D45</f>
        <v>3500</v>
      </c>
      <c r="H47" s="320">
        <v>570.82799999999997</v>
      </c>
      <c r="I47" s="230">
        <f>3449+J47</f>
        <v>3449</v>
      </c>
      <c r="J47" s="230"/>
      <c r="K47" s="225">
        <v>547.24699999999996</v>
      </c>
      <c r="L47" s="225">
        <v>487.93700000000001</v>
      </c>
      <c r="M47" s="225"/>
      <c r="N47" s="225"/>
      <c r="O47" s="225">
        <v>570.82799999999997</v>
      </c>
      <c r="P47" s="225"/>
      <c r="Q47" s="230"/>
      <c r="R47" s="230"/>
      <c r="S47" s="315"/>
      <c r="T47" s="83"/>
      <c r="U47" s="83"/>
      <c r="V47" s="118" t="s">
        <v>125</v>
      </c>
      <c r="W47" s="133" t="s">
        <v>268</v>
      </c>
      <c r="X47" s="134"/>
      <c r="AH47" s="365">
        <f t="shared" si="20"/>
        <v>23.581000000000017</v>
      </c>
      <c r="AI47" s="365">
        <f t="shared" si="20"/>
        <v>2961.0630000000001</v>
      </c>
    </row>
    <row r="48" spans="1:49" ht="30" x14ac:dyDescent="0.2">
      <c r="A48" s="208">
        <f>'Bieu CKGN (ko in)'!A46</f>
        <v>7</v>
      </c>
      <c r="B48" s="242" t="str">
        <f>'Bieu CKGN (ko in)'!B46</f>
        <v>Thủy lợi Phu Khà Ló Cá, xã Thu Lũm</v>
      </c>
      <c r="C48" s="218" t="s">
        <v>143</v>
      </c>
      <c r="D48" s="218" t="s">
        <v>156</v>
      </c>
      <c r="E48" s="219" t="s">
        <v>162</v>
      </c>
      <c r="F48" s="219" t="str">
        <f>'Bieu CKGN (ko in)'!C46</f>
        <v>3554-31/12/2020</v>
      </c>
      <c r="G48" s="314">
        <f>'Bieu CKGN (ko in)'!D46</f>
        <v>3600</v>
      </c>
      <c r="H48" s="320">
        <v>643.56299999999999</v>
      </c>
      <c r="I48" s="230">
        <f>3563+J48</f>
        <v>3563</v>
      </c>
      <c r="J48" s="230"/>
      <c r="K48" s="225">
        <v>643.56299999999999</v>
      </c>
      <c r="L48" s="225">
        <v>542.71199999999999</v>
      </c>
      <c r="M48" s="225"/>
      <c r="N48" s="225"/>
      <c r="O48" s="225">
        <v>643.56299999999999</v>
      </c>
      <c r="P48" s="225"/>
      <c r="Q48" s="230"/>
      <c r="R48" s="230"/>
      <c r="S48" s="315"/>
      <c r="T48" s="83"/>
      <c r="U48" s="83"/>
      <c r="V48" s="118" t="s">
        <v>125</v>
      </c>
      <c r="W48" s="133" t="s">
        <v>268</v>
      </c>
      <c r="AH48" s="365">
        <f t="shared" si="20"/>
        <v>0</v>
      </c>
      <c r="AI48" s="365">
        <f t="shared" si="20"/>
        <v>3020.288</v>
      </c>
    </row>
    <row r="49" spans="1:43" ht="30" x14ac:dyDescent="0.2">
      <c r="A49" s="208">
        <f>'Bieu CKGN (ko in)'!A47</f>
        <v>8</v>
      </c>
      <c r="B49" s="242" t="str">
        <f>'Bieu CKGN (ko in)'!B47</f>
        <v>Nâng cấp thủy lợi Nậm Dính, xã Tà Tổng</v>
      </c>
      <c r="C49" s="218" t="s">
        <v>137</v>
      </c>
      <c r="D49" s="218" t="s">
        <v>157</v>
      </c>
      <c r="E49" s="219" t="s">
        <v>162</v>
      </c>
      <c r="F49" s="219" t="str">
        <f>'Bieu CKGN (ko in)'!C47</f>
        <v>3553-31/12/2020</v>
      </c>
      <c r="G49" s="314">
        <f>'Bieu CKGN (ko in)'!D47</f>
        <v>3400</v>
      </c>
      <c r="H49" s="320">
        <v>338.834</v>
      </c>
      <c r="I49" s="230">
        <f>3089+J49</f>
        <v>3089</v>
      </c>
      <c r="J49" s="230"/>
      <c r="K49" s="225">
        <v>338.83300000000003</v>
      </c>
      <c r="L49" s="225">
        <v>338.83300000000003</v>
      </c>
      <c r="M49" s="225"/>
      <c r="N49" s="225"/>
      <c r="O49" s="225">
        <v>338.834</v>
      </c>
      <c r="P49" s="225"/>
      <c r="Q49" s="230"/>
      <c r="R49" s="230"/>
      <c r="S49" s="315"/>
      <c r="T49" s="83"/>
      <c r="U49" s="83"/>
      <c r="V49" s="118" t="s">
        <v>125</v>
      </c>
      <c r="W49" s="133" t="s">
        <v>268</v>
      </c>
      <c r="AH49" s="365">
        <f t="shared" si="20"/>
        <v>9.9999999997635314E-4</v>
      </c>
      <c r="AI49" s="365">
        <f t="shared" si="20"/>
        <v>2750.1669999999999</v>
      </c>
    </row>
    <row r="50" spans="1:43" s="82" customFormat="1" ht="15" x14ac:dyDescent="0.2">
      <c r="A50" s="306" t="s">
        <v>163</v>
      </c>
      <c r="B50" s="623" t="s">
        <v>416</v>
      </c>
      <c r="C50" s="307"/>
      <c r="D50" s="307"/>
      <c r="E50" s="307"/>
      <c r="F50" s="260"/>
      <c r="G50" s="311">
        <f>SUM(G51:G53)</f>
        <v>15450</v>
      </c>
      <c r="H50" s="311">
        <f t="shared" ref="H50:R50" si="21">SUM(H51:H53)</f>
        <v>8550.2910000000011</v>
      </c>
      <c r="I50" s="311">
        <f t="shared" si="21"/>
        <v>13704.089</v>
      </c>
      <c r="J50" s="311">
        <f t="shared" si="21"/>
        <v>0</v>
      </c>
      <c r="K50" s="311">
        <f t="shared" si="21"/>
        <v>6100</v>
      </c>
      <c r="L50" s="311">
        <f t="shared" si="21"/>
        <v>6100</v>
      </c>
      <c r="M50" s="311">
        <f t="shared" si="21"/>
        <v>0</v>
      </c>
      <c r="N50" s="311">
        <f t="shared" si="21"/>
        <v>0</v>
      </c>
      <c r="O50" s="311">
        <f t="shared" si="21"/>
        <v>8550.2910000000011</v>
      </c>
      <c r="P50" s="311">
        <f t="shared" si="21"/>
        <v>0</v>
      </c>
      <c r="Q50" s="312">
        <f>K50/H50*100</f>
        <v>71.342601088079917</v>
      </c>
      <c r="R50" s="311">
        <f t="shared" si="21"/>
        <v>2199.7089999999998</v>
      </c>
      <c r="S50" s="310"/>
      <c r="T50" s="129"/>
      <c r="U50" s="129"/>
      <c r="V50" s="119"/>
      <c r="AB50" s="112"/>
      <c r="AC50" s="112"/>
      <c r="AD50" s="112"/>
      <c r="AE50" s="112"/>
      <c r="AF50" s="112"/>
      <c r="AG50" s="112"/>
      <c r="AH50" s="365"/>
      <c r="AI50" s="365"/>
      <c r="AJ50" s="112"/>
      <c r="AK50" s="112"/>
      <c r="AL50" s="112"/>
      <c r="AM50" s="112"/>
      <c r="AN50" s="112"/>
      <c r="AO50" s="112"/>
      <c r="AP50" s="112"/>
      <c r="AQ50" s="112"/>
    </row>
    <row r="51" spans="1:43" ht="30" x14ac:dyDescent="0.2">
      <c r="A51" s="208">
        <f>'Bieu CKGN (ko in)'!A50</f>
        <v>1</v>
      </c>
      <c r="B51" s="242" t="str">
        <f>'Bieu CKGN (ko in)'!B50</f>
        <v>Trường mầm non xã Ka Lăng, huyện Mường Tè (Hạng mục phụ trợ)</v>
      </c>
      <c r="C51" s="218" t="s">
        <v>149</v>
      </c>
      <c r="D51" s="242"/>
      <c r="E51" s="219">
        <v>2022</v>
      </c>
      <c r="F51" s="219" t="str">
        <f>'Bieu CKGN (ko in)'!C50</f>
        <v>2225-15/12/2021</v>
      </c>
      <c r="G51" s="314">
        <f>'Bieu CKGN (ko in)'!D50</f>
        <v>2500</v>
      </c>
      <c r="H51" s="314">
        <v>1350.2909999999999</v>
      </c>
      <c r="I51" s="230">
        <v>1710.0889999999999</v>
      </c>
      <c r="J51" s="230"/>
      <c r="K51" s="225"/>
      <c r="L51" s="225"/>
      <c r="M51" s="225"/>
      <c r="N51" s="225"/>
      <c r="O51" s="314">
        <v>1350.2909999999999</v>
      </c>
      <c r="P51" s="225"/>
      <c r="Q51" s="230"/>
      <c r="R51" s="230">
        <f>G51-(O51+900)</f>
        <v>249.70899999999983</v>
      </c>
      <c r="S51" s="315"/>
      <c r="T51" s="83"/>
      <c r="U51" s="83"/>
      <c r="V51" s="118" t="s">
        <v>126</v>
      </c>
      <c r="W51" s="133" t="s">
        <v>268</v>
      </c>
      <c r="X51" s="74">
        <v>1085</v>
      </c>
      <c r="Z51" s="77">
        <f>X51-J51</f>
        <v>1085</v>
      </c>
      <c r="AA51" s="74">
        <v>900</v>
      </c>
      <c r="AB51" s="374">
        <f>AA51-K51</f>
        <v>900</v>
      </c>
      <c r="AH51" s="365">
        <f t="shared" ref="AH51:AI53" si="22">H51-K51</f>
        <v>1350.2909999999999</v>
      </c>
      <c r="AI51" s="365">
        <f t="shared" si="22"/>
        <v>1710.0889999999999</v>
      </c>
    </row>
    <row r="52" spans="1:43" ht="30" x14ac:dyDescent="0.2">
      <c r="A52" s="208">
        <f>'Bieu CKGN (ko in)'!A51</f>
        <v>2</v>
      </c>
      <c r="B52" s="242" t="str">
        <f>'Bieu CKGN (ko in)'!B51</f>
        <v>Phòng họp trực tuyến Huyện ủy, huyện Mường Tè (GĐII)</v>
      </c>
      <c r="C52" s="218" t="s">
        <v>140</v>
      </c>
      <c r="D52" s="242"/>
      <c r="E52" s="219">
        <v>2022</v>
      </c>
      <c r="F52" s="219" t="str">
        <f>'Bieu CKGN (ko in)'!C51</f>
        <v>2224-15/12/2021</v>
      </c>
      <c r="G52" s="314">
        <f>'Bieu CKGN (ko in)'!D51</f>
        <v>6950</v>
      </c>
      <c r="H52" s="314">
        <v>3900</v>
      </c>
      <c r="I52" s="230">
        <v>6000</v>
      </c>
      <c r="J52" s="230"/>
      <c r="K52" s="225">
        <v>2800</v>
      </c>
      <c r="L52" s="225">
        <v>2800</v>
      </c>
      <c r="M52" s="225"/>
      <c r="N52" s="225"/>
      <c r="O52" s="314">
        <v>3900</v>
      </c>
      <c r="P52" s="225"/>
      <c r="Q52" s="230"/>
      <c r="R52" s="230">
        <f>G52-(O52+2000)</f>
        <v>1050</v>
      </c>
      <c r="S52" s="315"/>
      <c r="T52" s="83"/>
      <c r="U52" s="83"/>
      <c r="V52" s="118" t="s">
        <v>126</v>
      </c>
      <c r="W52" s="133" t="s">
        <v>268</v>
      </c>
      <c r="X52" s="77">
        <v>2200</v>
      </c>
      <c r="AA52" s="74">
        <v>1843.35</v>
      </c>
      <c r="AH52" s="365">
        <f t="shared" si="22"/>
        <v>1100</v>
      </c>
      <c r="AI52" s="365">
        <f t="shared" si="22"/>
        <v>3200</v>
      </c>
    </row>
    <row r="53" spans="1:43" ht="30" x14ac:dyDescent="0.2">
      <c r="A53" s="208">
        <f>'Bieu CKGN (ko in)'!A52</f>
        <v>3</v>
      </c>
      <c r="B53" s="242" t="str">
        <f>'Bieu CKGN (ko in)'!B52</f>
        <v>Nhà đa năng trường THCS thị trấn, huyện Mường Tè</v>
      </c>
      <c r="C53" s="218" t="s">
        <v>140</v>
      </c>
      <c r="D53" s="242"/>
      <c r="E53" s="219">
        <v>2022</v>
      </c>
      <c r="F53" s="219" t="str">
        <f>'Bieu CKGN (ko in)'!C52</f>
        <v>2223-15/12/2021</v>
      </c>
      <c r="G53" s="314">
        <f>'Bieu CKGN (ko in)'!D52</f>
        <v>6000</v>
      </c>
      <c r="H53" s="314">
        <v>3300</v>
      </c>
      <c r="I53" s="230">
        <f>5300+694</f>
        <v>5994</v>
      </c>
      <c r="J53" s="230"/>
      <c r="K53" s="225">
        <v>3300</v>
      </c>
      <c r="L53" s="225">
        <v>3300</v>
      </c>
      <c r="M53" s="225"/>
      <c r="N53" s="225"/>
      <c r="O53" s="314">
        <v>3300</v>
      </c>
      <c r="P53" s="225"/>
      <c r="Q53" s="230"/>
      <c r="R53" s="230">
        <f>G53-(O53+1800)</f>
        <v>900</v>
      </c>
      <c r="S53" s="315"/>
      <c r="T53" s="83"/>
      <c r="U53" s="83"/>
      <c r="V53" s="118" t="s">
        <v>126</v>
      </c>
      <c r="W53" s="133" t="s">
        <v>268</v>
      </c>
      <c r="X53" s="77">
        <v>1800</v>
      </c>
      <c r="Z53" s="143">
        <v>1843.347</v>
      </c>
      <c r="AA53" s="77">
        <f>X53-Z53</f>
        <v>-43.34699999999998</v>
      </c>
      <c r="AH53" s="365">
        <f t="shared" si="22"/>
        <v>0</v>
      </c>
      <c r="AI53" s="365">
        <f t="shared" si="22"/>
        <v>2694</v>
      </c>
    </row>
    <row r="54" spans="1:43" ht="15" x14ac:dyDescent="0.2">
      <c r="A54" s="306" t="s">
        <v>585</v>
      </c>
      <c r="B54" s="623" t="s">
        <v>417</v>
      </c>
      <c r="C54" s="218"/>
      <c r="D54" s="242"/>
      <c r="E54" s="219"/>
      <c r="F54" s="219"/>
      <c r="G54" s="311">
        <f>SUM(G55:G60)</f>
        <v>28820</v>
      </c>
      <c r="H54" s="311">
        <f t="shared" ref="H54:R54" si="23">SUM(H55:H60)</f>
        <v>11730</v>
      </c>
      <c r="I54" s="311">
        <f t="shared" si="23"/>
        <v>11500</v>
      </c>
      <c r="J54" s="311">
        <f t="shared" si="23"/>
        <v>740</v>
      </c>
      <c r="K54" s="311">
        <f t="shared" si="23"/>
        <v>10047.215</v>
      </c>
      <c r="L54" s="311">
        <f t="shared" si="23"/>
        <v>8497.2150000000001</v>
      </c>
      <c r="M54" s="311">
        <f t="shared" si="23"/>
        <v>0</v>
      </c>
      <c r="N54" s="311">
        <f t="shared" si="23"/>
        <v>0</v>
      </c>
      <c r="O54" s="311">
        <f t="shared" si="23"/>
        <v>11730</v>
      </c>
      <c r="P54" s="311">
        <f t="shared" si="23"/>
        <v>0</v>
      </c>
      <c r="Q54" s="230"/>
      <c r="R54" s="311">
        <f t="shared" si="23"/>
        <v>12971.592000000001</v>
      </c>
      <c r="S54" s="315"/>
      <c r="T54" s="83"/>
      <c r="U54" s="83"/>
      <c r="W54" s="133"/>
      <c r="X54" s="77"/>
      <c r="Z54" s="143"/>
      <c r="AA54" s="77"/>
      <c r="AH54" s="365"/>
      <c r="AI54" s="365"/>
    </row>
    <row r="55" spans="1:43" ht="30" x14ac:dyDescent="0.2">
      <c r="A55" s="208">
        <v>1</v>
      </c>
      <c r="B55" s="242" t="str">
        <f>'Bieu CKGN (ko in)'!B53</f>
        <v>Hạ tầng đô thị, điện chiếu sáng thị trấn Mường Tè, huyện Mường Tè</v>
      </c>
      <c r="C55" s="218" t="s">
        <v>140</v>
      </c>
      <c r="D55" s="242"/>
      <c r="E55" s="219">
        <v>2022</v>
      </c>
      <c r="F55" s="219" t="str">
        <f>'Bieu CKGN (ko in)'!C53</f>
        <v>2207-10/12/2021</v>
      </c>
      <c r="G55" s="314">
        <f>'Bieu CKGN (ko in)'!D53</f>
        <v>20000</v>
      </c>
      <c r="H55" s="314">
        <v>9000</v>
      </c>
      <c r="I55" s="230">
        <v>10150</v>
      </c>
      <c r="J55" s="230">
        <v>450</v>
      </c>
      <c r="K55" s="230">
        <v>9000</v>
      </c>
      <c r="L55" s="225">
        <v>7450</v>
      </c>
      <c r="M55" s="225"/>
      <c r="N55" s="225"/>
      <c r="O55" s="314">
        <v>9000</v>
      </c>
      <c r="P55" s="225"/>
      <c r="Q55" s="230"/>
      <c r="R55" s="230">
        <f>G55-(O55+2000)</f>
        <v>9000</v>
      </c>
      <c r="S55" s="315"/>
      <c r="T55" s="83"/>
      <c r="U55" s="83"/>
      <c r="V55" s="118" t="s">
        <v>122</v>
      </c>
      <c r="W55" s="133" t="s">
        <v>268</v>
      </c>
      <c r="X55" s="135"/>
      <c r="AA55" s="74">
        <v>1463.46</v>
      </c>
      <c r="AH55" s="365">
        <f>H55-K55</f>
        <v>0</v>
      </c>
      <c r="AI55" s="365">
        <f>I55-L55</f>
        <v>2700</v>
      </c>
    </row>
    <row r="56" spans="1:43" ht="60" x14ac:dyDescent="0.2">
      <c r="A56" s="208">
        <v>2</v>
      </c>
      <c r="B56" s="406" t="s">
        <v>446</v>
      </c>
      <c r="C56" s="218" t="s">
        <v>226</v>
      </c>
      <c r="D56" s="407" t="s">
        <v>449</v>
      </c>
      <c r="E56" s="407" t="s">
        <v>179</v>
      </c>
      <c r="F56" s="219" t="s">
        <v>448</v>
      </c>
      <c r="G56" s="314">
        <v>5000</v>
      </c>
      <c r="H56" s="314">
        <v>1600</v>
      </c>
      <c r="I56" s="230">
        <v>240</v>
      </c>
      <c r="J56" s="230">
        <v>90</v>
      </c>
      <c r="K56" s="230">
        <f t="shared" ref="K56" si="24">L56</f>
        <v>0</v>
      </c>
      <c r="L56" s="244"/>
      <c r="M56" s="244"/>
      <c r="N56" s="244"/>
      <c r="O56" s="314">
        <v>1600</v>
      </c>
      <c r="P56" s="244"/>
      <c r="Q56" s="230"/>
      <c r="R56" s="230">
        <f>G56*80%-(O56+128.408)</f>
        <v>2271.5920000000001</v>
      </c>
      <c r="S56" s="315"/>
      <c r="T56" s="83"/>
      <c r="U56" s="83"/>
      <c r="V56" s="118" t="s">
        <v>122</v>
      </c>
      <c r="W56" s="133" t="s">
        <v>268</v>
      </c>
      <c r="X56" s="135"/>
      <c r="AH56" s="365"/>
      <c r="AI56" s="365"/>
    </row>
    <row r="57" spans="1:43" ht="30" x14ac:dyDescent="0.2">
      <c r="A57" s="208">
        <v>3</v>
      </c>
      <c r="B57" s="406" t="s">
        <v>406</v>
      </c>
      <c r="C57" s="218" t="s">
        <v>141</v>
      </c>
      <c r="D57" s="407" t="s">
        <v>450</v>
      </c>
      <c r="E57" s="407" t="s">
        <v>179</v>
      </c>
      <c r="F57" s="219" t="s">
        <v>407</v>
      </c>
      <c r="G57" s="314">
        <v>1800</v>
      </c>
      <c r="H57" s="314">
        <v>900</v>
      </c>
      <c r="I57" s="230">
        <v>825</v>
      </c>
      <c r="J57" s="230">
        <v>200</v>
      </c>
      <c r="K57" s="244">
        <v>817.21500000000003</v>
      </c>
      <c r="L57" s="244">
        <v>817.21500000000003</v>
      </c>
      <c r="M57" s="244"/>
      <c r="N57" s="244"/>
      <c r="O57" s="314">
        <v>900</v>
      </c>
      <c r="P57" s="244"/>
      <c r="Q57" s="230"/>
      <c r="R57" s="230">
        <f>G57*80%-(O57+100)</f>
        <v>440</v>
      </c>
      <c r="S57" s="315"/>
      <c r="T57" s="83"/>
      <c r="U57" s="83"/>
      <c r="V57" s="118" t="s">
        <v>122</v>
      </c>
      <c r="W57" s="133" t="s">
        <v>268</v>
      </c>
      <c r="X57" s="135"/>
      <c r="AH57" s="365"/>
      <c r="AI57" s="365"/>
    </row>
    <row r="58" spans="1:43" ht="45" x14ac:dyDescent="0.2">
      <c r="A58" s="208">
        <v>4</v>
      </c>
      <c r="B58" s="406" t="s">
        <v>447</v>
      </c>
      <c r="C58" s="218" t="s">
        <v>226</v>
      </c>
      <c r="D58" s="407" t="s">
        <v>450</v>
      </c>
      <c r="E58" s="407" t="s">
        <v>179</v>
      </c>
      <c r="F58" s="219" t="s">
        <v>451</v>
      </c>
      <c r="G58" s="314">
        <v>370</v>
      </c>
      <c r="H58" s="314">
        <v>230</v>
      </c>
      <c r="I58" s="230">
        <v>285</v>
      </c>
      <c r="J58" s="230"/>
      <c r="K58" s="244">
        <v>230</v>
      </c>
      <c r="L58" s="244">
        <v>230</v>
      </c>
      <c r="M58" s="244"/>
      <c r="N58" s="244"/>
      <c r="O58" s="314">
        <v>230</v>
      </c>
      <c r="P58" s="244"/>
      <c r="Q58" s="230"/>
      <c r="R58" s="230">
        <f>G58-O58</f>
        <v>140</v>
      </c>
      <c r="S58" s="315"/>
      <c r="T58" s="83"/>
      <c r="U58" s="83"/>
      <c r="V58" s="118" t="s">
        <v>122</v>
      </c>
      <c r="W58" s="133" t="s">
        <v>268</v>
      </c>
      <c r="X58" s="135"/>
      <c r="AH58" s="365"/>
      <c r="AI58" s="365"/>
    </row>
    <row r="59" spans="1:43" s="429" customFormat="1" ht="30" x14ac:dyDescent="0.2">
      <c r="A59" s="416">
        <v>5</v>
      </c>
      <c r="B59" s="435" t="s">
        <v>598</v>
      </c>
      <c r="C59" s="436" t="s">
        <v>225</v>
      </c>
      <c r="D59" s="419" t="s">
        <v>450</v>
      </c>
      <c r="E59" s="419" t="s">
        <v>478</v>
      </c>
      <c r="F59" s="433"/>
      <c r="G59" s="421">
        <v>800</v>
      </c>
      <c r="H59" s="421"/>
      <c r="I59" s="422"/>
      <c r="J59" s="422"/>
      <c r="K59" s="423"/>
      <c r="L59" s="423"/>
      <c r="M59" s="423"/>
      <c r="N59" s="423"/>
      <c r="O59" s="421"/>
      <c r="P59" s="423"/>
      <c r="Q59" s="422"/>
      <c r="R59" s="422">
        <f>G59*80%-100</f>
        <v>540</v>
      </c>
      <c r="S59" s="424"/>
      <c r="T59" s="425"/>
      <c r="U59" s="425"/>
      <c r="V59" s="426" t="s">
        <v>123</v>
      </c>
      <c r="W59" s="133" t="s">
        <v>268</v>
      </c>
      <c r="X59" s="428"/>
      <c r="AB59" s="430"/>
      <c r="AC59" s="430"/>
      <c r="AD59" s="430"/>
      <c r="AE59" s="430"/>
      <c r="AF59" s="430"/>
      <c r="AG59" s="430"/>
      <c r="AH59" s="431"/>
      <c r="AI59" s="431"/>
      <c r="AJ59" s="430"/>
      <c r="AK59" s="430"/>
      <c r="AL59" s="430"/>
      <c r="AM59" s="430"/>
      <c r="AN59" s="430"/>
      <c r="AO59" s="430"/>
      <c r="AP59" s="430"/>
      <c r="AQ59" s="430"/>
    </row>
    <row r="60" spans="1:43" s="429" customFormat="1" ht="30" x14ac:dyDescent="0.2">
      <c r="A60" s="416">
        <v>6</v>
      </c>
      <c r="B60" s="435" t="s">
        <v>599</v>
      </c>
      <c r="C60" s="436" t="s">
        <v>145</v>
      </c>
      <c r="D60" s="419" t="s">
        <v>450</v>
      </c>
      <c r="E60" s="419" t="s">
        <v>478</v>
      </c>
      <c r="F60" s="433"/>
      <c r="G60" s="421">
        <v>850</v>
      </c>
      <c r="H60" s="421"/>
      <c r="I60" s="422"/>
      <c r="J60" s="422"/>
      <c r="K60" s="423"/>
      <c r="L60" s="423"/>
      <c r="M60" s="423"/>
      <c r="N60" s="423"/>
      <c r="O60" s="421"/>
      <c r="P60" s="423"/>
      <c r="Q60" s="422"/>
      <c r="R60" s="422">
        <f>G60*80%-100</f>
        <v>580</v>
      </c>
      <c r="S60" s="424"/>
      <c r="T60" s="425"/>
      <c r="U60" s="425"/>
      <c r="V60" s="426" t="s">
        <v>123</v>
      </c>
      <c r="W60" s="133" t="s">
        <v>268</v>
      </c>
      <c r="X60" s="428"/>
      <c r="AB60" s="430"/>
      <c r="AC60" s="430"/>
      <c r="AD60" s="430"/>
      <c r="AE60" s="430"/>
      <c r="AF60" s="430"/>
      <c r="AG60" s="430"/>
      <c r="AH60" s="431"/>
      <c r="AI60" s="431"/>
      <c r="AJ60" s="430"/>
      <c r="AK60" s="430"/>
      <c r="AL60" s="430"/>
      <c r="AM60" s="430"/>
      <c r="AN60" s="430"/>
      <c r="AO60" s="430"/>
      <c r="AP60" s="430"/>
      <c r="AQ60" s="430"/>
    </row>
    <row r="61" spans="1:43" ht="15" x14ac:dyDescent="0.2">
      <c r="A61" s="306" t="s">
        <v>592</v>
      </c>
      <c r="B61" s="622" t="s">
        <v>586</v>
      </c>
      <c r="C61" s="218"/>
      <c r="D61" s="407"/>
      <c r="E61" s="407"/>
      <c r="F61" s="219"/>
      <c r="G61" s="311">
        <f t="shared" ref="G61:P61" si="25">SUM(G62:G63)</f>
        <v>13500</v>
      </c>
      <c r="H61" s="311">
        <f t="shared" si="25"/>
        <v>0</v>
      </c>
      <c r="I61" s="311">
        <f t="shared" si="25"/>
        <v>0</v>
      </c>
      <c r="J61" s="311">
        <f t="shared" si="25"/>
        <v>0</v>
      </c>
      <c r="K61" s="311">
        <f t="shared" si="25"/>
        <v>0</v>
      </c>
      <c r="L61" s="311">
        <f t="shared" si="25"/>
        <v>0</v>
      </c>
      <c r="M61" s="311">
        <f t="shared" si="25"/>
        <v>0</v>
      </c>
      <c r="N61" s="311">
        <f t="shared" si="25"/>
        <v>0</v>
      </c>
      <c r="O61" s="311">
        <f t="shared" si="25"/>
        <v>0</v>
      </c>
      <c r="P61" s="311">
        <f t="shared" si="25"/>
        <v>0</v>
      </c>
      <c r="Q61" s="230"/>
      <c r="R61" s="311">
        <f>SUM(R62:R63)</f>
        <v>3325</v>
      </c>
      <c r="S61" s="315"/>
      <c r="T61" s="83"/>
      <c r="U61" s="83"/>
      <c r="W61" s="133"/>
      <c r="X61" s="135"/>
      <c r="AH61" s="365"/>
      <c r="AI61" s="365"/>
    </row>
    <row r="62" spans="1:43" ht="30" x14ac:dyDescent="0.2">
      <c r="A62" s="208">
        <v>1</v>
      </c>
      <c r="B62" s="406" t="s">
        <v>589</v>
      </c>
      <c r="C62" s="218" t="s">
        <v>140</v>
      </c>
      <c r="D62" s="407"/>
      <c r="E62" s="407" t="s">
        <v>588</v>
      </c>
      <c r="F62" s="219"/>
      <c r="G62" s="314">
        <v>6500</v>
      </c>
      <c r="H62" s="314"/>
      <c r="I62" s="230"/>
      <c r="J62" s="230"/>
      <c r="K62" s="244"/>
      <c r="L62" s="244"/>
      <c r="M62" s="244"/>
      <c r="N62" s="244"/>
      <c r="O62" s="314"/>
      <c r="P62" s="244"/>
      <c r="Q62" s="230"/>
      <c r="R62" s="230">
        <f>4500*35%</f>
        <v>1575</v>
      </c>
      <c r="S62" s="315"/>
      <c r="T62" s="83"/>
      <c r="U62" s="83"/>
      <c r="V62" s="426" t="s">
        <v>123</v>
      </c>
      <c r="W62" s="133" t="s">
        <v>268</v>
      </c>
      <c r="X62" s="135"/>
      <c r="AH62" s="365"/>
      <c r="AI62" s="365"/>
    </row>
    <row r="63" spans="1:43" ht="30" x14ac:dyDescent="0.2">
      <c r="A63" s="208">
        <v>2</v>
      </c>
      <c r="B63" s="406" t="s">
        <v>590</v>
      </c>
      <c r="C63" s="218" t="s">
        <v>591</v>
      </c>
      <c r="D63" s="407"/>
      <c r="E63" s="407" t="s">
        <v>588</v>
      </c>
      <c r="F63" s="219"/>
      <c r="G63" s="314">
        <v>7000</v>
      </c>
      <c r="H63" s="314"/>
      <c r="I63" s="230"/>
      <c r="J63" s="230"/>
      <c r="K63" s="244"/>
      <c r="L63" s="244"/>
      <c r="M63" s="244"/>
      <c r="N63" s="244"/>
      <c r="O63" s="314"/>
      <c r="P63" s="244"/>
      <c r="Q63" s="230"/>
      <c r="R63" s="230">
        <f>5000*35%</f>
        <v>1750</v>
      </c>
      <c r="S63" s="315"/>
      <c r="T63" s="83"/>
      <c r="U63" s="83"/>
      <c r="V63" s="426" t="s">
        <v>123</v>
      </c>
      <c r="W63" s="133" t="s">
        <v>268</v>
      </c>
      <c r="X63" s="135"/>
      <c r="AH63" s="365"/>
      <c r="AI63" s="365"/>
    </row>
    <row r="64" spans="1:43" ht="15" x14ac:dyDescent="0.2">
      <c r="A64" s="306" t="s">
        <v>595</v>
      </c>
      <c r="B64" s="622" t="s">
        <v>593</v>
      </c>
      <c r="C64" s="218"/>
      <c r="D64" s="407"/>
      <c r="E64" s="407"/>
      <c r="F64" s="219"/>
      <c r="G64" s="311">
        <f>G65+G72</f>
        <v>63340</v>
      </c>
      <c r="H64" s="311">
        <f t="shared" ref="H64:R64" si="26">H65+H72</f>
        <v>0</v>
      </c>
      <c r="I64" s="311">
        <f t="shared" si="26"/>
        <v>0</v>
      </c>
      <c r="J64" s="311">
        <f t="shared" si="26"/>
        <v>0</v>
      </c>
      <c r="K64" s="311">
        <f t="shared" si="26"/>
        <v>0</v>
      </c>
      <c r="L64" s="311">
        <f t="shared" si="26"/>
        <v>0</v>
      </c>
      <c r="M64" s="311">
        <f t="shared" si="26"/>
        <v>0</v>
      </c>
      <c r="N64" s="311">
        <f t="shared" si="26"/>
        <v>0</v>
      </c>
      <c r="O64" s="311">
        <f t="shared" si="26"/>
        <v>0</v>
      </c>
      <c r="P64" s="311">
        <f t="shared" si="26"/>
        <v>0</v>
      </c>
      <c r="Q64" s="230"/>
      <c r="R64" s="311">
        <f t="shared" si="26"/>
        <v>27640</v>
      </c>
      <c r="S64" s="315"/>
      <c r="T64" s="83"/>
      <c r="U64" s="83"/>
      <c r="W64" s="133"/>
      <c r="X64" s="135"/>
      <c r="AH64" s="365"/>
      <c r="AI64" s="365"/>
    </row>
    <row r="65" spans="1:43" s="429" customFormat="1" ht="15" x14ac:dyDescent="0.2">
      <c r="A65" s="416"/>
      <c r="B65" s="438" t="s">
        <v>594</v>
      </c>
      <c r="C65" s="436"/>
      <c r="D65" s="419"/>
      <c r="E65" s="419"/>
      <c r="F65" s="433"/>
      <c r="G65" s="439">
        <f>SUM(G66:G71)</f>
        <v>34500</v>
      </c>
      <c r="H65" s="439">
        <f t="shared" ref="H65:R65" si="27">SUM(H66:H74)</f>
        <v>0</v>
      </c>
      <c r="I65" s="439">
        <f t="shared" si="27"/>
        <v>0</v>
      </c>
      <c r="J65" s="439">
        <f t="shared" si="27"/>
        <v>0</v>
      </c>
      <c r="K65" s="439">
        <f t="shared" si="27"/>
        <v>0</v>
      </c>
      <c r="L65" s="439">
        <f t="shared" si="27"/>
        <v>0</v>
      </c>
      <c r="M65" s="439">
        <f t="shared" si="27"/>
        <v>0</v>
      </c>
      <c r="N65" s="439">
        <f t="shared" si="27"/>
        <v>0</v>
      </c>
      <c r="O65" s="439">
        <f t="shared" si="27"/>
        <v>0</v>
      </c>
      <c r="P65" s="439">
        <f t="shared" si="27"/>
        <v>0</v>
      </c>
      <c r="Q65" s="439">
        <f t="shared" si="27"/>
        <v>0</v>
      </c>
      <c r="R65" s="439">
        <f t="shared" si="27"/>
        <v>20760</v>
      </c>
      <c r="S65" s="424"/>
      <c r="T65" s="425"/>
      <c r="U65" s="425"/>
      <c r="V65" s="426"/>
      <c r="W65" s="427"/>
      <c r="X65" s="428"/>
      <c r="AB65" s="430"/>
      <c r="AC65" s="430"/>
      <c r="AD65" s="430"/>
      <c r="AE65" s="430"/>
      <c r="AF65" s="430"/>
      <c r="AG65" s="430"/>
      <c r="AH65" s="431"/>
      <c r="AI65" s="431"/>
      <c r="AJ65" s="430"/>
      <c r="AK65" s="430"/>
      <c r="AL65" s="430"/>
      <c r="AM65" s="430"/>
      <c r="AN65" s="430"/>
      <c r="AO65" s="430"/>
      <c r="AP65" s="430"/>
      <c r="AQ65" s="430"/>
    </row>
    <row r="66" spans="1:43" s="429" customFormat="1" ht="30" x14ac:dyDescent="0.2">
      <c r="A66" s="416">
        <v>1</v>
      </c>
      <c r="B66" s="417" t="s">
        <v>281</v>
      </c>
      <c r="C66" s="418" t="s">
        <v>292</v>
      </c>
      <c r="D66" s="418" t="s">
        <v>295</v>
      </c>
      <c r="E66" s="419" t="s">
        <v>179</v>
      </c>
      <c r="F66" s="418" t="s">
        <v>306</v>
      </c>
      <c r="G66" s="420">
        <v>6000</v>
      </c>
      <c r="H66" s="421"/>
      <c r="I66" s="422"/>
      <c r="J66" s="422"/>
      <c r="K66" s="423"/>
      <c r="L66" s="423"/>
      <c r="M66" s="423"/>
      <c r="N66" s="423"/>
      <c r="O66" s="421"/>
      <c r="P66" s="423"/>
      <c r="Q66" s="422"/>
      <c r="R66" s="422">
        <v>500</v>
      </c>
      <c r="S66" s="424"/>
      <c r="T66" s="425"/>
      <c r="U66" s="425"/>
      <c r="V66" s="118" t="s">
        <v>122</v>
      </c>
      <c r="W66" s="133" t="s">
        <v>268</v>
      </c>
      <c r="X66" s="428"/>
      <c r="AB66" s="430"/>
      <c r="AC66" s="430"/>
      <c r="AD66" s="430"/>
      <c r="AE66" s="430"/>
      <c r="AF66" s="430"/>
      <c r="AG66" s="430"/>
      <c r="AH66" s="431"/>
      <c r="AI66" s="431"/>
      <c r="AJ66" s="430"/>
      <c r="AK66" s="430"/>
      <c r="AL66" s="430"/>
      <c r="AM66" s="430"/>
      <c r="AN66" s="430"/>
      <c r="AO66" s="430"/>
      <c r="AP66" s="430"/>
      <c r="AQ66" s="430"/>
    </row>
    <row r="67" spans="1:43" s="429" customFormat="1" ht="90" x14ac:dyDescent="0.2">
      <c r="A67" s="416">
        <v>2</v>
      </c>
      <c r="B67" s="417" t="s">
        <v>282</v>
      </c>
      <c r="C67" s="418" t="s">
        <v>292</v>
      </c>
      <c r="D67" s="432" t="s">
        <v>296</v>
      </c>
      <c r="E67" s="419" t="s">
        <v>179</v>
      </c>
      <c r="F67" s="418" t="s">
        <v>307</v>
      </c>
      <c r="G67" s="420">
        <v>4000</v>
      </c>
      <c r="H67" s="421"/>
      <c r="I67" s="422"/>
      <c r="J67" s="422"/>
      <c r="K67" s="423"/>
      <c r="L67" s="423"/>
      <c r="M67" s="423"/>
      <c r="N67" s="423"/>
      <c r="O67" s="421"/>
      <c r="P67" s="423"/>
      <c r="Q67" s="422"/>
      <c r="R67" s="422">
        <v>500</v>
      </c>
      <c r="S67" s="424"/>
      <c r="T67" s="425"/>
      <c r="U67" s="425"/>
      <c r="V67" s="118" t="s">
        <v>122</v>
      </c>
      <c r="W67" s="133" t="s">
        <v>268</v>
      </c>
      <c r="X67" s="428"/>
      <c r="AB67" s="430"/>
      <c r="AC67" s="430"/>
      <c r="AD67" s="430"/>
      <c r="AE67" s="430"/>
      <c r="AF67" s="430"/>
      <c r="AG67" s="430"/>
      <c r="AH67" s="431"/>
      <c r="AI67" s="431"/>
      <c r="AJ67" s="430"/>
      <c r="AK67" s="430"/>
      <c r="AL67" s="430"/>
      <c r="AM67" s="430"/>
      <c r="AN67" s="430"/>
      <c r="AO67" s="430"/>
      <c r="AP67" s="430"/>
      <c r="AQ67" s="430"/>
    </row>
    <row r="68" spans="1:43" s="429" customFormat="1" ht="120" x14ac:dyDescent="0.2">
      <c r="A68" s="416">
        <v>3</v>
      </c>
      <c r="B68" s="417" t="s">
        <v>283</v>
      </c>
      <c r="C68" s="432" t="s">
        <v>142</v>
      </c>
      <c r="D68" s="432" t="s">
        <v>297</v>
      </c>
      <c r="E68" s="419" t="s">
        <v>179</v>
      </c>
      <c r="F68" s="418" t="s">
        <v>308</v>
      </c>
      <c r="G68" s="420">
        <v>7000</v>
      </c>
      <c r="H68" s="421"/>
      <c r="I68" s="422"/>
      <c r="J68" s="422"/>
      <c r="K68" s="423"/>
      <c r="L68" s="423"/>
      <c r="M68" s="423"/>
      <c r="N68" s="423"/>
      <c r="O68" s="421"/>
      <c r="P68" s="423"/>
      <c r="Q68" s="422"/>
      <c r="R68" s="422">
        <v>1000</v>
      </c>
      <c r="S68" s="424"/>
      <c r="T68" s="425"/>
      <c r="U68" s="425"/>
      <c r="V68" s="118" t="s">
        <v>122</v>
      </c>
      <c r="W68" s="133" t="s">
        <v>268</v>
      </c>
      <c r="X68" s="428"/>
      <c r="AB68" s="430"/>
      <c r="AC68" s="430"/>
      <c r="AD68" s="430"/>
      <c r="AE68" s="430"/>
      <c r="AF68" s="430"/>
      <c r="AG68" s="430"/>
      <c r="AH68" s="431"/>
      <c r="AI68" s="431"/>
      <c r="AJ68" s="430"/>
      <c r="AK68" s="430"/>
      <c r="AL68" s="430"/>
      <c r="AM68" s="430"/>
      <c r="AN68" s="430"/>
      <c r="AO68" s="430"/>
      <c r="AP68" s="430"/>
      <c r="AQ68" s="430"/>
    </row>
    <row r="69" spans="1:43" s="429" customFormat="1" ht="75" x14ac:dyDescent="0.2">
      <c r="A69" s="416">
        <v>4</v>
      </c>
      <c r="B69" s="417" t="s">
        <v>284</v>
      </c>
      <c r="C69" s="432" t="s">
        <v>142</v>
      </c>
      <c r="D69" s="432" t="s">
        <v>298</v>
      </c>
      <c r="E69" s="433" t="s">
        <v>179</v>
      </c>
      <c r="F69" s="418" t="s">
        <v>309</v>
      </c>
      <c r="G69" s="420">
        <v>6000</v>
      </c>
      <c r="H69" s="421"/>
      <c r="I69" s="422"/>
      <c r="J69" s="422"/>
      <c r="K69" s="423"/>
      <c r="L69" s="423"/>
      <c r="M69" s="423"/>
      <c r="N69" s="423"/>
      <c r="O69" s="421"/>
      <c r="P69" s="423"/>
      <c r="Q69" s="422"/>
      <c r="R69" s="422">
        <v>1000</v>
      </c>
      <c r="S69" s="424"/>
      <c r="T69" s="425"/>
      <c r="U69" s="425"/>
      <c r="V69" s="426"/>
      <c r="W69" s="133" t="s">
        <v>268</v>
      </c>
      <c r="X69" s="428"/>
      <c r="AB69" s="430"/>
      <c r="AC69" s="430"/>
      <c r="AD69" s="430"/>
      <c r="AE69" s="430"/>
      <c r="AF69" s="430"/>
      <c r="AG69" s="430"/>
      <c r="AH69" s="431"/>
      <c r="AI69" s="431"/>
      <c r="AJ69" s="430"/>
      <c r="AK69" s="430"/>
      <c r="AL69" s="430"/>
      <c r="AM69" s="430"/>
      <c r="AN69" s="430"/>
      <c r="AO69" s="430"/>
      <c r="AP69" s="430"/>
      <c r="AQ69" s="430"/>
    </row>
    <row r="70" spans="1:43" s="429" customFormat="1" ht="120" x14ac:dyDescent="0.2">
      <c r="A70" s="416">
        <v>5</v>
      </c>
      <c r="B70" s="434" t="s">
        <v>285</v>
      </c>
      <c r="C70" s="418" t="s">
        <v>142</v>
      </c>
      <c r="D70" s="418" t="s">
        <v>299</v>
      </c>
      <c r="E70" s="433" t="s">
        <v>179</v>
      </c>
      <c r="F70" s="418" t="s">
        <v>310</v>
      </c>
      <c r="G70" s="420">
        <v>7000</v>
      </c>
      <c r="H70" s="421"/>
      <c r="I70" s="422"/>
      <c r="J70" s="422"/>
      <c r="K70" s="423"/>
      <c r="L70" s="423"/>
      <c r="M70" s="423"/>
      <c r="N70" s="423"/>
      <c r="O70" s="421"/>
      <c r="P70" s="423"/>
      <c r="Q70" s="422"/>
      <c r="R70" s="422">
        <v>2000</v>
      </c>
      <c r="S70" s="424"/>
      <c r="T70" s="425"/>
      <c r="U70" s="425"/>
      <c r="V70" s="118" t="s">
        <v>122</v>
      </c>
      <c r="W70" s="133" t="s">
        <v>268</v>
      </c>
      <c r="X70" s="428"/>
      <c r="AB70" s="430"/>
      <c r="AC70" s="430"/>
      <c r="AD70" s="430"/>
      <c r="AE70" s="430"/>
      <c r="AF70" s="430"/>
      <c r="AG70" s="430"/>
      <c r="AH70" s="431"/>
      <c r="AI70" s="431"/>
      <c r="AJ70" s="430"/>
      <c r="AK70" s="430"/>
      <c r="AL70" s="430"/>
      <c r="AM70" s="430"/>
      <c r="AN70" s="430"/>
      <c r="AO70" s="430"/>
      <c r="AP70" s="430"/>
      <c r="AQ70" s="430"/>
    </row>
    <row r="71" spans="1:43" s="429" customFormat="1" ht="30" x14ac:dyDescent="0.2">
      <c r="A71" s="416">
        <v>6</v>
      </c>
      <c r="B71" s="435" t="s">
        <v>587</v>
      </c>
      <c r="C71" s="436" t="s">
        <v>139</v>
      </c>
      <c r="D71" s="419"/>
      <c r="E71" s="433" t="s">
        <v>179</v>
      </c>
      <c r="F71" s="212" t="s">
        <v>191</v>
      </c>
      <c r="G71" s="421">
        <v>4500</v>
      </c>
      <c r="H71" s="421"/>
      <c r="I71" s="422"/>
      <c r="J71" s="422"/>
      <c r="K71" s="423"/>
      <c r="L71" s="423"/>
      <c r="M71" s="423"/>
      <c r="N71" s="423"/>
      <c r="O71" s="421"/>
      <c r="P71" s="423"/>
      <c r="Q71" s="422"/>
      <c r="R71" s="422">
        <v>2000</v>
      </c>
      <c r="S71" s="424"/>
      <c r="T71" s="425"/>
      <c r="U71" s="425"/>
      <c r="V71" s="118" t="s">
        <v>122</v>
      </c>
      <c r="W71" s="133" t="s">
        <v>268</v>
      </c>
      <c r="X71" s="428"/>
      <c r="AB71" s="430"/>
      <c r="AC71" s="430"/>
      <c r="AD71" s="430"/>
      <c r="AE71" s="430"/>
      <c r="AF71" s="430"/>
      <c r="AG71" s="430"/>
      <c r="AH71" s="431"/>
      <c r="AI71" s="431"/>
      <c r="AJ71" s="430"/>
      <c r="AK71" s="430"/>
      <c r="AL71" s="430"/>
      <c r="AM71" s="430"/>
      <c r="AN71" s="430"/>
      <c r="AO71" s="430"/>
      <c r="AP71" s="430"/>
      <c r="AQ71" s="430"/>
    </row>
    <row r="72" spans="1:43" s="429" customFormat="1" ht="30" x14ac:dyDescent="0.2">
      <c r="A72" s="416"/>
      <c r="B72" s="438" t="s">
        <v>601</v>
      </c>
      <c r="C72" s="436"/>
      <c r="D72" s="419"/>
      <c r="E72" s="419"/>
      <c r="F72" s="433"/>
      <c r="G72" s="439">
        <f>SUM(G73:G74)</f>
        <v>28840</v>
      </c>
      <c r="H72" s="439">
        <f t="shared" ref="H72:R72" si="28">SUM(H73:H74)</f>
        <v>0</v>
      </c>
      <c r="I72" s="439">
        <f t="shared" si="28"/>
        <v>0</v>
      </c>
      <c r="J72" s="439">
        <f t="shared" si="28"/>
        <v>0</v>
      </c>
      <c r="K72" s="439">
        <f t="shared" si="28"/>
        <v>0</v>
      </c>
      <c r="L72" s="439">
        <f t="shared" si="28"/>
        <v>0</v>
      </c>
      <c r="M72" s="439">
        <f t="shared" si="28"/>
        <v>0</v>
      </c>
      <c r="N72" s="439">
        <f t="shared" si="28"/>
        <v>0</v>
      </c>
      <c r="O72" s="439">
        <f t="shared" si="28"/>
        <v>0</v>
      </c>
      <c r="P72" s="439">
        <f t="shared" si="28"/>
        <v>0</v>
      </c>
      <c r="Q72" s="422"/>
      <c r="R72" s="439">
        <f t="shared" si="28"/>
        <v>6880</v>
      </c>
      <c r="S72" s="424"/>
      <c r="T72" s="425"/>
      <c r="U72" s="425"/>
      <c r="V72" s="426"/>
      <c r="W72" s="427"/>
      <c r="X72" s="428"/>
      <c r="AB72" s="430"/>
      <c r="AC72" s="430"/>
      <c r="AD72" s="430"/>
      <c r="AE72" s="430"/>
      <c r="AF72" s="430"/>
      <c r="AG72" s="430"/>
      <c r="AH72" s="431"/>
      <c r="AI72" s="431"/>
      <c r="AJ72" s="430"/>
      <c r="AK72" s="430"/>
      <c r="AL72" s="430"/>
      <c r="AM72" s="430"/>
      <c r="AN72" s="430"/>
      <c r="AO72" s="430"/>
      <c r="AP72" s="430"/>
      <c r="AQ72" s="430"/>
    </row>
    <row r="73" spans="1:43" s="429" customFormat="1" ht="30" x14ac:dyDescent="0.2">
      <c r="A73" s="416">
        <v>1</v>
      </c>
      <c r="B73" s="435" t="s">
        <v>597</v>
      </c>
      <c r="C73" s="436" t="s">
        <v>146</v>
      </c>
      <c r="D73" s="419"/>
      <c r="E73" s="433" t="s">
        <v>179</v>
      </c>
      <c r="F73" s="243" t="s">
        <v>223</v>
      </c>
      <c r="G73" s="421">
        <v>8340</v>
      </c>
      <c r="H73" s="421"/>
      <c r="I73" s="422"/>
      <c r="J73" s="422"/>
      <c r="K73" s="423"/>
      <c r="L73" s="423"/>
      <c r="M73" s="423"/>
      <c r="N73" s="423"/>
      <c r="O73" s="421"/>
      <c r="P73" s="423"/>
      <c r="Q73" s="422"/>
      <c r="R73" s="422">
        <v>4000</v>
      </c>
      <c r="S73" s="424"/>
      <c r="T73" s="425"/>
      <c r="U73" s="425"/>
      <c r="V73" s="118" t="s">
        <v>122</v>
      </c>
      <c r="W73" s="133" t="s">
        <v>268</v>
      </c>
      <c r="X73" s="428"/>
      <c r="AB73" s="430"/>
      <c r="AC73" s="430"/>
      <c r="AD73" s="430"/>
      <c r="AE73" s="430"/>
      <c r="AF73" s="430"/>
      <c r="AG73" s="430"/>
      <c r="AH73" s="431"/>
      <c r="AI73" s="431"/>
      <c r="AJ73" s="430"/>
      <c r="AK73" s="430"/>
      <c r="AL73" s="430"/>
      <c r="AM73" s="430"/>
      <c r="AN73" s="430"/>
      <c r="AO73" s="430"/>
      <c r="AP73" s="430"/>
      <c r="AQ73" s="430"/>
    </row>
    <row r="74" spans="1:43" s="429" customFormat="1" ht="30" x14ac:dyDescent="0.2">
      <c r="A74" s="416">
        <v>2</v>
      </c>
      <c r="B74" s="435" t="s">
        <v>600</v>
      </c>
      <c r="C74" s="436" t="s">
        <v>143</v>
      </c>
      <c r="D74" s="419"/>
      <c r="E74" s="419" t="s">
        <v>466</v>
      </c>
      <c r="F74" s="433" t="s">
        <v>602</v>
      </c>
      <c r="G74" s="421">
        <v>20500</v>
      </c>
      <c r="H74" s="421"/>
      <c r="I74" s="422"/>
      <c r="J74" s="422"/>
      <c r="K74" s="423"/>
      <c r="L74" s="423"/>
      <c r="M74" s="423"/>
      <c r="N74" s="423"/>
      <c r="O74" s="421"/>
      <c r="P74" s="423"/>
      <c r="Q74" s="422"/>
      <c r="R74" s="422">
        <f>9600*30%</f>
        <v>2880</v>
      </c>
      <c r="S74" s="424"/>
      <c r="T74" s="425"/>
      <c r="U74" s="425"/>
      <c r="V74" s="118" t="s">
        <v>122</v>
      </c>
      <c r="W74" s="133" t="s">
        <v>268</v>
      </c>
      <c r="X74" s="428"/>
      <c r="AB74" s="430"/>
      <c r="AC74" s="430"/>
      <c r="AD74" s="430"/>
      <c r="AE74" s="430"/>
      <c r="AF74" s="430"/>
      <c r="AG74" s="430"/>
      <c r="AH74" s="431"/>
      <c r="AI74" s="431"/>
      <c r="AJ74" s="430"/>
      <c r="AK74" s="430"/>
      <c r="AL74" s="430"/>
      <c r="AM74" s="430"/>
      <c r="AN74" s="430"/>
      <c r="AO74" s="430"/>
      <c r="AP74" s="430"/>
      <c r="AQ74" s="430"/>
    </row>
    <row r="75" spans="1:43" s="106" customFormat="1" ht="28.5" x14ac:dyDescent="0.2">
      <c r="A75" s="329" t="s">
        <v>530</v>
      </c>
      <c r="B75" s="330" t="s">
        <v>453</v>
      </c>
      <c r="C75" s="340"/>
      <c r="D75" s="341"/>
      <c r="E75" s="342"/>
      <c r="F75" s="342"/>
      <c r="G75" s="332">
        <f>G76+G78</f>
        <v>13952</v>
      </c>
      <c r="H75" s="332">
        <f t="shared" ref="H75:R75" si="29">H76+H78</f>
        <v>6616</v>
      </c>
      <c r="I75" s="332">
        <f t="shared" si="29"/>
        <v>3505.8649999999998</v>
      </c>
      <c r="J75" s="332">
        <f t="shared" si="29"/>
        <v>2576</v>
      </c>
      <c r="K75" s="332">
        <f t="shared" si="29"/>
        <v>3382.1429999999996</v>
      </c>
      <c r="L75" s="332">
        <f t="shared" si="29"/>
        <v>2632.1429999999996</v>
      </c>
      <c r="M75" s="332">
        <f t="shared" si="29"/>
        <v>0</v>
      </c>
      <c r="N75" s="332">
        <f t="shared" si="29"/>
        <v>0</v>
      </c>
      <c r="O75" s="332">
        <f t="shared" si="29"/>
        <v>6616</v>
      </c>
      <c r="P75" s="332">
        <f t="shared" si="29"/>
        <v>0</v>
      </c>
      <c r="Q75" s="343"/>
      <c r="R75" s="332">
        <f t="shared" si="29"/>
        <v>4997.3999999999996</v>
      </c>
      <c r="S75" s="344"/>
      <c r="T75" s="83"/>
      <c r="U75" s="83"/>
      <c r="V75" s="118"/>
      <c r="W75" s="133"/>
      <c r="X75" s="135"/>
      <c r="Y75" s="74"/>
      <c r="Z75" s="74"/>
      <c r="AA75" s="74"/>
      <c r="AB75" s="103"/>
      <c r="AC75" s="103"/>
      <c r="AD75" s="103"/>
      <c r="AE75" s="103"/>
      <c r="AF75" s="103"/>
      <c r="AG75" s="103"/>
      <c r="AH75" s="365"/>
      <c r="AI75" s="365"/>
      <c r="AJ75" s="103"/>
      <c r="AK75" s="103"/>
      <c r="AL75" s="103"/>
      <c r="AM75" s="103"/>
      <c r="AN75" s="103"/>
      <c r="AO75" s="103"/>
      <c r="AP75" s="103"/>
      <c r="AQ75" s="103"/>
    </row>
    <row r="76" spans="1:43" s="84" customFormat="1" ht="30" x14ac:dyDescent="0.2">
      <c r="A76" s="306"/>
      <c r="B76" s="203" t="s">
        <v>430</v>
      </c>
      <c r="C76" s="205"/>
      <c r="D76" s="203"/>
      <c r="E76" s="203"/>
      <c r="F76" s="205"/>
      <c r="G76" s="206">
        <f>SUM(G77)</f>
        <v>7752</v>
      </c>
      <c r="H76" s="206">
        <f t="shared" ref="H76:R76" si="30">SUM(H77)</f>
        <v>3644</v>
      </c>
      <c r="I76" s="206">
        <f t="shared" si="30"/>
        <v>2616</v>
      </c>
      <c r="J76" s="206">
        <f t="shared" si="30"/>
        <v>2139</v>
      </c>
      <c r="K76" s="206">
        <f t="shared" si="30"/>
        <v>2316.5699999999997</v>
      </c>
      <c r="L76" s="206">
        <f t="shared" si="30"/>
        <v>2316.5699999999997</v>
      </c>
      <c r="M76" s="206">
        <f t="shared" si="30"/>
        <v>0</v>
      </c>
      <c r="N76" s="206">
        <f t="shared" si="30"/>
        <v>0</v>
      </c>
      <c r="O76" s="206">
        <f t="shared" si="30"/>
        <v>3644</v>
      </c>
      <c r="P76" s="206">
        <f t="shared" si="30"/>
        <v>0</v>
      </c>
      <c r="Q76" s="215"/>
      <c r="R76" s="206">
        <f t="shared" si="30"/>
        <v>2816.3999999999996</v>
      </c>
      <c r="S76" s="207"/>
      <c r="T76" s="132"/>
      <c r="U76" s="132"/>
      <c r="V76" s="119"/>
      <c r="W76" s="144"/>
      <c r="Y76" s="145"/>
      <c r="AB76" s="112"/>
      <c r="AC76" s="112"/>
      <c r="AD76" s="112"/>
      <c r="AE76" s="112"/>
      <c r="AF76" s="112"/>
      <c r="AG76" s="112"/>
      <c r="AH76" s="375"/>
      <c r="AI76" s="375"/>
      <c r="AJ76" s="112"/>
      <c r="AK76" s="112"/>
      <c r="AL76" s="112"/>
      <c r="AM76" s="112"/>
      <c r="AN76" s="112"/>
      <c r="AO76" s="112"/>
      <c r="AP76" s="112"/>
      <c r="AQ76" s="112"/>
    </row>
    <row r="77" spans="1:43" s="79" customFormat="1" ht="60" x14ac:dyDescent="0.2">
      <c r="A77" s="183">
        <v>1</v>
      </c>
      <c r="B77" s="184" t="s">
        <v>246</v>
      </c>
      <c r="C77" s="240" t="s">
        <v>429</v>
      </c>
      <c r="D77" s="240" t="s">
        <v>248</v>
      </c>
      <c r="E77" s="240" t="s">
        <v>179</v>
      </c>
      <c r="F77" s="240" t="s">
        <v>251</v>
      </c>
      <c r="G77" s="224">
        <v>7752</v>
      </c>
      <c r="H77" s="224">
        <v>3644</v>
      </c>
      <c r="I77" s="230">
        <v>2616</v>
      </c>
      <c r="J77" s="185">
        <v>2139</v>
      </c>
      <c r="K77" s="276">
        <v>2316.5699999999997</v>
      </c>
      <c r="L77" s="276">
        <v>2316.5699999999997</v>
      </c>
      <c r="M77" s="276"/>
      <c r="N77" s="276"/>
      <c r="O77" s="224">
        <v>3644</v>
      </c>
      <c r="P77" s="276"/>
      <c r="Q77" s="185"/>
      <c r="R77" s="230">
        <f>G77*95%-(O77+904)</f>
        <v>2816.3999999999996</v>
      </c>
      <c r="S77" s="223"/>
      <c r="T77" s="83"/>
      <c r="U77" s="83"/>
      <c r="V77" s="118" t="s">
        <v>122</v>
      </c>
      <c r="W77" s="133" t="s">
        <v>268</v>
      </c>
      <c r="X77" s="115"/>
      <c r="Y77" s="115"/>
      <c r="AB77" s="103"/>
      <c r="AC77" s="103"/>
      <c r="AD77" s="103"/>
      <c r="AE77" s="103"/>
      <c r="AF77" s="103"/>
      <c r="AG77" s="103"/>
      <c r="AH77" s="365"/>
      <c r="AI77" s="365"/>
      <c r="AJ77" s="103"/>
      <c r="AK77" s="103"/>
      <c r="AL77" s="103"/>
      <c r="AM77" s="103"/>
      <c r="AN77" s="103"/>
      <c r="AO77" s="103"/>
      <c r="AP77" s="103"/>
      <c r="AQ77" s="103"/>
    </row>
    <row r="78" spans="1:43" s="84" customFormat="1" ht="30" x14ac:dyDescent="0.2">
      <c r="A78" s="201"/>
      <c r="B78" s="203" t="s">
        <v>431</v>
      </c>
      <c r="C78" s="205"/>
      <c r="D78" s="205"/>
      <c r="E78" s="205"/>
      <c r="F78" s="205"/>
      <c r="G78" s="206">
        <f>SUM(G79:G80)</f>
        <v>6200</v>
      </c>
      <c r="H78" s="206">
        <f t="shared" ref="H78:R78" si="31">SUM(H79:H80)</f>
        <v>2972</v>
      </c>
      <c r="I78" s="206">
        <f t="shared" si="31"/>
        <v>889.86500000000001</v>
      </c>
      <c r="J78" s="206">
        <f t="shared" si="31"/>
        <v>437</v>
      </c>
      <c r="K78" s="206">
        <f t="shared" si="31"/>
        <v>1065.5729999999999</v>
      </c>
      <c r="L78" s="206">
        <f t="shared" si="31"/>
        <v>315.57299999999998</v>
      </c>
      <c r="M78" s="206">
        <f t="shared" si="31"/>
        <v>0</v>
      </c>
      <c r="N78" s="206">
        <f t="shared" si="31"/>
        <v>0</v>
      </c>
      <c r="O78" s="206">
        <f t="shared" si="31"/>
        <v>2972</v>
      </c>
      <c r="P78" s="206">
        <f t="shared" si="31"/>
        <v>0</v>
      </c>
      <c r="Q78" s="215"/>
      <c r="R78" s="206">
        <f t="shared" si="31"/>
        <v>2181</v>
      </c>
      <c r="S78" s="207"/>
      <c r="T78" s="132"/>
      <c r="U78" s="132"/>
      <c r="V78" s="119"/>
      <c r="W78" s="144"/>
      <c r="Y78" s="145"/>
      <c r="AB78" s="112"/>
      <c r="AC78" s="112"/>
      <c r="AD78" s="112"/>
      <c r="AE78" s="112"/>
      <c r="AF78" s="112"/>
      <c r="AG78" s="112"/>
      <c r="AH78" s="375"/>
      <c r="AI78" s="375"/>
      <c r="AJ78" s="112"/>
      <c r="AK78" s="112"/>
      <c r="AL78" s="112"/>
      <c r="AM78" s="112"/>
      <c r="AN78" s="112"/>
      <c r="AO78" s="112"/>
      <c r="AP78" s="112"/>
      <c r="AQ78" s="112"/>
    </row>
    <row r="79" spans="1:43" s="79" customFormat="1" ht="30" x14ac:dyDescent="0.2">
      <c r="A79" s="183">
        <v>1</v>
      </c>
      <c r="B79" s="184" t="s">
        <v>244</v>
      </c>
      <c r="C79" s="240" t="s">
        <v>145</v>
      </c>
      <c r="D79" s="240" t="s">
        <v>247</v>
      </c>
      <c r="E79" s="240" t="s">
        <v>179</v>
      </c>
      <c r="F79" s="240" t="s">
        <v>249</v>
      </c>
      <c r="G79" s="224">
        <v>4650</v>
      </c>
      <c r="H79" s="224">
        <v>2229</v>
      </c>
      <c r="I79" s="225">
        <v>700.10299999999995</v>
      </c>
      <c r="J79" s="185">
        <v>378</v>
      </c>
      <c r="K79" s="276">
        <v>736.62</v>
      </c>
      <c r="L79" s="276">
        <v>196.62</v>
      </c>
      <c r="M79" s="276"/>
      <c r="N79" s="276"/>
      <c r="O79" s="224">
        <v>2229</v>
      </c>
      <c r="P79" s="276"/>
      <c r="Q79" s="185"/>
      <c r="R79" s="230">
        <f>G79*95%-(O79+553)</f>
        <v>1635.5</v>
      </c>
      <c r="S79" s="223"/>
      <c r="T79" s="83"/>
      <c r="U79" s="83"/>
      <c r="V79" s="118" t="s">
        <v>122</v>
      </c>
      <c r="W79" s="133" t="s">
        <v>268</v>
      </c>
      <c r="Y79" s="115"/>
      <c r="AB79" s="103"/>
      <c r="AC79" s="103"/>
      <c r="AD79" s="103"/>
      <c r="AE79" s="103"/>
      <c r="AF79" s="103"/>
      <c r="AG79" s="103"/>
      <c r="AH79" s="365"/>
      <c r="AI79" s="365"/>
      <c r="AJ79" s="103"/>
      <c r="AK79" s="103"/>
      <c r="AL79" s="103"/>
      <c r="AM79" s="103"/>
      <c r="AN79" s="103"/>
      <c r="AO79" s="103"/>
      <c r="AP79" s="103"/>
      <c r="AQ79" s="103"/>
    </row>
    <row r="80" spans="1:43" s="79" customFormat="1" ht="30" x14ac:dyDescent="0.2">
      <c r="A80" s="183">
        <v>2</v>
      </c>
      <c r="B80" s="184" t="s">
        <v>245</v>
      </c>
      <c r="C80" s="240" t="s">
        <v>145</v>
      </c>
      <c r="D80" s="240" t="s">
        <v>247</v>
      </c>
      <c r="E80" s="240" t="s">
        <v>179</v>
      </c>
      <c r="F80" s="240" t="s">
        <v>250</v>
      </c>
      <c r="G80" s="224">
        <v>1550</v>
      </c>
      <c r="H80" s="224">
        <v>743</v>
      </c>
      <c r="I80" s="225">
        <v>189.762</v>
      </c>
      <c r="J80" s="186">
        <v>59</v>
      </c>
      <c r="K80" s="276">
        <v>328.95299999999997</v>
      </c>
      <c r="L80" s="276">
        <v>118.953</v>
      </c>
      <c r="M80" s="276"/>
      <c r="N80" s="276"/>
      <c r="O80" s="224">
        <v>743</v>
      </c>
      <c r="P80" s="276"/>
      <c r="Q80" s="185"/>
      <c r="R80" s="230">
        <f>G80*95%-(O80+184)</f>
        <v>545.5</v>
      </c>
      <c r="S80" s="223"/>
      <c r="T80" s="83"/>
      <c r="U80" s="83"/>
      <c r="V80" s="118" t="s">
        <v>122</v>
      </c>
      <c r="W80" s="133" t="s">
        <v>268</v>
      </c>
      <c r="Y80" s="115"/>
      <c r="AB80" s="103"/>
      <c r="AC80" s="103"/>
      <c r="AD80" s="103"/>
      <c r="AE80" s="103"/>
      <c r="AF80" s="103"/>
      <c r="AG80" s="103"/>
      <c r="AH80" s="365"/>
      <c r="AI80" s="365"/>
      <c r="AJ80" s="103"/>
      <c r="AK80" s="103"/>
      <c r="AL80" s="103"/>
      <c r="AM80" s="103"/>
      <c r="AN80" s="103"/>
      <c r="AO80" s="103"/>
      <c r="AP80" s="103"/>
      <c r="AQ80" s="103"/>
    </row>
    <row r="81" spans="1:43" ht="15" x14ac:dyDescent="0.2">
      <c r="A81" s="323" t="s">
        <v>25</v>
      </c>
      <c r="B81" s="324" t="str">
        <f>'Bieu CKGN (ko in)'!B54</f>
        <v>Vốn đầu tư từ nguồn thu sử dụng đất</v>
      </c>
      <c r="C81" s="324"/>
      <c r="D81" s="324"/>
      <c r="E81" s="324"/>
      <c r="F81" s="325"/>
      <c r="G81" s="326">
        <f>G82+G85</f>
        <v>34330</v>
      </c>
      <c r="H81" s="326">
        <f t="shared" ref="H81:R81" si="32">H82+H85</f>
        <v>12800</v>
      </c>
      <c r="I81" s="326">
        <f t="shared" si="32"/>
        <v>18269</v>
      </c>
      <c r="J81" s="326">
        <f t="shared" si="32"/>
        <v>1050</v>
      </c>
      <c r="K81" s="326">
        <f t="shared" si="32"/>
        <v>1200</v>
      </c>
      <c r="L81" s="326">
        <f t="shared" si="32"/>
        <v>1200</v>
      </c>
      <c r="M81" s="326">
        <f t="shared" si="32"/>
        <v>0</v>
      </c>
      <c r="N81" s="326">
        <f t="shared" si="32"/>
        <v>0</v>
      </c>
      <c r="O81" s="326">
        <f t="shared" si="32"/>
        <v>12800</v>
      </c>
      <c r="P81" s="326">
        <f t="shared" si="32"/>
        <v>0</v>
      </c>
      <c r="Q81" s="327">
        <f>K81/H81*100</f>
        <v>9.375</v>
      </c>
      <c r="R81" s="326">
        <f t="shared" si="32"/>
        <v>9021</v>
      </c>
      <c r="S81" s="328"/>
      <c r="T81" s="83"/>
      <c r="U81" s="83"/>
      <c r="AA81" s="125">
        <f>AA55-K53</f>
        <v>-1836.54</v>
      </c>
      <c r="AH81" s="365"/>
      <c r="AI81" s="365"/>
    </row>
    <row r="82" spans="1:43" ht="28.5" x14ac:dyDescent="0.2">
      <c r="A82" s="345" t="s">
        <v>70</v>
      </c>
      <c r="B82" s="624" t="s">
        <v>454</v>
      </c>
      <c r="C82" s="346"/>
      <c r="D82" s="346"/>
      <c r="E82" s="346"/>
      <c r="F82" s="219"/>
      <c r="G82" s="347">
        <f t="shared" ref="G82:R82" si="33">SUM(G83:G83)</f>
        <v>28000</v>
      </c>
      <c r="H82" s="347">
        <f t="shared" si="33"/>
        <v>10543</v>
      </c>
      <c r="I82" s="347">
        <f t="shared" si="33"/>
        <v>15119</v>
      </c>
      <c r="J82" s="347">
        <f t="shared" si="33"/>
        <v>0</v>
      </c>
      <c r="K82" s="347">
        <f t="shared" si="33"/>
        <v>0</v>
      </c>
      <c r="L82" s="347">
        <f t="shared" si="33"/>
        <v>0</v>
      </c>
      <c r="M82" s="347">
        <f t="shared" si="33"/>
        <v>0</v>
      </c>
      <c r="N82" s="347">
        <f t="shared" si="33"/>
        <v>0</v>
      </c>
      <c r="O82" s="347">
        <f t="shared" si="33"/>
        <v>10543</v>
      </c>
      <c r="P82" s="347">
        <f t="shared" si="33"/>
        <v>0</v>
      </c>
      <c r="Q82" s="348"/>
      <c r="R82" s="347">
        <f t="shared" si="33"/>
        <v>7457</v>
      </c>
      <c r="S82" s="315"/>
      <c r="T82" s="83"/>
      <c r="U82" s="83"/>
      <c r="AH82" s="365"/>
      <c r="AI82" s="365"/>
    </row>
    <row r="83" spans="1:43" ht="15" x14ac:dyDescent="0.2">
      <c r="A83" s="208"/>
      <c r="B83" s="625" t="s">
        <v>455</v>
      </c>
      <c r="C83" s="242"/>
      <c r="D83" s="242"/>
      <c r="E83" s="242"/>
      <c r="F83" s="219"/>
      <c r="G83" s="311">
        <f>SUM(G84)</f>
        <v>28000</v>
      </c>
      <c r="H83" s="311">
        <f t="shared" ref="H83:R83" si="34">SUM(H84)</f>
        <v>10543</v>
      </c>
      <c r="I83" s="311">
        <f t="shared" si="34"/>
        <v>15119</v>
      </c>
      <c r="J83" s="311">
        <f t="shared" si="34"/>
        <v>0</v>
      </c>
      <c r="K83" s="311">
        <f t="shared" si="34"/>
        <v>0</v>
      </c>
      <c r="L83" s="311">
        <f t="shared" si="34"/>
        <v>0</v>
      </c>
      <c r="M83" s="311">
        <f t="shared" si="34"/>
        <v>0</v>
      </c>
      <c r="N83" s="311">
        <f t="shared" si="34"/>
        <v>0</v>
      </c>
      <c r="O83" s="311">
        <f t="shared" si="34"/>
        <v>10543</v>
      </c>
      <c r="P83" s="311">
        <f t="shared" si="34"/>
        <v>0</v>
      </c>
      <c r="Q83" s="335"/>
      <c r="R83" s="311">
        <f t="shared" si="34"/>
        <v>7457</v>
      </c>
      <c r="S83" s="310"/>
      <c r="T83" s="129"/>
      <c r="U83" s="129"/>
      <c r="W83" s="86"/>
      <c r="AH83" s="365"/>
      <c r="AI83" s="365"/>
    </row>
    <row r="84" spans="1:43" s="79" customFormat="1" ht="30" x14ac:dyDescent="0.2">
      <c r="A84" s="183">
        <f>'Bieu CKGN (ko in)'!A63</f>
        <v>1</v>
      </c>
      <c r="B84" s="184" t="str">
        <f>'Bieu CKGN (ko in)'!B63</f>
        <v>Xây dựng hạ tầng kỹ thuật và chỉnh trang đô thị, thị trấn Mường Tè, huyện Mường Tè</v>
      </c>
      <c r="C84" s="218" t="s">
        <v>140</v>
      </c>
      <c r="D84" s="184"/>
      <c r="E84" s="219">
        <v>2022</v>
      </c>
      <c r="F84" s="240" t="str">
        <f>'Bieu CKGN (ko in)'!C63</f>
        <v>628-02/4/2021</v>
      </c>
      <c r="G84" s="224">
        <v>28000</v>
      </c>
      <c r="H84" s="224">
        <v>10543</v>
      </c>
      <c r="I84" s="230">
        <f>9819+1000+4300</f>
        <v>15119</v>
      </c>
      <c r="J84" s="185"/>
      <c r="K84" s="276">
        <f>L84</f>
        <v>0</v>
      </c>
      <c r="L84" s="185"/>
      <c r="M84" s="185"/>
      <c r="N84" s="185"/>
      <c r="O84" s="224">
        <v>10543</v>
      </c>
      <c r="P84" s="185"/>
      <c r="Q84" s="185"/>
      <c r="R84" s="230">
        <f>G84-(O84+10000)</f>
        <v>7457</v>
      </c>
      <c r="S84" s="223"/>
      <c r="T84" s="83"/>
      <c r="U84" s="83"/>
      <c r="V84" s="118" t="s">
        <v>122</v>
      </c>
      <c r="W84" s="133" t="s">
        <v>268</v>
      </c>
      <c r="X84" s="146"/>
      <c r="Z84" s="114">
        <f>K84-X84</f>
        <v>0</v>
      </c>
      <c r="AB84" s="103"/>
      <c r="AC84" s="103"/>
      <c r="AD84" s="103"/>
      <c r="AE84" s="103"/>
      <c r="AF84" s="103"/>
      <c r="AG84" s="103"/>
      <c r="AH84" s="365">
        <f>H84-K84</f>
        <v>10543</v>
      </c>
      <c r="AI84" s="365">
        <f>I84-L84</f>
        <v>15119</v>
      </c>
      <c r="AJ84" s="103"/>
      <c r="AK84" s="103"/>
      <c r="AL84" s="103"/>
      <c r="AM84" s="103"/>
      <c r="AN84" s="103"/>
      <c r="AO84" s="103"/>
      <c r="AP84" s="103"/>
      <c r="AQ84" s="103"/>
    </row>
    <row r="85" spans="1:43" s="79" customFormat="1" ht="15" x14ac:dyDescent="0.2">
      <c r="A85" s="345" t="s">
        <v>76</v>
      </c>
      <c r="B85" s="349" t="s">
        <v>456</v>
      </c>
      <c r="C85" s="218"/>
      <c r="D85" s="184"/>
      <c r="E85" s="219"/>
      <c r="F85" s="240"/>
      <c r="G85" s="350">
        <f>G86+G88</f>
        <v>6330</v>
      </c>
      <c r="H85" s="350">
        <f t="shared" ref="H85:R85" si="35">H86+H88</f>
        <v>2257</v>
      </c>
      <c r="I85" s="350">
        <f t="shared" si="35"/>
        <v>3150</v>
      </c>
      <c r="J85" s="350">
        <f t="shared" si="35"/>
        <v>1050</v>
      </c>
      <c r="K85" s="350">
        <f t="shared" si="35"/>
        <v>1200</v>
      </c>
      <c r="L85" s="350">
        <f t="shared" si="35"/>
        <v>1200</v>
      </c>
      <c r="M85" s="350">
        <f t="shared" si="35"/>
        <v>0</v>
      </c>
      <c r="N85" s="350">
        <f t="shared" si="35"/>
        <v>0</v>
      </c>
      <c r="O85" s="350">
        <f t="shared" si="35"/>
        <v>2257</v>
      </c>
      <c r="P85" s="350">
        <f t="shared" si="35"/>
        <v>0</v>
      </c>
      <c r="Q85" s="185"/>
      <c r="R85" s="411">
        <f t="shared" si="35"/>
        <v>1564</v>
      </c>
      <c r="S85" s="223"/>
      <c r="T85" s="83"/>
      <c r="U85" s="83"/>
      <c r="V85" s="118"/>
      <c r="W85" s="133"/>
      <c r="X85" s="146"/>
      <c r="Z85" s="114"/>
      <c r="AB85" s="103"/>
      <c r="AC85" s="103"/>
      <c r="AD85" s="103"/>
      <c r="AE85" s="103"/>
      <c r="AF85" s="103"/>
      <c r="AG85" s="103"/>
      <c r="AH85" s="365"/>
      <c r="AI85" s="365"/>
      <c r="AJ85" s="103"/>
      <c r="AK85" s="103"/>
      <c r="AL85" s="103"/>
      <c r="AM85" s="103"/>
      <c r="AN85" s="103"/>
      <c r="AO85" s="103"/>
      <c r="AP85" s="103"/>
      <c r="AQ85" s="103"/>
    </row>
    <row r="86" spans="1:43" s="105" customFormat="1" ht="15" x14ac:dyDescent="0.2">
      <c r="A86" s="626" t="s">
        <v>28</v>
      </c>
      <c r="B86" s="625" t="s">
        <v>457</v>
      </c>
      <c r="C86" s="210"/>
      <c r="D86" s="351"/>
      <c r="E86" s="352"/>
      <c r="F86" s="211"/>
      <c r="G86" s="353">
        <f>SUM(G87)</f>
        <v>830</v>
      </c>
      <c r="H86" s="353">
        <f t="shared" ref="H86:R86" si="36">SUM(H87)</f>
        <v>57</v>
      </c>
      <c r="I86" s="353">
        <f t="shared" si="36"/>
        <v>0</v>
      </c>
      <c r="J86" s="353">
        <f t="shared" si="36"/>
        <v>0</v>
      </c>
      <c r="K86" s="353">
        <f t="shared" si="36"/>
        <v>0</v>
      </c>
      <c r="L86" s="353">
        <f t="shared" si="36"/>
        <v>0</v>
      </c>
      <c r="M86" s="353">
        <f t="shared" si="36"/>
        <v>0</v>
      </c>
      <c r="N86" s="353">
        <f t="shared" si="36"/>
        <v>0</v>
      </c>
      <c r="O86" s="353">
        <f t="shared" si="36"/>
        <v>57</v>
      </c>
      <c r="P86" s="353">
        <f t="shared" si="36"/>
        <v>0</v>
      </c>
      <c r="Q86" s="354"/>
      <c r="R86" s="353">
        <f t="shared" si="36"/>
        <v>0</v>
      </c>
      <c r="S86" s="355"/>
      <c r="T86" s="83"/>
      <c r="U86" s="83"/>
      <c r="V86" s="118"/>
      <c r="W86" s="133"/>
      <c r="X86" s="146"/>
      <c r="Y86" s="79"/>
      <c r="Z86" s="114"/>
      <c r="AA86" s="79"/>
      <c r="AB86" s="103"/>
      <c r="AC86" s="103"/>
      <c r="AD86" s="103"/>
      <c r="AE86" s="103"/>
      <c r="AF86" s="103"/>
      <c r="AG86" s="103"/>
      <c r="AH86" s="365"/>
      <c r="AI86" s="365"/>
      <c r="AJ86" s="103"/>
      <c r="AK86" s="103"/>
      <c r="AL86" s="103"/>
      <c r="AM86" s="103"/>
      <c r="AN86" s="103"/>
      <c r="AO86" s="103"/>
      <c r="AP86" s="103"/>
      <c r="AQ86" s="103"/>
    </row>
    <row r="87" spans="1:43" s="79" customFormat="1" ht="30" x14ac:dyDescent="0.2">
      <c r="A87" s="627" t="s">
        <v>458</v>
      </c>
      <c r="B87" s="628" t="s">
        <v>459</v>
      </c>
      <c r="C87" s="451" t="s">
        <v>139</v>
      </c>
      <c r="D87" s="184"/>
      <c r="E87" s="219"/>
      <c r="F87" s="451" t="s">
        <v>460</v>
      </c>
      <c r="G87" s="224">
        <v>830</v>
      </c>
      <c r="H87" s="356">
        <v>57</v>
      </c>
      <c r="I87" s="230"/>
      <c r="J87" s="185"/>
      <c r="K87" s="185">
        <f>L87</f>
        <v>0</v>
      </c>
      <c r="L87" s="185"/>
      <c r="M87" s="185"/>
      <c r="N87" s="185"/>
      <c r="O87" s="356">
        <v>57</v>
      </c>
      <c r="P87" s="185"/>
      <c r="Q87" s="185"/>
      <c r="R87" s="185"/>
      <c r="S87" s="223"/>
      <c r="T87" s="83"/>
      <c r="U87" s="83"/>
      <c r="V87" s="118" t="s">
        <v>124</v>
      </c>
      <c r="W87" s="133" t="s">
        <v>404</v>
      </c>
      <c r="X87" s="146"/>
      <c r="Z87" s="114"/>
      <c r="AB87" s="103"/>
      <c r="AC87" s="103"/>
      <c r="AD87" s="103"/>
      <c r="AE87" s="103"/>
      <c r="AF87" s="103"/>
      <c r="AG87" s="103"/>
      <c r="AH87" s="365"/>
      <c r="AI87" s="365"/>
      <c r="AJ87" s="103"/>
      <c r="AK87" s="103"/>
      <c r="AL87" s="103"/>
      <c r="AM87" s="103"/>
      <c r="AN87" s="103"/>
      <c r="AO87" s="103"/>
      <c r="AP87" s="103"/>
      <c r="AQ87" s="103"/>
    </row>
    <row r="88" spans="1:43" s="79" customFormat="1" ht="15" x14ac:dyDescent="0.2">
      <c r="A88" s="626" t="s">
        <v>30</v>
      </c>
      <c r="B88" s="625" t="s">
        <v>37</v>
      </c>
      <c r="C88" s="218"/>
      <c r="D88" s="184"/>
      <c r="E88" s="219"/>
      <c r="F88" s="240"/>
      <c r="G88" s="206">
        <f>SUM(G89:G90)</f>
        <v>5500</v>
      </c>
      <c r="H88" s="206">
        <f t="shared" ref="H88:R88" si="37">SUM(H89:H90)</f>
        <v>2200</v>
      </c>
      <c r="I88" s="206">
        <f t="shared" si="37"/>
        <v>3150</v>
      </c>
      <c r="J88" s="206">
        <f t="shared" si="37"/>
        <v>1050</v>
      </c>
      <c r="K88" s="206">
        <f t="shared" si="37"/>
        <v>1200</v>
      </c>
      <c r="L88" s="206">
        <f t="shared" si="37"/>
        <v>1200</v>
      </c>
      <c r="M88" s="206">
        <f t="shared" si="37"/>
        <v>0</v>
      </c>
      <c r="N88" s="206">
        <f t="shared" si="37"/>
        <v>0</v>
      </c>
      <c r="O88" s="206">
        <f t="shared" si="37"/>
        <v>2200</v>
      </c>
      <c r="P88" s="206">
        <f t="shared" si="37"/>
        <v>0</v>
      </c>
      <c r="Q88" s="185"/>
      <c r="R88" s="206">
        <f t="shared" si="37"/>
        <v>1564</v>
      </c>
      <c r="S88" s="223"/>
      <c r="T88" s="83"/>
      <c r="U88" s="83"/>
      <c r="V88" s="118"/>
      <c r="W88" s="133"/>
      <c r="X88" s="146"/>
      <c r="Z88" s="114"/>
      <c r="AB88" s="103"/>
      <c r="AC88" s="103"/>
      <c r="AD88" s="103"/>
      <c r="AE88" s="103"/>
      <c r="AF88" s="103"/>
      <c r="AG88" s="103"/>
      <c r="AH88" s="365"/>
      <c r="AI88" s="365"/>
      <c r="AJ88" s="103"/>
      <c r="AK88" s="103"/>
      <c r="AL88" s="103"/>
      <c r="AM88" s="103"/>
      <c r="AN88" s="103"/>
      <c r="AO88" s="103"/>
      <c r="AP88" s="103"/>
      <c r="AQ88" s="103"/>
    </row>
    <row r="89" spans="1:43" s="79" customFormat="1" ht="30" x14ac:dyDescent="0.2">
      <c r="A89" s="183">
        <v>1</v>
      </c>
      <c r="B89" s="209" t="s">
        <v>252</v>
      </c>
      <c r="C89" s="218" t="s">
        <v>146</v>
      </c>
      <c r="D89" s="240" t="s">
        <v>261</v>
      </c>
      <c r="E89" s="212" t="s">
        <v>179</v>
      </c>
      <c r="F89" s="212" t="s">
        <v>264</v>
      </c>
      <c r="G89" s="224">
        <v>3000</v>
      </c>
      <c r="H89" s="224">
        <v>1400</v>
      </c>
      <c r="I89" s="224">
        <v>1400</v>
      </c>
      <c r="J89" s="185">
        <v>800</v>
      </c>
      <c r="K89" s="185">
        <v>1200</v>
      </c>
      <c r="L89" s="185">
        <v>1200</v>
      </c>
      <c r="M89" s="185"/>
      <c r="N89" s="185"/>
      <c r="O89" s="224">
        <v>1400</v>
      </c>
      <c r="P89" s="185"/>
      <c r="Q89" s="185"/>
      <c r="R89" s="185">
        <f>G89-(O89+736)</f>
        <v>864</v>
      </c>
      <c r="S89" s="223"/>
      <c r="T89" s="83"/>
      <c r="U89" s="83"/>
      <c r="V89" s="118" t="s">
        <v>122</v>
      </c>
      <c r="W89" s="133" t="s">
        <v>268</v>
      </c>
      <c r="X89" s="146"/>
      <c r="Z89" s="114"/>
      <c r="AB89" s="103"/>
      <c r="AC89" s="103"/>
      <c r="AD89" s="103"/>
      <c r="AE89" s="103"/>
      <c r="AF89" s="103"/>
      <c r="AG89" s="103"/>
      <c r="AH89" s="365"/>
      <c r="AI89" s="365"/>
      <c r="AJ89" s="103"/>
      <c r="AK89" s="103"/>
      <c r="AL89" s="103"/>
      <c r="AM89" s="103"/>
      <c r="AN89" s="103"/>
      <c r="AO89" s="103"/>
      <c r="AP89" s="103"/>
      <c r="AQ89" s="103"/>
    </row>
    <row r="90" spans="1:43" s="79" customFormat="1" ht="30" x14ac:dyDescent="0.2">
      <c r="A90" s="183">
        <v>2</v>
      </c>
      <c r="B90" s="209" t="s">
        <v>253</v>
      </c>
      <c r="C90" s="218" t="s">
        <v>146</v>
      </c>
      <c r="D90" s="240" t="s">
        <v>262</v>
      </c>
      <c r="E90" s="212" t="s">
        <v>179</v>
      </c>
      <c r="F90" s="212" t="s">
        <v>265</v>
      </c>
      <c r="G90" s="224">
        <v>2500</v>
      </c>
      <c r="H90" s="224">
        <v>800</v>
      </c>
      <c r="I90" s="230">
        <f>1500+J90</f>
        <v>1750</v>
      </c>
      <c r="J90" s="185">
        <v>250</v>
      </c>
      <c r="K90" s="185">
        <f t="shared" ref="K90" si="38">L90</f>
        <v>0</v>
      </c>
      <c r="L90" s="185"/>
      <c r="M90" s="185"/>
      <c r="N90" s="185"/>
      <c r="O90" s="224">
        <v>800</v>
      </c>
      <c r="P90" s="185"/>
      <c r="Q90" s="185"/>
      <c r="R90" s="185">
        <f>G90-(O90+1000)</f>
        <v>700</v>
      </c>
      <c r="S90" s="223"/>
      <c r="T90" s="83"/>
      <c r="U90" s="83"/>
      <c r="V90" s="118" t="s">
        <v>122</v>
      </c>
      <c r="W90" s="147" t="s">
        <v>270</v>
      </c>
      <c r="X90" s="146"/>
      <c r="Z90" s="114"/>
      <c r="AB90" s="103"/>
      <c r="AC90" s="103"/>
      <c r="AD90" s="103"/>
      <c r="AE90" s="103"/>
      <c r="AF90" s="103"/>
      <c r="AG90" s="103"/>
      <c r="AH90" s="365"/>
      <c r="AI90" s="365"/>
      <c r="AJ90" s="103"/>
      <c r="AK90" s="103"/>
      <c r="AL90" s="103"/>
      <c r="AM90" s="103"/>
      <c r="AN90" s="103"/>
      <c r="AO90" s="103"/>
      <c r="AP90" s="103"/>
      <c r="AQ90" s="103"/>
    </row>
    <row r="91" spans="1:43" s="79" customFormat="1" ht="15.75" thickBot="1" x14ac:dyDescent="0.25">
      <c r="A91" s="629"/>
      <c r="B91" s="630"/>
      <c r="C91" s="631"/>
      <c r="D91" s="631"/>
      <c r="E91" s="631"/>
      <c r="F91" s="631"/>
      <c r="G91" s="357"/>
      <c r="H91" s="358"/>
      <c r="I91" s="359"/>
      <c r="J91" s="359"/>
      <c r="K91" s="362"/>
      <c r="L91" s="363"/>
      <c r="M91" s="363"/>
      <c r="N91" s="363"/>
      <c r="O91" s="363"/>
      <c r="P91" s="363"/>
      <c r="Q91" s="360"/>
      <c r="R91" s="360"/>
      <c r="S91" s="361"/>
      <c r="T91" s="83"/>
      <c r="U91" s="83"/>
      <c r="V91" s="118"/>
      <c r="W91" s="133"/>
      <c r="X91" s="146"/>
      <c r="Z91" s="114"/>
      <c r="AB91" s="103"/>
      <c r="AC91" s="103"/>
      <c r="AD91" s="103"/>
      <c r="AE91" s="103"/>
      <c r="AF91" s="103"/>
      <c r="AG91" s="103"/>
      <c r="AH91" s="365"/>
      <c r="AI91" s="365"/>
      <c r="AJ91" s="103"/>
      <c r="AK91" s="103"/>
      <c r="AL91" s="103"/>
      <c r="AM91" s="103"/>
      <c r="AN91" s="103"/>
      <c r="AO91" s="103"/>
      <c r="AP91" s="103"/>
      <c r="AQ91" s="103"/>
    </row>
    <row r="92" spans="1:43" ht="13.5" x14ac:dyDescent="0.2">
      <c r="A92" s="896"/>
      <c r="B92" s="896"/>
      <c r="C92" s="174"/>
      <c r="D92" s="174"/>
      <c r="E92" s="174"/>
      <c r="K92" s="76"/>
      <c r="L92" s="76"/>
      <c r="M92" s="76"/>
      <c r="N92" s="76"/>
      <c r="O92" s="76"/>
      <c r="P92" s="76"/>
      <c r="S92" s="83"/>
      <c r="T92" s="83"/>
      <c r="U92" s="83"/>
    </row>
    <row r="93" spans="1:43" x14ac:dyDescent="0.2">
      <c r="A93" s="94"/>
      <c r="B93" s="97" t="s">
        <v>405</v>
      </c>
      <c r="C93" s="97"/>
      <c r="D93" s="97"/>
      <c r="E93" s="97"/>
      <c r="F93" s="97"/>
      <c r="G93" s="96">
        <f>SUM(G94:G111)</f>
        <v>650361</v>
      </c>
      <c r="H93" s="96">
        <f>SUM(H94:H111)</f>
        <v>59685.502</v>
      </c>
      <c r="I93" s="96">
        <f t="shared" ref="I93:K93" si="39">SUM(I94:J111)</f>
        <v>114288.45</v>
      </c>
      <c r="J93" s="96">
        <f t="shared" si="39"/>
        <v>41129.876000000004</v>
      </c>
      <c r="K93" s="96">
        <f t="shared" si="39"/>
        <v>61324.525000000009</v>
      </c>
      <c r="L93" s="96">
        <f>SUM(L94:L111)</f>
        <v>27921.649000000001</v>
      </c>
      <c r="M93" s="96"/>
      <c r="N93" s="96"/>
      <c r="O93" s="96"/>
      <c r="P93" s="96"/>
      <c r="Q93" s="98">
        <f t="shared" ref="Q93:Q111" si="40">K93/H93*100</f>
        <v>102.74609904428718</v>
      </c>
      <c r="R93" s="98"/>
      <c r="S93" s="97"/>
      <c r="T93" s="164"/>
      <c r="U93" s="165"/>
      <c r="V93" s="166"/>
      <c r="W93" s="96">
        <f>SUM(W94:W111)</f>
        <v>49</v>
      </c>
    </row>
    <row r="94" spans="1:43" x14ac:dyDescent="0.2">
      <c r="A94" s="89">
        <v>1</v>
      </c>
      <c r="B94" s="90" t="s">
        <v>268</v>
      </c>
      <c r="C94" s="88"/>
      <c r="D94" s="88"/>
      <c r="E94" s="88"/>
      <c r="F94" s="88"/>
      <c r="G94" s="87">
        <f t="shared" ref="G94:G111" si="41">SUMIF($W$15:$W$91,B94,$G$15:$G$91)</f>
        <v>644981</v>
      </c>
      <c r="H94" s="87">
        <f t="shared" ref="H94:H111" si="42">SUMIF($W$15:$W$91,B94,$H$15:$H$91)</f>
        <v>58448.502</v>
      </c>
      <c r="I94" s="101">
        <f t="shared" ref="I94:I111" si="43">SUMIF($W$15:$W$91,B94,$I$15:$I$91)</f>
        <v>103011.45</v>
      </c>
      <c r="J94" s="87">
        <f t="shared" ref="J94:J111" si="44">SUMIF($W$15:$W$91,B94,$J$15:$J$91)</f>
        <v>7477</v>
      </c>
      <c r="K94" s="87">
        <f t="shared" ref="K94:K111" si="45">SUMIF($W$15:$W$91,B94,$K$15:$K$91)</f>
        <v>33098.995000000003</v>
      </c>
      <c r="L94" s="87">
        <f t="shared" ref="L94:L111" si="46">SUMIF($W$15:$W$91,B94,$L$15:$L$91)</f>
        <v>27617.768</v>
      </c>
      <c r="M94" s="87"/>
      <c r="N94" s="87"/>
      <c r="O94" s="87"/>
      <c r="P94" s="87"/>
      <c r="Q94" s="95">
        <f t="shared" si="40"/>
        <v>56.629329867170938</v>
      </c>
      <c r="R94" s="95"/>
      <c r="S94" s="88"/>
      <c r="T94" s="167"/>
      <c r="V94" s="168"/>
      <c r="W94" s="169">
        <f t="shared" ref="W94:W111" si="47">COUNTIF($W$12:$W$91,B94)</f>
        <v>46</v>
      </c>
    </row>
    <row r="95" spans="1:43" x14ac:dyDescent="0.2">
      <c r="A95" s="89">
        <v>2</v>
      </c>
      <c r="B95" s="88" t="s">
        <v>404</v>
      </c>
      <c r="C95" s="88"/>
      <c r="D95" s="88"/>
      <c r="E95" s="88"/>
      <c r="F95" s="88"/>
      <c r="G95" s="87">
        <f t="shared" si="41"/>
        <v>830</v>
      </c>
      <c r="H95" s="87">
        <f t="shared" si="42"/>
        <v>57</v>
      </c>
      <c r="I95" s="101">
        <f t="shared" si="43"/>
        <v>0</v>
      </c>
      <c r="J95" s="87">
        <f t="shared" si="44"/>
        <v>0</v>
      </c>
      <c r="K95" s="87">
        <f t="shared" si="45"/>
        <v>0</v>
      </c>
      <c r="L95" s="87">
        <f t="shared" si="46"/>
        <v>0</v>
      </c>
      <c r="M95" s="87"/>
      <c r="N95" s="87"/>
      <c r="O95" s="87"/>
      <c r="P95" s="87"/>
      <c r="Q95" s="95">
        <f t="shared" si="40"/>
        <v>0</v>
      </c>
      <c r="R95" s="95"/>
      <c r="S95" s="88"/>
      <c r="T95" s="167"/>
      <c r="V95" s="168"/>
      <c r="W95" s="169">
        <f t="shared" si="47"/>
        <v>1</v>
      </c>
    </row>
    <row r="96" spans="1:43" x14ac:dyDescent="0.2">
      <c r="A96" s="89">
        <v>3</v>
      </c>
      <c r="B96" s="74" t="s">
        <v>403</v>
      </c>
      <c r="C96" s="88"/>
      <c r="D96" s="88"/>
      <c r="E96" s="88"/>
      <c r="F96" s="88"/>
      <c r="G96" s="87">
        <f t="shared" si="41"/>
        <v>2050</v>
      </c>
      <c r="H96" s="87">
        <f t="shared" si="42"/>
        <v>380</v>
      </c>
      <c r="I96" s="101">
        <f t="shared" si="43"/>
        <v>1800</v>
      </c>
      <c r="J96" s="87">
        <f t="shared" si="44"/>
        <v>0</v>
      </c>
      <c r="K96" s="87">
        <f t="shared" si="45"/>
        <v>303.88099999999997</v>
      </c>
      <c r="L96" s="87">
        <f t="shared" si="46"/>
        <v>303.88099999999997</v>
      </c>
      <c r="M96" s="87"/>
      <c r="N96" s="87"/>
      <c r="O96" s="87"/>
      <c r="P96" s="87"/>
      <c r="Q96" s="95">
        <f t="shared" si="40"/>
        <v>79.968684210526305</v>
      </c>
      <c r="R96" s="95"/>
      <c r="S96" s="88"/>
      <c r="T96" s="167"/>
      <c r="V96" s="168"/>
      <c r="W96" s="169">
        <f t="shared" si="47"/>
        <v>1</v>
      </c>
    </row>
    <row r="97" spans="1:49" x14ac:dyDescent="0.2">
      <c r="A97" s="89">
        <v>4</v>
      </c>
      <c r="B97" s="91" t="s">
        <v>353</v>
      </c>
      <c r="C97" s="88"/>
      <c r="D97" s="88"/>
      <c r="E97" s="88"/>
      <c r="F97" s="88"/>
      <c r="G97" s="87">
        <f t="shared" si="41"/>
        <v>0</v>
      </c>
      <c r="H97" s="87">
        <f t="shared" si="42"/>
        <v>0</v>
      </c>
      <c r="I97" s="101">
        <f t="shared" si="43"/>
        <v>0</v>
      </c>
      <c r="J97" s="87">
        <f t="shared" si="44"/>
        <v>0</v>
      </c>
      <c r="K97" s="87">
        <f t="shared" si="45"/>
        <v>0</v>
      </c>
      <c r="L97" s="87">
        <f t="shared" si="46"/>
        <v>0</v>
      </c>
      <c r="M97" s="87"/>
      <c r="N97" s="87"/>
      <c r="O97" s="87"/>
      <c r="P97" s="87"/>
      <c r="Q97" s="95" t="e">
        <f t="shared" si="40"/>
        <v>#DIV/0!</v>
      </c>
      <c r="R97" s="95"/>
      <c r="S97" s="88"/>
      <c r="T97" s="167"/>
      <c r="V97" s="168"/>
      <c r="W97" s="169">
        <f t="shared" si="47"/>
        <v>0</v>
      </c>
    </row>
    <row r="98" spans="1:49" x14ac:dyDescent="0.2">
      <c r="A98" s="89">
        <v>5</v>
      </c>
      <c r="B98" s="92" t="s">
        <v>274</v>
      </c>
      <c r="C98" s="88"/>
      <c r="D98" s="88"/>
      <c r="E98" s="88"/>
      <c r="F98" s="88"/>
      <c r="G98" s="87">
        <f t="shared" si="41"/>
        <v>0</v>
      </c>
      <c r="H98" s="87">
        <f t="shared" si="42"/>
        <v>0</v>
      </c>
      <c r="I98" s="101">
        <f t="shared" si="43"/>
        <v>0</v>
      </c>
      <c r="J98" s="87">
        <f t="shared" si="44"/>
        <v>0</v>
      </c>
      <c r="K98" s="87">
        <f t="shared" si="45"/>
        <v>0</v>
      </c>
      <c r="L98" s="87">
        <f t="shared" si="46"/>
        <v>0</v>
      </c>
      <c r="M98" s="87"/>
      <c r="N98" s="87"/>
      <c r="O98" s="87"/>
      <c r="P98" s="87"/>
      <c r="Q98" s="95" t="e">
        <f t="shared" si="40"/>
        <v>#DIV/0!</v>
      </c>
      <c r="R98" s="95"/>
      <c r="S98" s="88"/>
      <c r="T98" s="167"/>
      <c r="V98" s="168"/>
      <c r="W98" s="169">
        <f t="shared" si="47"/>
        <v>0</v>
      </c>
    </row>
    <row r="99" spans="1:49" s="103" customFormat="1" x14ac:dyDescent="0.2">
      <c r="A99" s="89">
        <v>6</v>
      </c>
      <c r="B99" s="91" t="s">
        <v>279</v>
      </c>
      <c r="C99" s="88"/>
      <c r="D99" s="88"/>
      <c r="E99" s="88"/>
      <c r="F99" s="88"/>
      <c r="G99" s="87">
        <f t="shared" si="41"/>
        <v>0</v>
      </c>
      <c r="H99" s="87">
        <f t="shared" si="42"/>
        <v>0</v>
      </c>
      <c r="I99" s="101">
        <f t="shared" si="43"/>
        <v>0</v>
      </c>
      <c r="J99" s="87">
        <f t="shared" si="44"/>
        <v>0</v>
      </c>
      <c r="K99" s="87">
        <f t="shared" si="45"/>
        <v>0</v>
      </c>
      <c r="L99" s="87">
        <f t="shared" si="46"/>
        <v>0</v>
      </c>
      <c r="M99" s="87"/>
      <c r="N99" s="87"/>
      <c r="O99" s="87"/>
      <c r="P99" s="87"/>
      <c r="Q99" s="95" t="e">
        <f t="shared" si="40"/>
        <v>#DIV/0!</v>
      </c>
      <c r="R99" s="95"/>
      <c r="S99" s="88"/>
      <c r="T99" s="167"/>
      <c r="U99" s="74"/>
      <c r="V99" s="168"/>
      <c r="W99" s="169">
        <f t="shared" si="47"/>
        <v>0</v>
      </c>
      <c r="X99" s="74"/>
      <c r="Y99" s="74"/>
      <c r="Z99" s="74"/>
      <c r="AA99" s="74"/>
      <c r="AR99" s="74"/>
      <c r="AS99" s="74"/>
      <c r="AT99" s="74"/>
      <c r="AU99" s="74"/>
      <c r="AV99" s="74"/>
      <c r="AW99" s="74"/>
    </row>
    <row r="100" spans="1:49" s="103" customFormat="1" x14ac:dyDescent="0.2">
      <c r="A100" s="89">
        <v>7</v>
      </c>
      <c r="B100" s="91" t="s">
        <v>277</v>
      </c>
      <c r="C100" s="88"/>
      <c r="D100" s="88"/>
      <c r="E100" s="88"/>
      <c r="F100" s="88"/>
      <c r="G100" s="87">
        <f t="shared" si="41"/>
        <v>0</v>
      </c>
      <c r="H100" s="87">
        <f t="shared" si="42"/>
        <v>0</v>
      </c>
      <c r="I100" s="101">
        <f t="shared" si="43"/>
        <v>0</v>
      </c>
      <c r="J100" s="87">
        <f t="shared" si="44"/>
        <v>0</v>
      </c>
      <c r="K100" s="87">
        <f t="shared" si="45"/>
        <v>0</v>
      </c>
      <c r="L100" s="87">
        <f t="shared" si="46"/>
        <v>0</v>
      </c>
      <c r="M100" s="87"/>
      <c r="N100" s="87"/>
      <c r="O100" s="87"/>
      <c r="P100" s="87"/>
      <c r="Q100" s="95" t="e">
        <f t="shared" si="40"/>
        <v>#DIV/0!</v>
      </c>
      <c r="R100" s="95"/>
      <c r="S100" s="88"/>
      <c r="T100" s="167"/>
      <c r="U100" s="74"/>
      <c r="V100" s="168"/>
      <c r="W100" s="169">
        <f t="shared" si="47"/>
        <v>0</v>
      </c>
      <c r="X100" s="74"/>
      <c r="Y100" s="74"/>
      <c r="Z100" s="74">
        <v>7</v>
      </c>
      <c r="AA100" s="77">
        <f>H100</f>
        <v>0</v>
      </c>
      <c r="AR100" s="74"/>
      <c r="AS100" s="74"/>
      <c r="AT100" s="74"/>
      <c r="AU100" s="74"/>
      <c r="AV100" s="74"/>
      <c r="AW100" s="74"/>
    </row>
    <row r="101" spans="1:49" s="103" customFormat="1" x14ac:dyDescent="0.2">
      <c r="A101" s="89">
        <v>8</v>
      </c>
      <c r="B101" s="91" t="s">
        <v>270</v>
      </c>
      <c r="C101" s="88"/>
      <c r="D101" s="88"/>
      <c r="E101" s="88"/>
      <c r="F101" s="88"/>
      <c r="G101" s="87">
        <f t="shared" si="41"/>
        <v>2500</v>
      </c>
      <c r="H101" s="87">
        <f t="shared" si="42"/>
        <v>800</v>
      </c>
      <c r="I101" s="101">
        <f t="shared" si="43"/>
        <v>1750</v>
      </c>
      <c r="J101" s="87">
        <f t="shared" si="44"/>
        <v>250</v>
      </c>
      <c r="K101" s="87">
        <f t="shared" si="45"/>
        <v>0</v>
      </c>
      <c r="L101" s="87">
        <f t="shared" si="46"/>
        <v>0</v>
      </c>
      <c r="M101" s="87"/>
      <c r="N101" s="87"/>
      <c r="O101" s="87"/>
      <c r="P101" s="87"/>
      <c r="Q101" s="95">
        <f t="shared" si="40"/>
        <v>0</v>
      </c>
      <c r="R101" s="95"/>
      <c r="S101" s="88"/>
      <c r="T101" s="167"/>
      <c r="U101" s="74"/>
      <c r="V101" s="168"/>
      <c r="W101" s="169">
        <f t="shared" si="47"/>
        <v>1</v>
      </c>
      <c r="X101" s="74"/>
      <c r="Y101" s="74"/>
      <c r="Z101" s="74"/>
      <c r="AA101" s="77"/>
      <c r="AR101" s="74"/>
      <c r="AS101" s="74"/>
      <c r="AT101" s="74"/>
      <c r="AU101" s="74"/>
      <c r="AV101" s="74"/>
      <c r="AW101" s="74"/>
    </row>
    <row r="102" spans="1:49" s="103" customFormat="1" x14ac:dyDescent="0.2">
      <c r="A102" s="89">
        <v>9</v>
      </c>
      <c r="B102" s="93" t="s">
        <v>276</v>
      </c>
      <c r="C102" s="88"/>
      <c r="D102" s="88"/>
      <c r="E102" s="88"/>
      <c r="F102" s="88"/>
      <c r="G102" s="87">
        <f t="shared" si="41"/>
        <v>0</v>
      </c>
      <c r="H102" s="87">
        <f t="shared" si="42"/>
        <v>0</v>
      </c>
      <c r="I102" s="101">
        <f t="shared" si="43"/>
        <v>0</v>
      </c>
      <c r="J102" s="87">
        <f t="shared" si="44"/>
        <v>0</v>
      </c>
      <c r="K102" s="87">
        <f t="shared" si="45"/>
        <v>0</v>
      </c>
      <c r="L102" s="87">
        <f t="shared" si="46"/>
        <v>0</v>
      </c>
      <c r="M102" s="87"/>
      <c r="N102" s="87"/>
      <c r="O102" s="87"/>
      <c r="P102" s="87"/>
      <c r="Q102" s="95" t="e">
        <f t="shared" si="40"/>
        <v>#DIV/0!</v>
      </c>
      <c r="R102" s="95"/>
      <c r="S102" s="88"/>
      <c r="T102" s="167"/>
      <c r="U102" s="74"/>
      <c r="V102" s="168"/>
      <c r="W102" s="169">
        <f t="shared" si="47"/>
        <v>0</v>
      </c>
      <c r="X102" s="74"/>
      <c r="Y102" s="74"/>
      <c r="Z102" s="74"/>
      <c r="AA102" s="74"/>
      <c r="AR102" s="74"/>
      <c r="AS102" s="74"/>
      <c r="AT102" s="74"/>
      <c r="AU102" s="74"/>
      <c r="AV102" s="74"/>
      <c r="AW102" s="74"/>
    </row>
    <row r="103" spans="1:49" s="103" customFormat="1" x14ac:dyDescent="0.2">
      <c r="A103" s="89">
        <v>10</v>
      </c>
      <c r="B103" s="91" t="s">
        <v>352</v>
      </c>
      <c r="C103" s="88"/>
      <c r="D103" s="88"/>
      <c r="E103" s="88"/>
      <c r="F103" s="88"/>
      <c r="G103" s="87">
        <f t="shared" si="41"/>
        <v>0</v>
      </c>
      <c r="H103" s="87">
        <f t="shared" si="42"/>
        <v>0</v>
      </c>
      <c r="I103" s="101">
        <f t="shared" si="43"/>
        <v>0</v>
      </c>
      <c r="J103" s="87">
        <f t="shared" si="44"/>
        <v>0</v>
      </c>
      <c r="K103" s="87">
        <f t="shared" si="45"/>
        <v>0</v>
      </c>
      <c r="L103" s="87">
        <f t="shared" si="46"/>
        <v>0</v>
      </c>
      <c r="M103" s="87"/>
      <c r="N103" s="87"/>
      <c r="O103" s="87"/>
      <c r="P103" s="87"/>
      <c r="Q103" s="95" t="e">
        <f t="shared" si="40"/>
        <v>#DIV/0!</v>
      </c>
      <c r="R103" s="95"/>
      <c r="S103" s="88"/>
      <c r="T103" s="167"/>
      <c r="U103" s="74"/>
      <c r="V103" s="168"/>
      <c r="W103" s="169">
        <f t="shared" si="47"/>
        <v>0</v>
      </c>
      <c r="X103" s="74"/>
      <c r="Y103" s="74"/>
      <c r="Z103" s="74"/>
      <c r="AA103" s="74"/>
      <c r="AR103" s="74"/>
      <c r="AS103" s="74"/>
      <c r="AT103" s="74"/>
      <c r="AU103" s="74"/>
      <c r="AV103" s="74"/>
      <c r="AW103" s="74"/>
    </row>
    <row r="104" spans="1:49" s="103" customFormat="1" x14ac:dyDescent="0.2">
      <c r="A104" s="89">
        <v>11</v>
      </c>
      <c r="B104" s="91" t="s">
        <v>280</v>
      </c>
      <c r="C104" s="88"/>
      <c r="D104" s="88"/>
      <c r="E104" s="88"/>
      <c r="F104" s="88"/>
      <c r="G104" s="87">
        <f t="shared" si="41"/>
        <v>0</v>
      </c>
      <c r="H104" s="87">
        <f t="shared" si="42"/>
        <v>0</v>
      </c>
      <c r="I104" s="101">
        <f t="shared" si="43"/>
        <v>0</v>
      </c>
      <c r="J104" s="87">
        <f t="shared" si="44"/>
        <v>0</v>
      </c>
      <c r="K104" s="87">
        <f t="shared" si="45"/>
        <v>0</v>
      </c>
      <c r="L104" s="87">
        <f t="shared" si="46"/>
        <v>0</v>
      </c>
      <c r="M104" s="87"/>
      <c r="N104" s="87"/>
      <c r="O104" s="87"/>
      <c r="P104" s="87"/>
      <c r="Q104" s="95" t="e">
        <f t="shared" si="40"/>
        <v>#DIV/0!</v>
      </c>
      <c r="R104" s="95"/>
      <c r="S104" s="88"/>
      <c r="T104" s="167"/>
      <c r="U104" s="74"/>
      <c r="V104" s="168"/>
      <c r="W104" s="169">
        <f t="shared" si="47"/>
        <v>0</v>
      </c>
      <c r="X104" s="74"/>
      <c r="Y104" s="74"/>
      <c r="Z104" s="74"/>
      <c r="AA104" s="74"/>
      <c r="AR104" s="74"/>
      <c r="AS104" s="74"/>
      <c r="AT104" s="74"/>
      <c r="AU104" s="74"/>
      <c r="AV104" s="74"/>
      <c r="AW104" s="74"/>
    </row>
    <row r="105" spans="1:49" s="103" customFormat="1" x14ac:dyDescent="0.2">
      <c r="A105" s="89">
        <v>12</v>
      </c>
      <c r="B105" s="91" t="s">
        <v>272</v>
      </c>
      <c r="C105" s="88"/>
      <c r="D105" s="88"/>
      <c r="E105" s="88"/>
      <c r="F105" s="88"/>
      <c r="G105" s="87">
        <f t="shared" si="41"/>
        <v>0</v>
      </c>
      <c r="H105" s="87">
        <f t="shared" si="42"/>
        <v>0</v>
      </c>
      <c r="I105" s="101">
        <f t="shared" si="43"/>
        <v>0</v>
      </c>
      <c r="J105" s="87">
        <f t="shared" si="44"/>
        <v>0</v>
      </c>
      <c r="K105" s="87">
        <f t="shared" si="45"/>
        <v>0</v>
      </c>
      <c r="L105" s="87">
        <f t="shared" si="46"/>
        <v>0</v>
      </c>
      <c r="M105" s="87"/>
      <c r="N105" s="87"/>
      <c r="O105" s="87"/>
      <c r="P105" s="87"/>
      <c r="Q105" s="95" t="e">
        <f t="shared" si="40"/>
        <v>#DIV/0!</v>
      </c>
      <c r="R105" s="95"/>
      <c r="S105" s="88"/>
      <c r="T105" s="167"/>
      <c r="U105" s="74"/>
      <c r="V105" s="168"/>
      <c r="W105" s="169">
        <f t="shared" si="47"/>
        <v>0</v>
      </c>
      <c r="X105" s="74"/>
      <c r="Y105" s="74"/>
      <c r="Z105" s="74">
        <v>3</v>
      </c>
      <c r="AA105" s="77">
        <f>H105</f>
        <v>0</v>
      </c>
      <c r="AR105" s="74"/>
      <c r="AS105" s="74"/>
      <c r="AT105" s="74"/>
      <c r="AU105" s="74"/>
      <c r="AV105" s="74"/>
      <c r="AW105" s="74"/>
    </row>
    <row r="106" spans="1:49" s="103" customFormat="1" x14ac:dyDescent="0.2">
      <c r="A106" s="89">
        <v>13</v>
      </c>
      <c r="B106" s="91" t="s">
        <v>278</v>
      </c>
      <c r="C106" s="88"/>
      <c r="D106" s="88"/>
      <c r="E106" s="88"/>
      <c r="F106" s="88"/>
      <c r="G106" s="87">
        <f t="shared" si="41"/>
        <v>0</v>
      </c>
      <c r="H106" s="87">
        <f t="shared" si="42"/>
        <v>0</v>
      </c>
      <c r="I106" s="101">
        <f t="shared" si="43"/>
        <v>0</v>
      </c>
      <c r="J106" s="87">
        <f t="shared" si="44"/>
        <v>0</v>
      </c>
      <c r="K106" s="87">
        <f t="shared" si="45"/>
        <v>0</v>
      </c>
      <c r="L106" s="87">
        <f t="shared" si="46"/>
        <v>0</v>
      </c>
      <c r="M106" s="87"/>
      <c r="N106" s="87"/>
      <c r="O106" s="87"/>
      <c r="P106" s="87"/>
      <c r="Q106" s="95" t="e">
        <f t="shared" si="40"/>
        <v>#DIV/0!</v>
      </c>
      <c r="R106" s="95"/>
      <c r="S106" s="88"/>
      <c r="T106" s="167"/>
      <c r="U106" s="74"/>
      <c r="V106" s="168"/>
      <c r="W106" s="169">
        <f t="shared" si="47"/>
        <v>0</v>
      </c>
      <c r="X106" s="74"/>
      <c r="Y106" s="74"/>
      <c r="Z106" s="74"/>
      <c r="AA106" s="74"/>
      <c r="AR106" s="74"/>
      <c r="AS106" s="74"/>
      <c r="AT106" s="74"/>
      <c r="AU106" s="74"/>
      <c r="AV106" s="74"/>
      <c r="AW106" s="74"/>
    </row>
    <row r="107" spans="1:49" s="103" customFormat="1" x14ac:dyDescent="0.2">
      <c r="A107" s="89">
        <v>14</v>
      </c>
      <c r="B107" s="91" t="s">
        <v>271</v>
      </c>
      <c r="C107" s="88"/>
      <c r="D107" s="88"/>
      <c r="E107" s="88"/>
      <c r="F107" s="88"/>
      <c r="G107" s="87">
        <f t="shared" si="41"/>
        <v>0</v>
      </c>
      <c r="H107" s="87">
        <f t="shared" si="42"/>
        <v>0</v>
      </c>
      <c r="I107" s="101">
        <f t="shared" si="43"/>
        <v>0</v>
      </c>
      <c r="J107" s="87">
        <f t="shared" si="44"/>
        <v>0</v>
      </c>
      <c r="K107" s="87">
        <f t="shared" si="45"/>
        <v>0</v>
      </c>
      <c r="L107" s="87">
        <f t="shared" si="46"/>
        <v>0</v>
      </c>
      <c r="M107" s="87"/>
      <c r="N107" s="87"/>
      <c r="O107" s="87"/>
      <c r="P107" s="87"/>
      <c r="Q107" s="95" t="e">
        <f t="shared" si="40"/>
        <v>#DIV/0!</v>
      </c>
      <c r="R107" s="95"/>
      <c r="S107" s="88"/>
      <c r="T107" s="167"/>
      <c r="U107" s="74"/>
      <c r="V107" s="168"/>
      <c r="W107" s="169">
        <f t="shared" si="47"/>
        <v>0</v>
      </c>
      <c r="X107" s="74"/>
      <c r="Y107" s="74"/>
      <c r="Z107" s="74">
        <v>5</v>
      </c>
      <c r="AA107" s="77">
        <f>H107</f>
        <v>0</v>
      </c>
      <c r="AR107" s="74"/>
      <c r="AS107" s="74"/>
      <c r="AT107" s="74"/>
      <c r="AU107" s="74"/>
      <c r="AV107" s="74"/>
      <c r="AW107" s="74"/>
    </row>
    <row r="108" spans="1:49" s="103" customFormat="1" x14ac:dyDescent="0.2">
      <c r="A108" s="89">
        <v>15</v>
      </c>
      <c r="B108" s="91" t="s">
        <v>269</v>
      </c>
      <c r="C108" s="88"/>
      <c r="D108" s="88"/>
      <c r="E108" s="88"/>
      <c r="F108" s="88"/>
      <c r="G108" s="87">
        <f t="shared" si="41"/>
        <v>0</v>
      </c>
      <c r="H108" s="87">
        <f t="shared" si="42"/>
        <v>0</v>
      </c>
      <c r="I108" s="101">
        <f t="shared" si="43"/>
        <v>0</v>
      </c>
      <c r="J108" s="87">
        <f t="shared" si="44"/>
        <v>0</v>
      </c>
      <c r="K108" s="87">
        <f t="shared" si="45"/>
        <v>0</v>
      </c>
      <c r="L108" s="87">
        <f t="shared" si="46"/>
        <v>0</v>
      </c>
      <c r="M108" s="87"/>
      <c r="N108" s="87"/>
      <c r="O108" s="87"/>
      <c r="P108" s="87"/>
      <c r="Q108" s="95" t="e">
        <f t="shared" si="40"/>
        <v>#DIV/0!</v>
      </c>
      <c r="R108" s="95"/>
      <c r="S108" s="88"/>
      <c r="T108" s="167"/>
      <c r="U108" s="74"/>
      <c r="V108" s="168"/>
      <c r="W108" s="169">
        <f t="shared" si="47"/>
        <v>0</v>
      </c>
      <c r="X108" s="74"/>
      <c r="Y108" s="74"/>
      <c r="Z108" s="74">
        <v>6</v>
      </c>
      <c r="AA108" s="77">
        <f>H108</f>
        <v>0</v>
      </c>
      <c r="AR108" s="74"/>
      <c r="AS108" s="74"/>
      <c r="AT108" s="74"/>
      <c r="AU108" s="74"/>
      <c r="AV108" s="74"/>
      <c r="AW108" s="74"/>
    </row>
    <row r="109" spans="1:49" s="103" customFormat="1" x14ac:dyDescent="0.2">
      <c r="A109" s="89">
        <v>16</v>
      </c>
      <c r="B109" s="91" t="s">
        <v>275</v>
      </c>
      <c r="C109" s="88"/>
      <c r="D109" s="88"/>
      <c r="E109" s="88"/>
      <c r="F109" s="88"/>
      <c r="G109" s="87">
        <f t="shared" si="41"/>
        <v>0</v>
      </c>
      <c r="H109" s="87">
        <f t="shared" si="42"/>
        <v>0</v>
      </c>
      <c r="I109" s="101">
        <f t="shared" si="43"/>
        <v>0</v>
      </c>
      <c r="J109" s="87">
        <f t="shared" si="44"/>
        <v>0</v>
      </c>
      <c r="K109" s="87">
        <f t="shared" si="45"/>
        <v>0</v>
      </c>
      <c r="L109" s="87">
        <f t="shared" si="46"/>
        <v>0</v>
      </c>
      <c r="M109" s="87"/>
      <c r="N109" s="87"/>
      <c r="O109" s="87"/>
      <c r="P109" s="87"/>
      <c r="Q109" s="95" t="e">
        <f t="shared" si="40"/>
        <v>#DIV/0!</v>
      </c>
      <c r="R109" s="95"/>
      <c r="S109" s="88"/>
      <c r="T109" s="167"/>
      <c r="U109" s="74"/>
      <c r="V109" s="168"/>
      <c r="W109" s="169">
        <f t="shared" si="47"/>
        <v>0</v>
      </c>
      <c r="X109" s="74"/>
      <c r="Y109" s="74"/>
      <c r="Z109" s="74">
        <v>3</v>
      </c>
      <c r="AA109" s="77">
        <f>H109</f>
        <v>0</v>
      </c>
      <c r="AR109" s="74"/>
      <c r="AS109" s="74"/>
      <c r="AT109" s="74"/>
      <c r="AU109" s="74"/>
      <c r="AV109" s="74"/>
      <c r="AW109" s="74"/>
    </row>
    <row r="110" spans="1:49" s="103" customFormat="1" x14ac:dyDescent="0.2">
      <c r="A110" s="89">
        <v>17</v>
      </c>
      <c r="B110" s="91" t="s">
        <v>273</v>
      </c>
      <c r="C110" s="88"/>
      <c r="D110" s="88"/>
      <c r="E110" s="88"/>
      <c r="F110" s="88"/>
      <c r="G110" s="87">
        <f t="shared" si="41"/>
        <v>0</v>
      </c>
      <c r="H110" s="87">
        <f t="shared" si="42"/>
        <v>0</v>
      </c>
      <c r="I110" s="101">
        <f t="shared" si="43"/>
        <v>0</v>
      </c>
      <c r="J110" s="87">
        <f t="shared" si="44"/>
        <v>0</v>
      </c>
      <c r="K110" s="87">
        <f t="shared" si="45"/>
        <v>0</v>
      </c>
      <c r="L110" s="87">
        <f t="shared" si="46"/>
        <v>0</v>
      </c>
      <c r="M110" s="87"/>
      <c r="N110" s="87"/>
      <c r="O110" s="87"/>
      <c r="P110" s="87"/>
      <c r="Q110" s="95" t="e">
        <f t="shared" si="40"/>
        <v>#DIV/0!</v>
      </c>
      <c r="R110" s="95"/>
      <c r="S110" s="88"/>
      <c r="T110" s="167"/>
      <c r="U110" s="74"/>
      <c r="V110" s="168"/>
      <c r="W110" s="169">
        <f t="shared" si="47"/>
        <v>0</v>
      </c>
      <c r="X110" s="74"/>
      <c r="Y110" s="74"/>
      <c r="Z110" s="74">
        <v>4</v>
      </c>
      <c r="AA110" s="77">
        <f>H110</f>
        <v>0</v>
      </c>
      <c r="AR110" s="74"/>
      <c r="AS110" s="74"/>
      <c r="AT110" s="74"/>
      <c r="AU110" s="74"/>
      <c r="AV110" s="74"/>
      <c r="AW110" s="74"/>
    </row>
    <row r="111" spans="1:49" s="103" customFormat="1" x14ac:dyDescent="0.2">
      <c r="A111" s="86"/>
      <c r="B111" s="116" t="s">
        <v>536</v>
      </c>
      <c r="C111" s="74"/>
      <c r="D111" s="74"/>
      <c r="E111" s="74"/>
      <c r="F111" s="74"/>
      <c r="G111" s="87">
        <f t="shared" si="41"/>
        <v>0</v>
      </c>
      <c r="H111" s="87">
        <f t="shared" si="42"/>
        <v>0</v>
      </c>
      <c r="I111" s="101">
        <f t="shared" si="43"/>
        <v>0</v>
      </c>
      <c r="J111" s="87">
        <f t="shared" si="44"/>
        <v>0</v>
      </c>
      <c r="K111" s="87">
        <f t="shared" si="45"/>
        <v>0</v>
      </c>
      <c r="L111" s="87">
        <f t="shared" si="46"/>
        <v>0</v>
      </c>
      <c r="M111" s="87"/>
      <c r="N111" s="87"/>
      <c r="O111" s="87"/>
      <c r="P111" s="87"/>
      <c r="Q111" s="95" t="e">
        <f t="shared" si="40"/>
        <v>#DIV/0!</v>
      </c>
      <c r="R111" s="381"/>
      <c r="S111" s="74"/>
      <c r="T111" s="74"/>
      <c r="U111" s="74"/>
      <c r="V111" s="118"/>
      <c r="W111" s="169">
        <f t="shared" si="47"/>
        <v>0</v>
      </c>
      <c r="X111" s="74"/>
      <c r="Y111" s="74"/>
      <c r="Z111" s="74">
        <f>SUM(Z100:Z110)</f>
        <v>28</v>
      </c>
      <c r="AA111" s="74"/>
      <c r="AR111" s="74"/>
      <c r="AS111" s="74"/>
      <c r="AT111" s="74"/>
      <c r="AU111" s="74"/>
      <c r="AV111" s="74"/>
      <c r="AW111" s="74"/>
    </row>
    <row r="112" spans="1:49" s="103" customFormat="1" x14ac:dyDescent="0.2">
      <c r="A112" s="86"/>
      <c r="B112" s="74"/>
      <c r="C112" s="74"/>
      <c r="D112" s="74"/>
      <c r="E112" s="74"/>
      <c r="F112" s="74"/>
      <c r="G112" s="74"/>
      <c r="H112" s="74"/>
      <c r="I112" s="76"/>
      <c r="J112" s="76"/>
      <c r="K112" s="81"/>
      <c r="L112" s="81"/>
      <c r="M112" s="81"/>
      <c r="N112" s="81"/>
      <c r="O112" s="81"/>
      <c r="P112" s="81"/>
      <c r="Q112" s="76"/>
      <c r="R112" s="76"/>
      <c r="S112" s="74"/>
      <c r="T112" s="74"/>
      <c r="U112" s="74"/>
      <c r="V112" s="118"/>
      <c r="W112" s="74"/>
      <c r="X112" s="74"/>
      <c r="Y112" s="74"/>
      <c r="Z112" s="74"/>
      <c r="AA112" s="74"/>
      <c r="AR112" s="74"/>
      <c r="AS112" s="74"/>
      <c r="AT112" s="74"/>
      <c r="AU112" s="74"/>
      <c r="AV112" s="74"/>
      <c r="AW112" s="74"/>
    </row>
    <row r="117" spans="1:49" s="76" customFormat="1" x14ac:dyDescent="0.2">
      <c r="A117" s="74"/>
      <c r="B117" s="74"/>
      <c r="C117" s="74"/>
      <c r="D117" s="74"/>
      <c r="E117" s="74"/>
      <c r="F117" s="74"/>
      <c r="G117" s="77"/>
      <c r="H117" s="77"/>
      <c r="I117" s="77"/>
      <c r="J117" s="77"/>
      <c r="K117" s="99"/>
      <c r="L117" s="99"/>
      <c r="M117" s="99"/>
      <c r="N117" s="99"/>
      <c r="O117" s="99"/>
      <c r="P117" s="99"/>
      <c r="S117" s="74"/>
      <c r="T117" s="74"/>
      <c r="U117" s="74"/>
      <c r="V117" s="118"/>
      <c r="W117" s="74"/>
      <c r="X117" s="74"/>
      <c r="Y117" s="74"/>
      <c r="Z117" s="74"/>
      <c r="AA117" s="74"/>
      <c r="AB117" s="103"/>
      <c r="AC117" s="103"/>
      <c r="AD117" s="103"/>
      <c r="AE117" s="103"/>
      <c r="AF117" s="103"/>
      <c r="AG117" s="103"/>
      <c r="AH117" s="103"/>
      <c r="AI117" s="103"/>
      <c r="AJ117" s="103"/>
      <c r="AK117" s="103"/>
      <c r="AL117" s="103"/>
      <c r="AM117" s="103"/>
      <c r="AN117" s="103"/>
      <c r="AO117" s="103"/>
      <c r="AP117" s="103"/>
      <c r="AQ117" s="103"/>
      <c r="AR117" s="74"/>
      <c r="AS117" s="74"/>
      <c r="AT117" s="74"/>
      <c r="AU117" s="74"/>
      <c r="AV117" s="74"/>
      <c r="AW117" s="74"/>
    </row>
    <row r="156" spans="1:49" s="76" customFormat="1" x14ac:dyDescent="0.2">
      <c r="A156" s="74"/>
      <c r="B156" s="74"/>
      <c r="C156" s="74"/>
      <c r="D156" s="74"/>
      <c r="E156" s="74"/>
      <c r="F156" s="74"/>
      <c r="G156" s="74"/>
      <c r="H156" s="77" t="e">
        <f>#REF!</f>
        <v>#REF!</v>
      </c>
      <c r="K156" s="81"/>
      <c r="L156" s="81"/>
      <c r="M156" s="81"/>
      <c r="N156" s="81"/>
      <c r="O156" s="81"/>
      <c r="P156" s="81"/>
      <c r="S156" s="74"/>
      <c r="T156" s="74"/>
      <c r="U156" s="74"/>
      <c r="V156" s="118"/>
      <c r="W156" s="74"/>
      <c r="X156" s="74"/>
      <c r="Y156" s="74"/>
      <c r="Z156" s="74"/>
      <c r="AA156" s="74"/>
      <c r="AB156" s="103"/>
      <c r="AC156" s="103"/>
      <c r="AD156" s="103"/>
      <c r="AE156" s="103"/>
      <c r="AF156" s="103"/>
      <c r="AG156" s="103"/>
      <c r="AH156" s="103"/>
      <c r="AI156" s="103"/>
      <c r="AJ156" s="103"/>
      <c r="AK156" s="103"/>
      <c r="AL156" s="103"/>
      <c r="AM156" s="103"/>
      <c r="AN156" s="103"/>
      <c r="AO156" s="103"/>
      <c r="AP156" s="103"/>
      <c r="AQ156" s="103"/>
      <c r="AR156" s="74"/>
      <c r="AS156" s="74"/>
      <c r="AT156" s="74"/>
      <c r="AU156" s="74"/>
      <c r="AV156" s="74"/>
      <c r="AW156" s="74"/>
    </row>
    <row r="157" spans="1:49" s="76" customFormat="1" x14ac:dyDescent="0.2">
      <c r="A157" s="74"/>
      <c r="B157" s="74"/>
      <c r="C157" s="74"/>
      <c r="D157" s="74"/>
      <c r="E157" s="74"/>
      <c r="F157" s="74"/>
      <c r="G157" s="74"/>
      <c r="H157" s="77" t="e">
        <f>#REF!</f>
        <v>#REF!</v>
      </c>
      <c r="K157" s="81"/>
      <c r="L157" s="81"/>
      <c r="M157" s="81"/>
      <c r="N157" s="81"/>
      <c r="O157" s="81"/>
      <c r="P157" s="81"/>
      <c r="S157" s="74"/>
      <c r="T157" s="74"/>
      <c r="U157" s="74"/>
      <c r="V157" s="118"/>
      <c r="W157" s="74"/>
      <c r="X157" s="74"/>
      <c r="Y157" s="74"/>
      <c r="Z157" s="74"/>
      <c r="AA157" s="74"/>
      <c r="AB157" s="103"/>
      <c r="AC157" s="103"/>
      <c r="AD157" s="103"/>
      <c r="AE157" s="103"/>
      <c r="AF157" s="103"/>
      <c r="AG157" s="103"/>
      <c r="AH157" s="103"/>
      <c r="AI157" s="103"/>
      <c r="AJ157" s="103"/>
      <c r="AK157" s="103"/>
      <c r="AL157" s="103"/>
      <c r="AM157" s="103"/>
      <c r="AN157" s="103"/>
      <c r="AO157" s="103"/>
      <c r="AP157" s="103"/>
      <c r="AQ157" s="103"/>
      <c r="AR157" s="74"/>
      <c r="AS157" s="74"/>
      <c r="AT157" s="74"/>
      <c r="AU157" s="74"/>
      <c r="AV157" s="74"/>
      <c r="AW157" s="74"/>
    </row>
    <row r="158" spans="1:49" s="76" customFormat="1" x14ac:dyDescent="0.2">
      <c r="A158" s="74"/>
      <c r="B158" s="74"/>
      <c r="C158" s="74"/>
      <c r="D158" s="74"/>
      <c r="E158" s="74"/>
      <c r="F158" s="74"/>
      <c r="G158" s="74"/>
      <c r="H158" s="77" t="e">
        <f>H157+H156</f>
        <v>#REF!</v>
      </c>
      <c r="I158" s="76" t="e">
        <f>H8-H158</f>
        <v>#REF!</v>
      </c>
      <c r="J158" s="170" t="e">
        <f>I158/H8*100</f>
        <v>#REF!</v>
      </c>
      <c r="K158" s="81">
        <v>41722</v>
      </c>
      <c r="L158" s="171" t="e">
        <f>K158/I158*100</f>
        <v>#REF!</v>
      </c>
      <c r="M158" s="171"/>
      <c r="N158" s="171"/>
      <c r="O158" s="171"/>
      <c r="P158" s="171"/>
      <c r="S158" s="74"/>
      <c r="T158" s="74"/>
      <c r="U158" s="74"/>
      <c r="V158" s="118"/>
      <c r="W158" s="74"/>
      <c r="X158" s="74"/>
      <c r="Y158" s="74"/>
      <c r="Z158" s="74"/>
      <c r="AA158" s="74"/>
      <c r="AB158" s="103"/>
      <c r="AC158" s="103"/>
      <c r="AD158" s="103"/>
      <c r="AE158" s="103"/>
      <c r="AF158" s="103"/>
      <c r="AG158" s="103"/>
      <c r="AH158" s="103"/>
      <c r="AI158" s="103"/>
      <c r="AJ158" s="103"/>
      <c r="AK158" s="103"/>
      <c r="AL158" s="103"/>
      <c r="AM158" s="103"/>
      <c r="AN158" s="103"/>
      <c r="AO158" s="103"/>
      <c r="AP158" s="103"/>
      <c r="AQ158" s="103"/>
      <c r="AR158" s="74"/>
      <c r="AS158" s="74"/>
      <c r="AT158" s="74"/>
      <c r="AU158" s="74"/>
      <c r="AV158" s="74"/>
      <c r="AW158" s="74"/>
    </row>
    <row r="160" spans="1:49" s="76" customFormat="1" x14ac:dyDescent="0.2">
      <c r="A160" s="74"/>
      <c r="B160" s="74"/>
      <c r="C160" s="74"/>
      <c r="D160" s="74"/>
      <c r="E160" s="74"/>
      <c r="F160" s="74"/>
      <c r="G160" s="74"/>
      <c r="H160" s="74"/>
      <c r="I160" s="76" t="e">
        <f>#REF!-H158</f>
        <v>#REF!</v>
      </c>
      <c r="K160" s="81"/>
      <c r="L160" s="81"/>
      <c r="M160" s="81"/>
      <c r="N160" s="81"/>
      <c r="O160" s="81"/>
      <c r="P160" s="81"/>
      <c r="S160" s="74"/>
      <c r="T160" s="74"/>
      <c r="U160" s="74"/>
      <c r="V160" s="118"/>
      <c r="W160" s="74"/>
      <c r="X160" s="74"/>
      <c r="Y160" s="74"/>
      <c r="Z160" s="74"/>
      <c r="AA160" s="74"/>
      <c r="AB160" s="103"/>
      <c r="AC160" s="103"/>
      <c r="AD160" s="103"/>
      <c r="AE160" s="103"/>
      <c r="AF160" s="103"/>
      <c r="AG160" s="103"/>
      <c r="AH160" s="103"/>
      <c r="AI160" s="103"/>
      <c r="AJ160" s="103"/>
      <c r="AK160" s="103"/>
      <c r="AL160" s="103"/>
      <c r="AM160" s="103"/>
      <c r="AN160" s="103"/>
      <c r="AO160" s="103"/>
      <c r="AP160" s="103"/>
      <c r="AQ160" s="103"/>
      <c r="AR160" s="74"/>
      <c r="AS160" s="74"/>
      <c r="AT160" s="74"/>
      <c r="AU160" s="74"/>
      <c r="AV160" s="74"/>
      <c r="AW160" s="74"/>
    </row>
  </sheetData>
  <mergeCells count="23">
    <mergeCell ref="A1:S1"/>
    <mergeCell ref="A2:S2"/>
    <mergeCell ref="A3:S3"/>
    <mergeCell ref="P4:S4"/>
    <mergeCell ref="A5:A7"/>
    <mergeCell ref="B5:B7"/>
    <mergeCell ref="C5:C7"/>
    <mergeCell ref="D5:D7"/>
    <mergeCell ref="E5:E7"/>
    <mergeCell ref="F5:G5"/>
    <mergeCell ref="A92:B92"/>
    <mergeCell ref="R5:R7"/>
    <mergeCell ref="S5:S7"/>
    <mergeCell ref="W5:W7"/>
    <mergeCell ref="Y5:Y7"/>
    <mergeCell ref="F6:F7"/>
    <mergeCell ref="G6:G7"/>
    <mergeCell ref="H5:H7"/>
    <mergeCell ref="I5:J6"/>
    <mergeCell ref="K5:L6"/>
    <mergeCell ref="M5:N6"/>
    <mergeCell ref="O5:P6"/>
    <mergeCell ref="Q5:Q7"/>
  </mergeCells>
  <printOptions horizontalCentered="1"/>
  <pageMargins left="0.19685039370078741" right="0.19685039370078741" top="0.59055118110236227" bottom="0.39370078740157483" header="0.31496062992125984" footer="0.31496062992125984"/>
  <pageSetup paperSize="9" scale="64" orientation="landscape" r:id="rId1"/>
  <headerFooter>
    <oddHeader>Page &amp;P</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X96"/>
  <sheetViews>
    <sheetView zoomScale="85" zoomScaleNormal="85" zoomScaleSheetLayoutView="130" workbookViewId="0">
      <pane ySplit="7" topLeftCell="A21" activePane="bottomLeft" state="frozen"/>
      <selection pane="bottomLeft" activeCell="S25" sqref="S25"/>
    </sheetView>
  </sheetViews>
  <sheetFormatPr defaultColWidth="9.33203125" defaultRowHeight="12.75" x14ac:dyDescent="0.2"/>
  <cols>
    <col min="1" max="1" width="5.33203125" style="74" customWidth="1"/>
    <col min="2" max="2" width="60" style="74" customWidth="1"/>
    <col min="3" max="3" width="9.33203125" style="74" customWidth="1"/>
    <col min="4" max="4" width="8.6640625" style="74" customWidth="1"/>
    <col min="5" max="5" width="7.83203125" style="74" customWidth="1"/>
    <col min="6" max="6" width="14.5" style="74" customWidth="1"/>
    <col min="7" max="7" width="12.5" style="74" customWidth="1"/>
    <col min="8" max="9" width="11.6640625" style="74" customWidth="1"/>
    <col min="10" max="10" width="13" style="76" customWidth="1"/>
    <col min="11" max="11" width="10.5" style="76" customWidth="1"/>
    <col min="12" max="12" width="11.83203125" style="81" customWidth="1"/>
    <col min="13" max="17" width="12" style="81" customWidth="1"/>
    <col min="18" max="18" width="10.6640625" style="76" customWidth="1"/>
    <col min="19" max="19" width="10" style="76" customWidth="1"/>
    <col min="20" max="22" width="6.1640625" style="74" customWidth="1"/>
    <col min="23" max="23" width="8.33203125" style="118" customWidth="1"/>
    <col min="24" max="24" width="17.33203125" style="74" customWidth="1"/>
    <col min="25" max="25" width="10.5" style="74" customWidth="1"/>
    <col min="26" max="26" width="23.5" style="74" customWidth="1"/>
    <col min="27" max="27" width="10.1640625" style="74" customWidth="1"/>
    <col min="28" max="28" width="11.5" style="74" customWidth="1"/>
    <col min="29" max="29" width="11.6640625" style="103" customWidth="1"/>
    <col min="30" max="31" width="9.33203125" style="103" customWidth="1"/>
    <col min="32" max="32" width="9.83203125" style="103" customWidth="1"/>
    <col min="33" max="33" width="9.33203125" style="103" customWidth="1"/>
    <col min="34" max="34" width="9.33203125" style="103"/>
    <col min="35" max="35" width="11.6640625" style="103" bestFit="1" customWidth="1"/>
    <col min="36" max="36" width="12.33203125" style="103" customWidth="1"/>
    <col min="37" max="37" width="11.1640625" style="103" bestFit="1" customWidth="1"/>
    <col min="38" max="44" width="9.33203125" style="103"/>
    <col min="45" max="16384" width="9.33203125" style="74"/>
  </cols>
  <sheetData>
    <row r="1" spans="1:44" ht="15.75" x14ac:dyDescent="0.2">
      <c r="A1" s="903" t="s">
        <v>572</v>
      </c>
      <c r="B1" s="903"/>
      <c r="C1" s="903"/>
      <c r="D1" s="903"/>
      <c r="E1" s="903"/>
      <c r="F1" s="903"/>
      <c r="G1" s="903"/>
      <c r="H1" s="903"/>
      <c r="I1" s="903"/>
      <c r="J1" s="903"/>
      <c r="K1" s="903"/>
      <c r="L1" s="903"/>
      <c r="M1" s="903"/>
      <c r="N1" s="903"/>
      <c r="O1" s="903"/>
      <c r="P1" s="903"/>
      <c r="Q1" s="903"/>
      <c r="R1" s="903"/>
      <c r="S1" s="903"/>
      <c r="T1" s="903"/>
      <c r="U1" s="117"/>
      <c r="V1" s="117"/>
      <c r="Z1" s="77"/>
    </row>
    <row r="2" spans="1:44" ht="18.600000000000001" customHeight="1" x14ac:dyDescent="0.2">
      <c r="A2" s="880" t="s">
        <v>651</v>
      </c>
      <c r="B2" s="880"/>
      <c r="C2" s="880"/>
      <c r="D2" s="880"/>
      <c r="E2" s="880"/>
      <c r="F2" s="880"/>
      <c r="G2" s="880"/>
      <c r="H2" s="880"/>
      <c r="I2" s="880"/>
      <c r="J2" s="880"/>
      <c r="K2" s="880"/>
      <c r="L2" s="880"/>
      <c r="M2" s="880"/>
      <c r="N2" s="880"/>
      <c r="O2" s="880"/>
      <c r="P2" s="880"/>
      <c r="Q2" s="880"/>
      <c r="R2" s="880"/>
      <c r="S2" s="880"/>
      <c r="T2" s="880"/>
      <c r="U2" s="172"/>
      <c r="V2" s="172"/>
    </row>
    <row r="3" spans="1:44" ht="17.25" customHeight="1" x14ac:dyDescent="0.2">
      <c r="A3" s="881" t="s">
        <v>575</v>
      </c>
      <c r="B3" s="881"/>
      <c r="C3" s="881"/>
      <c r="D3" s="881"/>
      <c r="E3" s="881"/>
      <c r="F3" s="881"/>
      <c r="G3" s="881"/>
      <c r="H3" s="881"/>
      <c r="I3" s="881"/>
      <c r="J3" s="881"/>
      <c r="K3" s="881"/>
      <c r="L3" s="881"/>
      <c r="M3" s="881"/>
      <c r="N3" s="881"/>
      <c r="O3" s="881"/>
      <c r="P3" s="881"/>
      <c r="Q3" s="881"/>
      <c r="R3" s="881"/>
      <c r="S3" s="881"/>
      <c r="T3" s="881"/>
      <c r="U3" s="173"/>
      <c r="V3" s="173"/>
      <c r="W3" s="119"/>
    </row>
    <row r="4" spans="1:44" ht="21.75" customHeight="1" thickBot="1" x14ac:dyDescent="0.25">
      <c r="A4" s="78"/>
      <c r="B4" s="78"/>
      <c r="C4" s="78"/>
      <c r="D4" s="78"/>
      <c r="E4" s="78"/>
      <c r="F4" s="78"/>
      <c r="G4" s="78"/>
      <c r="H4" s="78"/>
      <c r="I4" s="78"/>
      <c r="J4" s="80"/>
      <c r="K4" s="100"/>
      <c r="L4" s="382"/>
      <c r="M4" s="382"/>
      <c r="N4" s="382"/>
      <c r="O4" s="382"/>
      <c r="P4" s="382"/>
      <c r="Q4" s="890" t="s">
        <v>109</v>
      </c>
      <c r="R4" s="890"/>
      <c r="S4" s="890"/>
      <c r="T4" s="890"/>
      <c r="U4" s="120"/>
      <c r="V4" s="120"/>
      <c r="W4" s="119"/>
    </row>
    <row r="5" spans="1:44" ht="30.75" customHeight="1" x14ac:dyDescent="0.2">
      <c r="A5" s="875" t="s">
        <v>84</v>
      </c>
      <c r="B5" s="877" t="s">
        <v>85</v>
      </c>
      <c r="C5" s="891" t="s">
        <v>133</v>
      </c>
      <c r="D5" s="891" t="s">
        <v>134</v>
      </c>
      <c r="E5" s="891" t="s">
        <v>135</v>
      </c>
      <c r="F5" s="877" t="s">
        <v>86</v>
      </c>
      <c r="G5" s="877"/>
      <c r="H5" s="897" t="s">
        <v>414</v>
      </c>
      <c r="I5" s="897" t="s">
        <v>580</v>
      </c>
      <c r="J5" s="882" t="s">
        <v>107</v>
      </c>
      <c r="K5" s="882"/>
      <c r="L5" s="884" t="s">
        <v>654</v>
      </c>
      <c r="M5" s="886"/>
      <c r="N5" s="882" t="s">
        <v>577</v>
      </c>
      <c r="O5" s="882"/>
      <c r="P5" s="884" t="s">
        <v>578</v>
      </c>
      <c r="Q5" s="885"/>
      <c r="R5" s="882" t="s">
        <v>117</v>
      </c>
      <c r="S5" s="882" t="s">
        <v>579</v>
      </c>
      <c r="T5" s="873" t="s">
        <v>88</v>
      </c>
      <c r="U5" s="121"/>
      <c r="V5" s="121"/>
      <c r="X5" s="898" t="s">
        <v>267</v>
      </c>
      <c r="Y5" s="122">
        <f>92/173%</f>
        <v>53.179190751445084</v>
      </c>
      <c r="Z5" s="899" t="s">
        <v>106</v>
      </c>
    </row>
    <row r="6" spans="1:44" ht="18.75" customHeight="1" x14ac:dyDescent="0.2">
      <c r="A6" s="876"/>
      <c r="B6" s="878"/>
      <c r="C6" s="892"/>
      <c r="D6" s="892"/>
      <c r="E6" s="892"/>
      <c r="F6" s="878" t="s">
        <v>89</v>
      </c>
      <c r="G6" s="878" t="s">
        <v>90</v>
      </c>
      <c r="H6" s="893"/>
      <c r="I6" s="893"/>
      <c r="J6" s="883"/>
      <c r="K6" s="883"/>
      <c r="L6" s="887"/>
      <c r="M6" s="889"/>
      <c r="N6" s="883"/>
      <c r="O6" s="883"/>
      <c r="P6" s="887"/>
      <c r="Q6" s="888"/>
      <c r="R6" s="883"/>
      <c r="S6" s="883"/>
      <c r="T6" s="874"/>
      <c r="U6" s="121"/>
      <c r="V6" s="121"/>
      <c r="X6" s="898"/>
      <c r="Z6" s="899"/>
    </row>
    <row r="7" spans="1:44" ht="77.25" customHeight="1" x14ac:dyDescent="0.2">
      <c r="A7" s="876"/>
      <c r="B7" s="878"/>
      <c r="C7" s="892"/>
      <c r="D7" s="892"/>
      <c r="E7" s="892"/>
      <c r="F7" s="878"/>
      <c r="G7" s="878"/>
      <c r="H7" s="894"/>
      <c r="I7" s="894"/>
      <c r="J7" s="291" t="s">
        <v>108</v>
      </c>
      <c r="K7" s="177" t="s">
        <v>415</v>
      </c>
      <c r="L7" s="177" t="s">
        <v>23</v>
      </c>
      <c r="M7" s="177" t="s">
        <v>132</v>
      </c>
      <c r="N7" s="177" t="s">
        <v>23</v>
      </c>
      <c r="O7" s="177" t="s">
        <v>132</v>
      </c>
      <c r="P7" s="177" t="s">
        <v>23</v>
      </c>
      <c r="Q7" s="177" t="s">
        <v>132</v>
      </c>
      <c r="R7" s="883"/>
      <c r="S7" s="883"/>
      <c r="T7" s="874"/>
      <c r="U7" s="121"/>
      <c r="V7" s="121"/>
      <c r="W7" s="123">
        <f>H8+1813</f>
        <v>161636</v>
      </c>
      <c r="X7" s="898"/>
      <c r="Z7" s="899"/>
    </row>
    <row r="8" spans="1:44" ht="16.899999999999999" customHeight="1" x14ac:dyDescent="0.2">
      <c r="A8" s="178"/>
      <c r="B8" s="179" t="s">
        <v>23</v>
      </c>
      <c r="C8" s="179"/>
      <c r="D8" s="179"/>
      <c r="E8" s="179"/>
      <c r="F8" s="180"/>
      <c r="G8" s="181">
        <f>G14</f>
        <v>669000</v>
      </c>
      <c r="H8" s="181">
        <f t="shared" ref="H8:S8" si="0">H14</f>
        <v>159823</v>
      </c>
      <c r="I8" s="181">
        <f t="shared" si="0"/>
        <v>159823</v>
      </c>
      <c r="J8" s="181">
        <f t="shared" si="0"/>
        <v>287689</v>
      </c>
      <c r="K8" s="181">
        <f t="shared" si="0"/>
        <v>41322</v>
      </c>
      <c r="L8" s="181">
        <f t="shared" si="0"/>
        <v>21242.225000000002</v>
      </c>
      <c r="M8" s="181">
        <f t="shared" si="0"/>
        <v>21242.225000000002</v>
      </c>
      <c r="N8" s="181">
        <f t="shared" si="0"/>
        <v>0</v>
      </c>
      <c r="O8" s="181">
        <f t="shared" si="0"/>
        <v>0</v>
      </c>
      <c r="P8" s="181">
        <f t="shared" si="0"/>
        <v>159823</v>
      </c>
      <c r="Q8" s="181">
        <f t="shared" si="0"/>
        <v>159823</v>
      </c>
      <c r="R8" s="292">
        <f>L8/H8%</f>
        <v>13.291093897624249</v>
      </c>
      <c r="S8" s="181">
        <f t="shared" si="0"/>
        <v>136465</v>
      </c>
      <c r="T8" s="182">
        <f>SUM(T9:T13)</f>
        <v>5</v>
      </c>
      <c r="U8" s="124"/>
      <c r="V8" s="124"/>
      <c r="Y8" s="125">
        <f>R8-31.84</f>
        <v>-18.548906102375753</v>
      </c>
      <c r="AA8" s="77">
        <f>H8+66627</f>
        <v>226450</v>
      </c>
      <c r="AB8" s="126">
        <f>800+45808+43818</f>
        <v>90426</v>
      </c>
    </row>
    <row r="9" spans="1:44" s="79" customFormat="1" ht="18" hidden="1" customHeight="1" x14ac:dyDescent="0.2">
      <c r="A9" s="183">
        <v>1</v>
      </c>
      <c r="B9" s="184" t="s">
        <v>127</v>
      </c>
      <c r="C9" s="184"/>
      <c r="D9" s="184"/>
      <c r="E9" s="184"/>
      <c r="F9" s="184"/>
      <c r="G9" s="185">
        <f>SUMIF($W$14:$W$23,W9,$G$14:$G$25)</f>
        <v>0</v>
      </c>
      <c r="H9" s="185">
        <f>SUMIF($W$14:$W$23,W9,$H$14:$H$25)</f>
        <v>0</v>
      </c>
      <c r="I9" s="185">
        <f>SUMIF($W$14:$W$25,W9,$I$14:$I$25)</f>
        <v>0</v>
      </c>
      <c r="J9" s="230">
        <f>SUMIF($W$14:$W$23,W9,$J$14:$J$25)</f>
        <v>0</v>
      </c>
      <c r="K9" s="185">
        <f>SUMIF($W$14:$W$25,W9,$K$14:$K$25)</f>
        <v>0</v>
      </c>
      <c r="L9" s="185">
        <f>SUMIF($W$14:$W$25,W9,$L$14:$L$25)</f>
        <v>0</v>
      </c>
      <c r="M9" s="185">
        <f>SUMIF($W$14:$W$25,W9,$M$14:$M$25)</f>
        <v>0</v>
      </c>
      <c r="N9" s="185">
        <f>SUMIF($W$14:$W$25,W9,$N$14:$N$25)</f>
        <v>0</v>
      </c>
      <c r="O9" s="185">
        <f>SUMIF($W$14:$W$25,W9,$O$14:$O$25)</f>
        <v>0</v>
      </c>
      <c r="P9" s="185">
        <f>SUMIF($W$14:$W$25,W9,$P$14:$P$25)</f>
        <v>0</v>
      </c>
      <c r="Q9" s="185">
        <f>SUMIF($W$14:$W$25,W9,$Q$14:$Q$25)</f>
        <v>0</v>
      </c>
      <c r="R9" s="186"/>
      <c r="S9" s="185">
        <f>SUMIF($W$14:$W$25,W9,$S$14:$S$25)</f>
        <v>0</v>
      </c>
      <c r="T9" s="187">
        <f>COUNTIF($W$14:$W$23,W9)</f>
        <v>0</v>
      </c>
      <c r="U9" s="127"/>
      <c r="V9" s="127"/>
      <c r="W9" s="118" t="s">
        <v>124</v>
      </c>
      <c r="AB9" s="128">
        <v>66627</v>
      </c>
      <c r="AC9" s="103"/>
      <c r="AD9" s="103"/>
      <c r="AE9" s="103"/>
      <c r="AF9" s="103"/>
      <c r="AG9" s="103"/>
      <c r="AH9" s="103"/>
      <c r="AI9" s="103"/>
      <c r="AJ9" s="103"/>
      <c r="AK9" s="103"/>
      <c r="AL9" s="103"/>
      <c r="AM9" s="103"/>
      <c r="AN9" s="103"/>
      <c r="AO9" s="103"/>
      <c r="AP9" s="103"/>
      <c r="AQ9" s="103"/>
      <c r="AR9" s="103"/>
    </row>
    <row r="10" spans="1:44" s="79" customFormat="1" ht="18" hidden="1" customHeight="1" x14ac:dyDescent="0.2">
      <c r="A10" s="183">
        <v>2</v>
      </c>
      <c r="B10" s="184" t="s">
        <v>128</v>
      </c>
      <c r="C10" s="184"/>
      <c r="D10" s="184"/>
      <c r="E10" s="184"/>
      <c r="F10" s="184"/>
      <c r="G10" s="185">
        <f>SUMIF($W$14:$W$23,W10,$G$14:$G$23)</f>
        <v>0</v>
      </c>
      <c r="H10" s="185">
        <f>SUMIF($W$14:$W$23,W10,$H$14:$H$25)</f>
        <v>0</v>
      </c>
      <c r="I10" s="185">
        <f>SUMIF($W$14:$W$25,W10,$I$14:$I$25)</f>
        <v>0</v>
      </c>
      <c r="J10" s="230">
        <f t="shared" ref="J10:J13" si="1">SUMIF($W$14:$W$23,W10,$J$14:$J$25)</f>
        <v>0</v>
      </c>
      <c r="K10" s="185">
        <f>SUMIF($W$14:$W$23,W10,$K$14:$K$23)</f>
        <v>0</v>
      </c>
      <c r="L10" s="185">
        <f>SUMIF($W$14:$W$25,W10,$L$14:$L$25)</f>
        <v>0</v>
      </c>
      <c r="M10" s="185">
        <f>SUMIF($W$14:$W$25,W10,$M$14:$M$25)</f>
        <v>0</v>
      </c>
      <c r="N10" s="185">
        <f t="shared" ref="N10:N13" si="2">SUMIF($W$14:$W$25,W10,$N$14:$N$25)</f>
        <v>0</v>
      </c>
      <c r="O10" s="185">
        <f t="shared" ref="O10:O13" si="3">SUMIF($W$14:$W$25,W10,$O$14:$O$25)</f>
        <v>0</v>
      </c>
      <c r="P10" s="185">
        <f t="shared" ref="P10:P13" si="4">SUMIF($W$14:$W$25,W10,$P$14:$P$25)</f>
        <v>0</v>
      </c>
      <c r="Q10" s="185">
        <f t="shared" ref="Q10:Q13" si="5">SUMIF($W$14:$W$25,W10,$Q$14:$Q$25)</f>
        <v>0</v>
      </c>
      <c r="R10" s="186"/>
      <c r="S10" s="185">
        <f t="shared" ref="S10:S13" si="6">SUMIF($W$14:$W$25,W10,$S$14:$S$25)</f>
        <v>0</v>
      </c>
      <c r="T10" s="187">
        <f>COUNTIF($W$14:$W$23,W10)</f>
        <v>0</v>
      </c>
      <c r="U10" s="127"/>
      <c r="V10" s="127"/>
      <c r="W10" s="118" t="s">
        <v>125</v>
      </c>
      <c r="AB10" s="128">
        <f>AB8+AB9</f>
        <v>157053</v>
      </c>
      <c r="AC10" s="103"/>
      <c r="AD10" s="103"/>
      <c r="AE10" s="103"/>
      <c r="AF10" s="103"/>
      <c r="AG10" s="103"/>
      <c r="AH10" s="103"/>
      <c r="AI10" s="103"/>
      <c r="AJ10" s="103"/>
      <c r="AK10" s="103"/>
      <c r="AL10" s="103"/>
      <c r="AM10" s="103"/>
      <c r="AN10" s="103"/>
      <c r="AO10" s="103"/>
      <c r="AP10" s="103"/>
      <c r="AQ10" s="103"/>
      <c r="AR10" s="103"/>
    </row>
    <row r="11" spans="1:44" s="79" customFormat="1" ht="18" hidden="1" customHeight="1" x14ac:dyDescent="0.2">
      <c r="A11" s="183">
        <v>3</v>
      </c>
      <c r="B11" s="184" t="s">
        <v>129</v>
      </c>
      <c r="C11" s="184"/>
      <c r="D11" s="293"/>
      <c r="E11" s="184"/>
      <c r="F11" s="184"/>
      <c r="G11" s="185">
        <f>SUMIF($W$14:$W$23,W11,$G$14:$G$25)</f>
        <v>0</v>
      </c>
      <c r="H11" s="185">
        <f>SUMIF($W$14:$W$23,W11,$H$14:$H$25)</f>
        <v>0</v>
      </c>
      <c r="I11" s="185">
        <f>SUMIF($W$14:$W$25,W11,$I$14:$I$25)</f>
        <v>0</v>
      </c>
      <c r="J11" s="230">
        <f t="shared" si="1"/>
        <v>0</v>
      </c>
      <c r="K11" s="185">
        <f>SUMIF($W$14:$W$25,W11,$K$14:$K$25)</f>
        <v>0</v>
      </c>
      <c r="L11" s="185">
        <f>SUMIF($W$14:$W$25,W11,$L$14:$L$25)</f>
        <v>0</v>
      </c>
      <c r="M11" s="185">
        <f>SUMIF($W$14:$W$23,W11,$M$14:$M$23)</f>
        <v>0</v>
      </c>
      <c r="N11" s="185">
        <f t="shared" si="2"/>
        <v>0</v>
      </c>
      <c r="O11" s="185">
        <f t="shared" si="3"/>
        <v>0</v>
      </c>
      <c r="P11" s="185">
        <f t="shared" si="4"/>
        <v>0</v>
      </c>
      <c r="Q11" s="185">
        <f t="shared" si="5"/>
        <v>0</v>
      </c>
      <c r="R11" s="185"/>
      <c r="S11" s="185">
        <f t="shared" si="6"/>
        <v>0</v>
      </c>
      <c r="T11" s="187">
        <f>COUNTIF($W$14:$W$23,W11)</f>
        <v>0</v>
      </c>
      <c r="U11" s="127"/>
      <c r="V11" s="127"/>
      <c r="W11" s="118" t="s">
        <v>126</v>
      </c>
      <c r="AC11" s="103"/>
      <c r="AD11" s="103"/>
      <c r="AE11" s="103"/>
      <c r="AF11" s="103"/>
      <c r="AG11" s="103"/>
      <c r="AH11" s="103"/>
      <c r="AI11" s="103"/>
      <c r="AJ11" s="103"/>
      <c r="AK11" s="103"/>
      <c r="AL11" s="103"/>
      <c r="AM11" s="103"/>
      <c r="AN11" s="103"/>
      <c r="AO11" s="103"/>
      <c r="AP11" s="103"/>
      <c r="AQ11" s="103"/>
      <c r="AR11" s="103"/>
    </row>
    <row r="12" spans="1:44" s="79" customFormat="1" ht="18" hidden="1" customHeight="1" x14ac:dyDescent="0.2">
      <c r="A12" s="183">
        <v>4</v>
      </c>
      <c r="B12" s="184" t="s">
        <v>130</v>
      </c>
      <c r="C12" s="184"/>
      <c r="D12" s="184"/>
      <c r="E12" s="184"/>
      <c r="F12" s="184"/>
      <c r="G12" s="185">
        <f>SUMIF($W$14:$W$23,W12,$G$14:$G$25)</f>
        <v>519000</v>
      </c>
      <c r="H12" s="185">
        <f ca="1">SUMIF($W$14:$W$25,W12,$H$14:$H$23)</f>
        <v>159823</v>
      </c>
      <c r="I12" s="185">
        <f>SUMIF($W$14:$W$23,W12,$I$14:$I$25)</f>
        <v>159823</v>
      </c>
      <c r="J12" s="230">
        <f t="shared" si="1"/>
        <v>287689</v>
      </c>
      <c r="K12" s="185">
        <f t="shared" ref="K12:K13" si="7">SUMIF($W$14:$W$23,W12,$K$14:$K$23)</f>
        <v>41322</v>
      </c>
      <c r="L12" s="185">
        <f>SUMIF($W$14:$W$25,W12,$L$14:$L$25)</f>
        <v>21242.224999999999</v>
      </c>
      <c r="M12" s="185">
        <f>SUMIF($W$14:$W$25,W12,$M$14:$M$25)</f>
        <v>21242.224999999999</v>
      </c>
      <c r="N12" s="185">
        <f t="shared" si="2"/>
        <v>0</v>
      </c>
      <c r="O12" s="185">
        <f t="shared" si="3"/>
        <v>0</v>
      </c>
      <c r="P12" s="185">
        <f t="shared" si="4"/>
        <v>159823</v>
      </c>
      <c r="Q12" s="185">
        <f t="shared" si="5"/>
        <v>159823</v>
      </c>
      <c r="R12" s="186">
        <f ca="1">L12/H12%</f>
        <v>13.291093897624245</v>
      </c>
      <c r="S12" s="185">
        <f t="shared" si="6"/>
        <v>61465</v>
      </c>
      <c r="T12" s="187">
        <f>COUNTIF($W$14:$W$23,W12)</f>
        <v>4</v>
      </c>
      <c r="U12" s="127"/>
      <c r="V12" s="127"/>
      <c r="W12" s="118" t="s">
        <v>122</v>
      </c>
      <c r="AC12" s="103"/>
      <c r="AD12" s="103"/>
      <c r="AE12" s="103"/>
      <c r="AF12" s="103"/>
      <c r="AG12" s="103"/>
      <c r="AH12" s="103"/>
      <c r="AI12" s="103"/>
      <c r="AJ12" s="103"/>
      <c r="AK12" s="103"/>
      <c r="AL12" s="103"/>
      <c r="AM12" s="103"/>
      <c r="AN12" s="103"/>
      <c r="AO12" s="103"/>
      <c r="AP12" s="103"/>
      <c r="AQ12" s="103"/>
      <c r="AR12" s="103"/>
    </row>
    <row r="13" spans="1:44" s="79" customFormat="1" ht="18" hidden="1" customHeight="1" x14ac:dyDescent="0.2">
      <c r="A13" s="183">
        <v>5</v>
      </c>
      <c r="B13" s="184" t="s">
        <v>131</v>
      </c>
      <c r="C13" s="184"/>
      <c r="D13" s="184"/>
      <c r="E13" s="184"/>
      <c r="F13" s="184"/>
      <c r="G13" s="185">
        <f>SUMIF($W$14:$W$25,W13,$G$14:$G$25)</f>
        <v>150000</v>
      </c>
      <c r="H13" s="185">
        <f>SUMIF($W$14:$W$25,X13,$H$14:$H$25)</f>
        <v>0</v>
      </c>
      <c r="I13" s="185">
        <f>SUMIF($W$14:$W$25,W13,$I$14:$I$25)</f>
        <v>0</v>
      </c>
      <c r="J13" s="230">
        <f t="shared" si="1"/>
        <v>0</v>
      </c>
      <c r="K13" s="185">
        <f t="shared" si="7"/>
        <v>0</v>
      </c>
      <c r="L13" s="185">
        <f>SUMIF($W$14:$W$25,W13,$L$14:$L$25)</f>
        <v>0</v>
      </c>
      <c r="M13" s="185">
        <f>SUMIF($W$14:$W$25,W13,$M$14:$M$25)</f>
        <v>0</v>
      </c>
      <c r="N13" s="185">
        <f t="shared" si="2"/>
        <v>0</v>
      </c>
      <c r="O13" s="185">
        <f t="shared" si="3"/>
        <v>0</v>
      </c>
      <c r="P13" s="185">
        <f t="shared" si="4"/>
        <v>0</v>
      </c>
      <c r="Q13" s="185">
        <f t="shared" si="5"/>
        <v>0</v>
      </c>
      <c r="R13" s="185"/>
      <c r="S13" s="185">
        <f t="shared" si="6"/>
        <v>75000</v>
      </c>
      <c r="T13" s="187">
        <f>COUNTIF($W$14:$W$25,W13)</f>
        <v>1</v>
      </c>
      <c r="U13" s="127"/>
      <c r="V13" s="127"/>
      <c r="W13" s="118" t="s">
        <v>123</v>
      </c>
      <c r="AC13" s="103"/>
      <c r="AD13" s="103"/>
      <c r="AE13" s="103"/>
      <c r="AF13" s="103"/>
      <c r="AG13" s="103"/>
      <c r="AH13" s="103"/>
      <c r="AI13" s="103"/>
      <c r="AJ13" s="103"/>
      <c r="AK13" s="103"/>
      <c r="AL13" s="103"/>
      <c r="AM13" s="103"/>
      <c r="AN13" s="103"/>
      <c r="AO13" s="103"/>
      <c r="AP13" s="103"/>
      <c r="AQ13" s="103"/>
      <c r="AR13" s="103"/>
    </row>
    <row r="14" spans="1:44" ht="17.45" hidden="1" customHeight="1" x14ac:dyDescent="0.2">
      <c r="A14" s="294"/>
      <c r="B14" s="295"/>
      <c r="C14" s="295"/>
      <c r="D14" s="295"/>
      <c r="E14" s="295"/>
      <c r="F14" s="296"/>
      <c r="G14" s="297">
        <f>G15</f>
        <v>669000</v>
      </c>
      <c r="H14" s="297">
        <f t="shared" ref="H14:S14" si="8">H15</f>
        <v>159823</v>
      </c>
      <c r="I14" s="297">
        <f t="shared" si="8"/>
        <v>159823</v>
      </c>
      <c r="J14" s="297">
        <f t="shared" si="8"/>
        <v>287689</v>
      </c>
      <c r="K14" s="297">
        <f t="shared" si="8"/>
        <v>41322</v>
      </c>
      <c r="L14" s="297">
        <f t="shared" si="8"/>
        <v>21242.225000000002</v>
      </c>
      <c r="M14" s="297">
        <f t="shared" si="8"/>
        <v>21242.225000000002</v>
      </c>
      <c r="N14" s="297">
        <f t="shared" si="8"/>
        <v>0</v>
      </c>
      <c r="O14" s="297">
        <f t="shared" si="8"/>
        <v>0</v>
      </c>
      <c r="P14" s="297">
        <f t="shared" si="8"/>
        <v>159823</v>
      </c>
      <c r="Q14" s="297">
        <f t="shared" si="8"/>
        <v>159823</v>
      </c>
      <c r="R14" s="298">
        <f>L14/H14*100</f>
        <v>13.291093897624249</v>
      </c>
      <c r="S14" s="297">
        <f t="shared" si="8"/>
        <v>136465</v>
      </c>
      <c r="T14" s="299"/>
      <c r="U14" s="83"/>
      <c r="V14" s="83"/>
    </row>
    <row r="15" spans="1:44" ht="17.45" customHeight="1" x14ac:dyDescent="0.2">
      <c r="A15" s="300" t="str">
        <f>'Bieu CKGN (ko in)'!A9</f>
        <v>I</v>
      </c>
      <c r="B15" s="301" t="str">
        <f>'Bieu CKGN (ko in)'!B9</f>
        <v>Nguồn vốn NSTW</v>
      </c>
      <c r="C15" s="301"/>
      <c r="D15" s="301"/>
      <c r="E15" s="301"/>
      <c r="F15" s="302"/>
      <c r="G15" s="303">
        <f>G16+G17+G18+G21+G24</f>
        <v>669000</v>
      </c>
      <c r="H15" s="303">
        <f t="shared" ref="H15:S15" si="9">H16+H17+H18+H21+H24</f>
        <v>159823</v>
      </c>
      <c r="I15" s="303">
        <f t="shared" si="9"/>
        <v>159823</v>
      </c>
      <c r="J15" s="303">
        <f t="shared" si="9"/>
        <v>287689</v>
      </c>
      <c r="K15" s="303">
        <f t="shared" si="9"/>
        <v>41322</v>
      </c>
      <c r="L15" s="303">
        <f t="shared" si="9"/>
        <v>21242.225000000002</v>
      </c>
      <c r="M15" s="303">
        <f t="shared" si="9"/>
        <v>21242.225000000002</v>
      </c>
      <c r="N15" s="303">
        <f t="shared" si="9"/>
        <v>0</v>
      </c>
      <c r="O15" s="303">
        <f t="shared" si="9"/>
        <v>0</v>
      </c>
      <c r="P15" s="303">
        <f t="shared" si="9"/>
        <v>159823</v>
      </c>
      <c r="Q15" s="303">
        <f t="shared" si="9"/>
        <v>159823</v>
      </c>
      <c r="R15" s="304">
        <f>L15/H15*100</f>
        <v>13.291093897624249</v>
      </c>
      <c r="S15" s="303">
        <f t="shared" si="9"/>
        <v>136465</v>
      </c>
      <c r="T15" s="305"/>
      <c r="U15" s="83"/>
      <c r="V15" s="83"/>
    </row>
    <row r="16" spans="1:44" s="82" customFormat="1" ht="34.5" customHeight="1" x14ac:dyDescent="0.2">
      <c r="A16" s="306" t="s">
        <v>28</v>
      </c>
      <c r="B16" s="307" t="s">
        <v>29</v>
      </c>
      <c r="C16" s="307"/>
      <c r="D16" s="307"/>
      <c r="E16" s="307"/>
      <c r="F16" s="260"/>
      <c r="G16" s="308"/>
      <c r="H16" s="308"/>
      <c r="I16" s="308"/>
      <c r="J16" s="309"/>
      <c r="K16" s="309"/>
      <c r="L16" s="309"/>
      <c r="M16" s="309"/>
      <c r="N16" s="309"/>
      <c r="O16" s="309"/>
      <c r="P16" s="309"/>
      <c r="Q16" s="309"/>
      <c r="R16" s="309"/>
      <c r="S16" s="378"/>
      <c r="T16" s="310"/>
      <c r="U16" s="129"/>
      <c r="V16" s="129"/>
      <c r="W16" s="119"/>
      <c r="AC16" s="112"/>
      <c r="AD16" s="112"/>
      <c r="AE16" s="112"/>
      <c r="AF16" s="112"/>
      <c r="AG16" s="112"/>
      <c r="AH16" s="112"/>
      <c r="AI16" s="112"/>
      <c r="AJ16" s="112"/>
      <c r="AK16" s="112"/>
      <c r="AL16" s="112"/>
      <c r="AM16" s="112"/>
      <c r="AN16" s="112"/>
      <c r="AO16" s="112"/>
      <c r="AP16" s="112"/>
      <c r="AQ16" s="112"/>
      <c r="AR16" s="112"/>
    </row>
    <row r="17" spans="1:44" s="82" customFormat="1" ht="17.45" customHeight="1" x14ac:dyDescent="0.2">
      <c r="A17" s="306" t="s">
        <v>30</v>
      </c>
      <c r="B17" s="307" t="s">
        <v>31</v>
      </c>
      <c r="C17" s="307"/>
      <c r="D17" s="307"/>
      <c r="E17" s="307"/>
      <c r="F17" s="260"/>
      <c r="G17" s="308"/>
      <c r="H17" s="308"/>
      <c r="I17" s="308"/>
      <c r="J17" s="309"/>
      <c r="K17" s="309"/>
      <c r="L17" s="309"/>
      <c r="M17" s="309"/>
      <c r="N17" s="309"/>
      <c r="O17" s="309"/>
      <c r="P17" s="309"/>
      <c r="Q17" s="309"/>
      <c r="R17" s="309"/>
      <c r="S17" s="378"/>
      <c r="T17" s="310"/>
      <c r="U17" s="129"/>
      <c r="V17" s="129"/>
      <c r="W17" s="119"/>
      <c r="Y17" s="130" t="e">
        <f>#REF!+#REF!</f>
        <v>#REF!</v>
      </c>
      <c r="AA17" s="130" t="e">
        <f>#REF!+#REF!</f>
        <v>#REF!</v>
      </c>
      <c r="AB17" s="131" t="e">
        <f>AA17/Y17*100</f>
        <v>#REF!</v>
      </c>
      <c r="AC17" s="112"/>
      <c r="AD17" s="112"/>
      <c r="AE17" s="112"/>
      <c r="AF17" s="112"/>
      <c r="AG17" s="112"/>
      <c r="AH17" s="112"/>
      <c r="AI17" s="112"/>
      <c r="AJ17" s="112"/>
      <c r="AK17" s="112"/>
      <c r="AL17" s="112"/>
      <c r="AM17" s="112"/>
      <c r="AN17" s="112"/>
      <c r="AO17" s="112"/>
      <c r="AP17" s="112"/>
      <c r="AQ17" s="112"/>
      <c r="AR17" s="112"/>
    </row>
    <row r="18" spans="1:44" s="85" customFormat="1" ht="34.5" customHeight="1" x14ac:dyDescent="0.2">
      <c r="A18" s="306" t="s">
        <v>32</v>
      </c>
      <c r="B18" s="307" t="s">
        <v>416</v>
      </c>
      <c r="C18" s="307"/>
      <c r="D18" s="307"/>
      <c r="E18" s="307"/>
      <c r="F18" s="204"/>
      <c r="G18" s="311">
        <f>SUM(G19:G20)</f>
        <v>244000</v>
      </c>
      <c r="H18" s="311">
        <f t="shared" ref="H18:S18" si="10">SUM(H19:H20)</f>
        <v>77923</v>
      </c>
      <c r="I18" s="311">
        <f t="shared" si="10"/>
        <v>77923</v>
      </c>
      <c r="J18" s="311">
        <f t="shared" si="10"/>
        <v>165010</v>
      </c>
      <c r="K18" s="311">
        <f t="shared" si="10"/>
        <v>19422</v>
      </c>
      <c r="L18" s="311">
        <f t="shared" si="10"/>
        <v>1012.899</v>
      </c>
      <c r="M18" s="311">
        <f t="shared" si="10"/>
        <v>1012.899</v>
      </c>
      <c r="N18" s="311">
        <f t="shared" si="10"/>
        <v>0</v>
      </c>
      <c r="O18" s="311">
        <f t="shared" si="10"/>
        <v>0</v>
      </c>
      <c r="P18" s="311">
        <f t="shared" si="10"/>
        <v>77923</v>
      </c>
      <c r="Q18" s="311">
        <f t="shared" si="10"/>
        <v>77923</v>
      </c>
      <c r="R18" s="312"/>
      <c r="S18" s="311">
        <f t="shared" si="10"/>
        <v>0</v>
      </c>
      <c r="T18" s="313"/>
      <c r="U18" s="132"/>
      <c r="V18" s="132"/>
      <c r="W18" s="119"/>
      <c r="AC18" s="113"/>
      <c r="AD18" s="113"/>
      <c r="AE18" s="113"/>
      <c r="AF18" s="113"/>
      <c r="AG18" s="113"/>
      <c r="AH18" s="113"/>
      <c r="AI18" s="377" t="s">
        <v>411</v>
      </c>
      <c r="AJ18" s="113"/>
      <c r="AK18" s="113" t="s">
        <v>412</v>
      </c>
      <c r="AL18" s="113"/>
      <c r="AM18" s="113" t="s">
        <v>413</v>
      </c>
      <c r="AN18" s="113"/>
      <c r="AO18" s="113"/>
      <c r="AP18" s="113"/>
      <c r="AQ18" s="895" t="s">
        <v>574</v>
      </c>
      <c r="AR18" s="895"/>
    </row>
    <row r="19" spans="1:44" ht="45" x14ac:dyDescent="0.2">
      <c r="A19" s="208">
        <f>'Bieu CKGN (ko in)'!A13</f>
        <v>1</v>
      </c>
      <c r="B19" s="242" t="str">
        <f>'Bieu CKGN (ko in)'!B13</f>
        <v>Sắp xếp ổn định các điểm dân cư: Mò Lò, Sa Thàng xã Mù Cả, điểm Nậm Kha Á, Pà Khà, U Na1-2, Tia Ma Mủ, Pa Tết xã Tà Tổng, huyện Mường Tè;</v>
      </c>
      <c r="C19" s="218" t="s">
        <v>137</v>
      </c>
      <c r="D19" s="242"/>
      <c r="E19" s="219" t="s">
        <v>158</v>
      </c>
      <c r="F19" s="219" t="str">
        <f>'Bieu CKGN (ko in)'!C13</f>
        <v>1734-04/12/2020</v>
      </c>
      <c r="G19" s="314">
        <f>'Bieu CKGN (ko in)'!D13</f>
        <v>164000</v>
      </c>
      <c r="H19" s="314">
        <v>52298</v>
      </c>
      <c r="I19" s="314">
        <v>52298</v>
      </c>
      <c r="J19" s="230">
        <f>113000+K19</f>
        <v>122900</v>
      </c>
      <c r="K19" s="230">
        <v>9900</v>
      </c>
      <c r="L19" s="230"/>
      <c r="M19" s="230"/>
      <c r="N19" s="230"/>
      <c r="O19" s="230"/>
      <c r="P19" s="230">
        <v>52298</v>
      </c>
      <c r="Q19" s="230">
        <v>52298</v>
      </c>
      <c r="R19" s="225"/>
      <c r="S19" s="379"/>
      <c r="T19" s="315"/>
      <c r="U19" s="83"/>
      <c r="V19" s="83"/>
      <c r="W19" s="118" t="s">
        <v>122</v>
      </c>
      <c r="X19" s="133" t="s">
        <v>268</v>
      </c>
      <c r="Y19" s="134"/>
      <c r="AA19" s="74">
        <v>27097</v>
      </c>
      <c r="AB19" s="135">
        <f>AA19-K19</f>
        <v>17197</v>
      </c>
      <c r="AC19" s="365">
        <f>M19-8654</f>
        <v>-8654</v>
      </c>
      <c r="AI19" s="365">
        <f>H19-L19</f>
        <v>52298</v>
      </c>
      <c r="AJ19" s="365">
        <f>J19-M19</f>
        <v>122900</v>
      </c>
      <c r="AK19" s="366">
        <v>113000</v>
      </c>
      <c r="AL19" s="103">
        <v>17613</v>
      </c>
      <c r="AM19" s="365">
        <f>AK19-AL19</f>
        <v>95387</v>
      </c>
      <c r="AQ19" s="103">
        <v>122900</v>
      </c>
      <c r="AR19" s="103">
        <v>9900</v>
      </c>
    </row>
    <row r="20" spans="1:44" ht="45" x14ac:dyDescent="0.2">
      <c r="A20" s="208">
        <f>'Bieu CKGN (ko in)'!A14</f>
        <v>2</v>
      </c>
      <c r="B20" s="242" t="str">
        <f>'Bieu CKGN (ko in)'!B14</f>
        <v>Sắp xếp ổn định dân cư 02 xã Tà Tổng, Mù Cả</v>
      </c>
      <c r="C20" s="218" t="s">
        <v>136</v>
      </c>
      <c r="D20" s="242"/>
      <c r="E20" s="219" t="s">
        <v>158</v>
      </c>
      <c r="F20" s="219" t="str">
        <f>'Bieu CKGN (ko in)'!C14</f>
        <v>1735-04/12/2020</v>
      </c>
      <c r="G20" s="314">
        <f>'Bieu CKGN (ko in)'!D14</f>
        <v>80000</v>
      </c>
      <c r="H20" s="314">
        <v>25625</v>
      </c>
      <c r="I20" s="314">
        <v>25625</v>
      </c>
      <c r="J20" s="230">
        <v>42110</v>
      </c>
      <c r="K20" s="230">
        <v>9522</v>
      </c>
      <c r="L20" s="316">
        <v>1012.899</v>
      </c>
      <c r="M20" s="316">
        <v>1012.899</v>
      </c>
      <c r="N20" s="316"/>
      <c r="O20" s="316"/>
      <c r="P20" s="314">
        <v>25625</v>
      </c>
      <c r="Q20" s="314">
        <v>25625</v>
      </c>
      <c r="R20" s="225"/>
      <c r="S20" s="379"/>
      <c r="T20" s="315"/>
      <c r="U20" s="83"/>
      <c r="V20" s="83"/>
      <c r="W20" s="118" t="s">
        <v>122</v>
      </c>
      <c r="X20" s="133" t="s">
        <v>268</v>
      </c>
      <c r="Z20" s="135"/>
      <c r="AA20" s="74">
        <v>26338</v>
      </c>
      <c r="AB20" s="136">
        <f>L20-AA20</f>
        <v>-25325.100999999999</v>
      </c>
      <c r="AE20" s="365">
        <f>H20</f>
        <v>25625</v>
      </c>
      <c r="AF20" s="103">
        <v>1000</v>
      </c>
      <c r="AG20" s="365">
        <f>AF20+AE20</f>
        <v>26625</v>
      </c>
      <c r="AI20" s="365">
        <f>H20-L20</f>
        <v>24612.100999999999</v>
      </c>
      <c r="AJ20" s="365">
        <f>J20-M20</f>
        <v>41097.101000000002</v>
      </c>
    </row>
    <row r="21" spans="1:44" ht="15" x14ac:dyDescent="0.2">
      <c r="A21" s="208"/>
      <c r="B21" s="307" t="s">
        <v>417</v>
      </c>
      <c r="C21" s="218"/>
      <c r="D21" s="242"/>
      <c r="E21" s="219"/>
      <c r="F21" s="219"/>
      <c r="G21" s="311">
        <f>SUM(G22:G23)</f>
        <v>275000</v>
      </c>
      <c r="H21" s="311">
        <f t="shared" ref="H21:S21" si="11">SUM(H22:H23)</f>
        <v>81900</v>
      </c>
      <c r="I21" s="311">
        <f t="shared" si="11"/>
        <v>81900</v>
      </c>
      <c r="J21" s="311">
        <f t="shared" si="11"/>
        <v>122679</v>
      </c>
      <c r="K21" s="311">
        <f t="shared" si="11"/>
        <v>21900</v>
      </c>
      <c r="L21" s="311">
        <f t="shared" si="11"/>
        <v>20229.326000000001</v>
      </c>
      <c r="M21" s="311">
        <f t="shared" si="11"/>
        <v>20229.326000000001</v>
      </c>
      <c r="N21" s="311">
        <f t="shared" si="11"/>
        <v>0</v>
      </c>
      <c r="O21" s="311">
        <f t="shared" si="11"/>
        <v>0</v>
      </c>
      <c r="P21" s="311">
        <f t="shared" si="11"/>
        <v>81900</v>
      </c>
      <c r="Q21" s="311">
        <f t="shared" si="11"/>
        <v>81900</v>
      </c>
      <c r="R21" s="225"/>
      <c r="S21" s="311">
        <f t="shared" si="11"/>
        <v>61465</v>
      </c>
      <c r="T21" s="315"/>
      <c r="U21" s="83"/>
      <c r="V21" s="83"/>
      <c r="X21" s="133"/>
      <c r="Z21" s="135"/>
      <c r="AB21" s="136"/>
      <c r="AE21" s="365"/>
      <c r="AG21" s="365"/>
      <c r="AI21" s="365"/>
      <c r="AJ21" s="365"/>
    </row>
    <row r="22" spans="1:44" ht="45" x14ac:dyDescent="0.2">
      <c r="A22" s="208">
        <v>1</v>
      </c>
      <c r="B22" s="242" t="str">
        <f>'Bieu CKGN (ko in)'!B15</f>
        <v>Nâng cấp đường giao thông Nậm Lằn - Mốc 17</v>
      </c>
      <c r="C22" s="218" t="s">
        <v>138</v>
      </c>
      <c r="D22" s="242"/>
      <c r="E22" s="317" t="s">
        <v>159</v>
      </c>
      <c r="F22" s="219" t="str">
        <f>'Bieu CKGN (ko in)'!C15</f>
        <v>997-30/07/2021</v>
      </c>
      <c r="G22" s="314">
        <f>'Bieu CKGN (ko in)'!D15</f>
        <v>190000</v>
      </c>
      <c r="H22" s="314">
        <v>68500</v>
      </c>
      <c r="I22" s="314">
        <v>68500</v>
      </c>
      <c r="J22" s="230">
        <v>63179</v>
      </c>
      <c r="K22" s="230">
        <v>12900</v>
      </c>
      <c r="L22" s="230">
        <v>13253</v>
      </c>
      <c r="M22" s="230">
        <v>13253</v>
      </c>
      <c r="N22" s="230"/>
      <c r="O22" s="230"/>
      <c r="P22" s="314">
        <v>68500</v>
      </c>
      <c r="Q22" s="314">
        <v>68500</v>
      </c>
      <c r="R22" s="225"/>
      <c r="S22" s="380">
        <f>G22-(75885+P22)</f>
        <v>45615</v>
      </c>
      <c r="T22" s="315"/>
      <c r="U22" s="83"/>
      <c r="V22" s="83"/>
      <c r="W22" s="118" t="s">
        <v>122</v>
      </c>
      <c r="X22" s="133" t="s">
        <v>268</v>
      </c>
      <c r="AA22" s="137">
        <v>60270.32</v>
      </c>
      <c r="AB22" s="134">
        <f>AA22-L22</f>
        <v>47017.32</v>
      </c>
      <c r="AI22" s="365">
        <f>H22-L22</f>
        <v>55247</v>
      </c>
      <c r="AJ22" s="365">
        <f>J22-M22</f>
        <v>49926</v>
      </c>
      <c r="AK22" s="366">
        <v>15000</v>
      </c>
    </row>
    <row r="23" spans="1:44" s="75" customFormat="1" ht="45" x14ac:dyDescent="0.2">
      <c r="A23" s="208">
        <v>2</v>
      </c>
      <c r="B23" s="242" t="s">
        <v>120</v>
      </c>
      <c r="C23" s="218" t="s">
        <v>138</v>
      </c>
      <c r="D23" s="242"/>
      <c r="E23" s="317" t="s">
        <v>160</v>
      </c>
      <c r="F23" s="219" t="s">
        <v>121</v>
      </c>
      <c r="G23" s="314">
        <v>85000</v>
      </c>
      <c r="H23" s="314">
        <v>13400</v>
      </c>
      <c r="I23" s="314">
        <v>13400</v>
      </c>
      <c r="J23" s="230">
        <v>59500</v>
      </c>
      <c r="K23" s="230">
        <v>9000</v>
      </c>
      <c r="L23" s="230">
        <v>6976.326</v>
      </c>
      <c r="M23" s="230">
        <v>6976.326</v>
      </c>
      <c r="N23" s="230"/>
      <c r="O23" s="230"/>
      <c r="P23" s="314">
        <v>13400</v>
      </c>
      <c r="Q23" s="314">
        <v>13400</v>
      </c>
      <c r="R23" s="230"/>
      <c r="S23" s="380">
        <f>G23*95%-(51500+P23)</f>
        <v>15850</v>
      </c>
      <c r="T23" s="315"/>
      <c r="U23" s="83"/>
      <c r="V23" s="83"/>
      <c r="W23" s="118" t="s">
        <v>122</v>
      </c>
      <c r="X23" s="133" t="s">
        <v>268</v>
      </c>
      <c r="AA23" s="137">
        <f>AB23-L23</f>
        <v>17783.673999999999</v>
      </c>
      <c r="AB23" s="77">
        <v>24760</v>
      </c>
      <c r="AC23" s="367"/>
      <c r="AD23" s="368"/>
      <c r="AE23" s="369"/>
      <c r="AF23" s="367"/>
      <c r="AG23" s="367"/>
      <c r="AH23" s="367"/>
      <c r="AI23" s="365">
        <f>H23-L23</f>
        <v>6423.674</v>
      </c>
      <c r="AJ23" s="365">
        <f>J23-M23</f>
        <v>52523.673999999999</v>
      </c>
      <c r="AK23" s="367"/>
      <c r="AL23" s="103">
        <f>9000+7500+8000</f>
        <v>24500</v>
      </c>
      <c r="AM23" s="367"/>
      <c r="AN23" s="367"/>
      <c r="AO23" s="367"/>
      <c r="AP23" s="367"/>
      <c r="AQ23" s="367"/>
      <c r="AR23" s="367"/>
    </row>
    <row r="24" spans="1:44" s="75" customFormat="1" ht="15" x14ac:dyDescent="0.2">
      <c r="A24" s="345" t="s">
        <v>36</v>
      </c>
      <c r="B24" s="397" t="s">
        <v>463</v>
      </c>
      <c r="C24" s="218"/>
      <c r="D24" s="242"/>
      <c r="E24" s="317"/>
      <c r="F24" s="219"/>
      <c r="G24" s="347">
        <f>SUM(G25)</f>
        <v>150000</v>
      </c>
      <c r="H24" s="347">
        <f t="shared" ref="H24:S24" si="12">SUM(H25)</f>
        <v>0</v>
      </c>
      <c r="I24" s="347">
        <f t="shared" si="12"/>
        <v>0</v>
      </c>
      <c r="J24" s="347">
        <f t="shared" si="12"/>
        <v>0</v>
      </c>
      <c r="K24" s="347">
        <f t="shared" si="12"/>
        <v>0</v>
      </c>
      <c r="L24" s="347">
        <f t="shared" si="12"/>
        <v>0</v>
      </c>
      <c r="M24" s="347">
        <f t="shared" si="12"/>
        <v>0</v>
      </c>
      <c r="N24" s="347">
        <f t="shared" si="12"/>
        <v>0</v>
      </c>
      <c r="O24" s="347">
        <f t="shared" si="12"/>
        <v>0</v>
      </c>
      <c r="P24" s="347">
        <f t="shared" si="12"/>
        <v>0</v>
      </c>
      <c r="Q24" s="347">
        <f t="shared" si="12"/>
        <v>0</v>
      </c>
      <c r="R24" s="230"/>
      <c r="S24" s="347">
        <f t="shared" si="12"/>
        <v>75000</v>
      </c>
      <c r="T24" s="315"/>
      <c r="U24" s="83"/>
      <c r="V24" s="83"/>
      <c r="W24" s="118"/>
      <c r="X24" s="133"/>
      <c r="AA24" s="137"/>
      <c r="AB24" s="77"/>
      <c r="AC24" s="367"/>
      <c r="AD24" s="368"/>
      <c r="AE24" s="389"/>
      <c r="AF24" s="367"/>
      <c r="AG24" s="367"/>
      <c r="AH24" s="367"/>
      <c r="AI24" s="365"/>
      <c r="AJ24" s="365"/>
      <c r="AK24" s="367"/>
      <c r="AL24" s="103"/>
      <c r="AM24" s="367"/>
      <c r="AN24" s="367"/>
      <c r="AO24" s="367"/>
      <c r="AP24" s="367"/>
      <c r="AQ24" s="367"/>
      <c r="AR24" s="367"/>
    </row>
    <row r="25" spans="1:44" s="399" customFormat="1" ht="45" x14ac:dyDescent="0.2">
      <c r="A25" s="208">
        <v>1</v>
      </c>
      <c r="B25" s="242" t="s">
        <v>581</v>
      </c>
      <c r="C25" s="218" t="s">
        <v>138</v>
      </c>
      <c r="D25" s="242"/>
      <c r="E25" s="317" t="s">
        <v>582</v>
      </c>
      <c r="F25" s="219"/>
      <c r="G25" s="314">
        <v>150000</v>
      </c>
      <c r="H25" s="314"/>
      <c r="I25" s="314"/>
      <c r="J25" s="230"/>
      <c r="K25" s="230"/>
      <c r="L25" s="230"/>
      <c r="M25" s="230"/>
      <c r="N25" s="230"/>
      <c r="O25" s="230"/>
      <c r="P25" s="314"/>
      <c r="Q25" s="230"/>
      <c r="R25" s="230"/>
      <c r="S25" s="230">
        <f>G25*75%-37500</f>
        <v>75000</v>
      </c>
      <c r="T25" s="315"/>
      <c r="U25" s="384"/>
      <c r="V25" s="384"/>
      <c r="W25" s="398" t="s">
        <v>123</v>
      </c>
      <c r="X25" s="133" t="s">
        <v>268</v>
      </c>
      <c r="AA25" s="400"/>
      <c r="AB25" s="401"/>
      <c r="AC25" s="402"/>
      <c r="AD25" s="403"/>
      <c r="AE25" s="389"/>
      <c r="AF25" s="402"/>
      <c r="AG25" s="402"/>
      <c r="AH25" s="402"/>
      <c r="AI25" s="404"/>
      <c r="AJ25" s="404"/>
      <c r="AK25" s="402"/>
      <c r="AL25" s="405"/>
      <c r="AM25" s="402"/>
      <c r="AN25" s="402"/>
      <c r="AO25" s="402"/>
      <c r="AP25" s="402"/>
      <c r="AQ25" s="402"/>
      <c r="AR25" s="402"/>
    </row>
    <row r="26" spans="1:44" s="75" customFormat="1" ht="15.75" thickBot="1" x14ac:dyDescent="0.25">
      <c r="A26" s="390"/>
      <c r="B26" s="391"/>
      <c r="C26" s="392"/>
      <c r="D26" s="391"/>
      <c r="E26" s="393"/>
      <c r="F26" s="281"/>
      <c r="G26" s="394"/>
      <c r="H26" s="394"/>
      <c r="I26" s="394"/>
      <c r="J26" s="395"/>
      <c r="K26" s="395"/>
      <c r="L26" s="395"/>
      <c r="M26" s="395"/>
      <c r="N26" s="395"/>
      <c r="O26" s="395"/>
      <c r="P26" s="394"/>
      <c r="Q26" s="395"/>
      <c r="R26" s="395"/>
      <c r="S26" s="395"/>
      <c r="T26" s="396"/>
      <c r="U26" s="83"/>
      <c r="V26" s="83"/>
      <c r="W26" s="118"/>
      <c r="X26" s="133"/>
      <c r="AA26" s="137"/>
      <c r="AB26" s="77"/>
      <c r="AC26" s="367"/>
      <c r="AD26" s="368"/>
      <c r="AE26" s="389"/>
      <c r="AF26" s="367"/>
      <c r="AG26" s="367"/>
      <c r="AH26" s="367"/>
      <c r="AI26" s="365"/>
      <c r="AJ26" s="365"/>
      <c r="AK26" s="367"/>
      <c r="AL26" s="103"/>
      <c r="AM26" s="367"/>
      <c r="AN26" s="367"/>
      <c r="AO26" s="367"/>
      <c r="AP26" s="367"/>
      <c r="AQ26" s="367"/>
      <c r="AR26" s="367"/>
    </row>
    <row r="27" spans="1:44" s="75" customFormat="1" ht="15" x14ac:dyDescent="0.2">
      <c r="A27" s="383"/>
      <c r="B27" s="384"/>
      <c r="C27" s="385"/>
      <c r="D27" s="384"/>
      <c r="E27" s="386"/>
      <c r="F27" s="383"/>
      <c r="G27" s="387"/>
      <c r="H27" s="387"/>
      <c r="I27" s="387"/>
      <c r="J27" s="388"/>
      <c r="K27" s="388"/>
      <c r="L27" s="388"/>
      <c r="M27" s="388"/>
      <c r="N27" s="388"/>
      <c r="O27" s="388"/>
      <c r="P27" s="387"/>
      <c r="Q27" s="388"/>
      <c r="R27" s="388"/>
      <c r="S27" s="388"/>
      <c r="T27" s="384"/>
      <c r="U27" s="83"/>
      <c r="V27" s="83"/>
      <c r="W27" s="118"/>
      <c r="X27" s="133"/>
      <c r="AA27" s="137"/>
      <c r="AB27" s="77"/>
      <c r="AC27" s="367"/>
      <c r="AD27" s="368"/>
      <c r="AE27" s="389"/>
      <c r="AF27" s="367"/>
      <c r="AG27" s="367"/>
      <c r="AH27" s="367"/>
      <c r="AI27" s="365"/>
      <c r="AJ27" s="365"/>
      <c r="AK27" s="367"/>
      <c r="AL27" s="103"/>
      <c r="AM27" s="367"/>
      <c r="AN27" s="367"/>
      <c r="AO27" s="367"/>
      <c r="AP27" s="367"/>
      <c r="AQ27" s="367"/>
      <c r="AR27" s="367"/>
    </row>
    <row r="28" spans="1:44" ht="13.5" hidden="1" x14ac:dyDescent="0.2">
      <c r="A28" s="896"/>
      <c r="B28" s="896"/>
      <c r="C28" s="174"/>
      <c r="D28" s="174"/>
      <c r="E28" s="174"/>
      <c r="L28" s="76"/>
      <c r="M28" s="76"/>
      <c r="N28" s="76"/>
      <c r="O28" s="76"/>
      <c r="P28" s="76"/>
      <c r="Q28" s="76"/>
      <c r="T28" s="83"/>
      <c r="U28" s="83"/>
      <c r="V28" s="83"/>
    </row>
    <row r="29" spans="1:44" hidden="1" x14ac:dyDescent="0.2">
      <c r="A29" s="94"/>
      <c r="B29" s="97" t="s">
        <v>405</v>
      </c>
      <c r="C29" s="97"/>
      <c r="D29" s="97"/>
      <c r="E29" s="97"/>
      <c r="F29" s="97"/>
      <c r="G29" s="96">
        <f>SUM(G30:G47)</f>
        <v>519000</v>
      </c>
      <c r="H29" s="96">
        <f>SUM(H30:H47)</f>
        <v>159823</v>
      </c>
      <c r="I29" s="96"/>
      <c r="J29" s="96">
        <f t="shared" ref="J29:L29" si="13">SUM(J30:K47)</f>
        <v>329011</v>
      </c>
      <c r="K29" s="96">
        <f t="shared" si="13"/>
        <v>62564.224999999999</v>
      </c>
      <c r="L29" s="96">
        <f t="shared" si="13"/>
        <v>42484.45</v>
      </c>
      <c r="M29" s="96">
        <f>SUM(M30:M47)</f>
        <v>21242.224999999999</v>
      </c>
      <c r="N29" s="96"/>
      <c r="O29" s="96"/>
      <c r="P29" s="96"/>
      <c r="Q29" s="96"/>
      <c r="R29" s="98">
        <f t="shared" ref="R29:R47" si="14">L29/H29*100</f>
        <v>26.58218779524849</v>
      </c>
      <c r="S29" s="98"/>
      <c r="T29" s="97"/>
      <c r="U29" s="164"/>
      <c r="V29" s="165"/>
      <c r="W29" s="166"/>
      <c r="X29" s="96">
        <f>SUM(X30:X47)</f>
        <v>4</v>
      </c>
    </row>
    <row r="30" spans="1:44" hidden="1" x14ac:dyDescent="0.2">
      <c r="A30" s="89">
        <v>1</v>
      </c>
      <c r="B30" s="90" t="s">
        <v>268</v>
      </c>
      <c r="C30" s="88"/>
      <c r="D30" s="88"/>
      <c r="E30" s="88"/>
      <c r="F30" s="88"/>
      <c r="G30" s="87">
        <f t="shared" ref="G30:G47" si="15">SUMIF($X$16:$X$23,B30,$G$16:$G$23)</f>
        <v>519000</v>
      </c>
      <c r="H30" s="87">
        <f t="shared" ref="H30:H47" si="16">SUMIF($X$16:$X$23,B30,$H$16:$H$23)</f>
        <v>159823</v>
      </c>
      <c r="I30" s="87"/>
      <c r="J30" s="101">
        <f t="shared" ref="J30:J47" si="17">SUMIF($X$16:$X$23,B30,$J$16:$J$23)</f>
        <v>287689</v>
      </c>
      <c r="K30" s="87">
        <f t="shared" ref="K30:K47" si="18">SUMIF($X$16:$X$23,B30,$K$16:$K$23)</f>
        <v>41322</v>
      </c>
      <c r="L30" s="87">
        <f t="shared" ref="L30:L47" si="19">SUMIF($X$16:$X$23,B30,$L$16:$L$23)</f>
        <v>21242.224999999999</v>
      </c>
      <c r="M30" s="87">
        <f t="shared" ref="M30:M47" si="20">SUMIF($X$16:$X$23,B30,$M$16:$M$23)</f>
        <v>21242.224999999999</v>
      </c>
      <c r="N30" s="87"/>
      <c r="O30" s="87"/>
      <c r="P30" s="87"/>
      <c r="Q30" s="87"/>
      <c r="R30" s="95">
        <f t="shared" si="14"/>
        <v>13.291093897624245</v>
      </c>
      <c r="S30" s="95"/>
      <c r="T30" s="88"/>
      <c r="U30" s="167"/>
      <c r="W30" s="168"/>
      <c r="X30" s="169">
        <f t="shared" ref="X30:X47" si="21">COUNTIF($X$12:$X$23,B30)</f>
        <v>4</v>
      </c>
    </row>
    <row r="31" spans="1:44" hidden="1" x14ac:dyDescent="0.2">
      <c r="A31" s="89">
        <v>2</v>
      </c>
      <c r="B31" s="88" t="s">
        <v>404</v>
      </c>
      <c r="C31" s="88"/>
      <c r="D31" s="88"/>
      <c r="E31" s="88"/>
      <c r="F31" s="88"/>
      <c r="G31" s="87">
        <f t="shared" si="15"/>
        <v>0</v>
      </c>
      <c r="H31" s="87">
        <f t="shared" si="16"/>
        <v>0</v>
      </c>
      <c r="I31" s="87"/>
      <c r="J31" s="101">
        <f t="shared" si="17"/>
        <v>0</v>
      </c>
      <c r="K31" s="87">
        <f t="shared" si="18"/>
        <v>0</v>
      </c>
      <c r="L31" s="87">
        <f t="shared" si="19"/>
        <v>0</v>
      </c>
      <c r="M31" s="87">
        <f t="shared" si="20"/>
        <v>0</v>
      </c>
      <c r="N31" s="87"/>
      <c r="O31" s="87"/>
      <c r="P31" s="87"/>
      <c r="Q31" s="87"/>
      <c r="R31" s="95" t="e">
        <f t="shared" si="14"/>
        <v>#DIV/0!</v>
      </c>
      <c r="S31" s="95"/>
      <c r="T31" s="88"/>
      <c r="U31" s="167"/>
      <c r="W31" s="168"/>
      <c r="X31" s="169">
        <f t="shared" si="21"/>
        <v>0</v>
      </c>
    </row>
    <row r="32" spans="1:44" hidden="1" x14ac:dyDescent="0.2">
      <c r="A32" s="89">
        <v>3</v>
      </c>
      <c r="B32" s="74" t="s">
        <v>403</v>
      </c>
      <c r="C32" s="88"/>
      <c r="D32" s="88"/>
      <c r="E32" s="88"/>
      <c r="F32" s="88"/>
      <c r="G32" s="87">
        <f t="shared" si="15"/>
        <v>0</v>
      </c>
      <c r="H32" s="87">
        <f t="shared" si="16"/>
        <v>0</v>
      </c>
      <c r="I32" s="87"/>
      <c r="J32" s="101">
        <f t="shared" si="17"/>
        <v>0</v>
      </c>
      <c r="K32" s="87">
        <f t="shared" si="18"/>
        <v>0</v>
      </c>
      <c r="L32" s="87">
        <f t="shared" si="19"/>
        <v>0</v>
      </c>
      <c r="M32" s="87">
        <f t="shared" si="20"/>
        <v>0</v>
      </c>
      <c r="N32" s="87"/>
      <c r="O32" s="87"/>
      <c r="P32" s="87"/>
      <c r="Q32" s="87"/>
      <c r="R32" s="95" t="e">
        <f t="shared" si="14"/>
        <v>#DIV/0!</v>
      </c>
      <c r="S32" s="95"/>
      <c r="T32" s="88"/>
      <c r="U32" s="167"/>
      <c r="W32" s="168"/>
      <c r="X32" s="169">
        <f t="shared" si="21"/>
        <v>0</v>
      </c>
    </row>
    <row r="33" spans="1:50" hidden="1" x14ac:dyDescent="0.2">
      <c r="A33" s="89">
        <v>4</v>
      </c>
      <c r="B33" s="91" t="s">
        <v>353</v>
      </c>
      <c r="C33" s="88"/>
      <c r="D33" s="88"/>
      <c r="E33" s="88"/>
      <c r="F33" s="88"/>
      <c r="G33" s="87">
        <f t="shared" si="15"/>
        <v>0</v>
      </c>
      <c r="H33" s="87">
        <f t="shared" si="16"/>
        <v>0</v>
      </c>
      <c r="I33" s="87"/>
      <c r="J33" s="101">
        <f t="shared" si="17"/>
        <v>0</v>
      </c>
      <c r="K33" s="87">
        <f t="shared" si="18"/>
        <v>0</v>
      </c>
      <c r="L33" s="87">
        <f t="shared" si="19"/>
        <v>0</v>
      </c>
      <c r="M33" s="87">
        <f t="shared" si="20"/>
        <v>0</v>
      </c>
      <c r="N33" s="87"/>
      <c r="O33" s="87"/>
      <c r="P33" s="87"/>
      <c r="Q33" s="87"/>
      <c r="R33" s="95" t="e">
        <f t="shared" si="14"/>
        <v>#DIV/0!</v>
      </c>
      <c r="S33" s="95"/>
      <c r="T33" s="88"/>
      <c r="U33" s="167"/>
      <c r="W33" s="168"/>
      <c r="X33" s="169">
        <f t="shared" si="21"/>
        <v>0</v>
      </c>
    </row>
    <row r="34" spans="1:50" hidden="1" x14ac:dyDescent="0.2">
      <c r="A34" s="89">
        <v>5</v>
      </c>
      <c r="B34" s="92" t="s">
        <v>274</v>
      </c>
      <c r="C34" s="88"/>
      <c r="D34" s="88"/>
      <c r="E34" s="88"/>
      <c r="F34" s="88"/>
      <c r="G34" s="87">
        <f t="shared" si="15"/>
        <v>0</v>
      </c>
      <c r="H34" s="87">
        <f t="shared" si="16"/>
        <v>0</v>
      </c>
      <c r="I34" s="87"/>
      <c r="J34" s="101">
        <f t="shared" si="17"/>
        <v>0</v>
      </c>
      <c r="K34" s="87">
        <f t="shared" si="18"/>
        <v>0</v>
      </c>
      <c r="L34" s="87">
        <f t="shared" si="19"/>
        <v>0</v>
      </c>
      <c r="M34" s="87">
        <f t="shared" si="20"/>
        <v>0</v>
      </c>
      <c r="N34" s="87"/>
      <c r="O34" s="87"/>
      <c r="P34" s="87"/>
      <c r="Q34" s="87"/>
      <c r="R34" s="95" t="e">
        <f t="shared" si="14"/>
        <v>#DIV/0!</v>
      </c>
      <c r="S34" s="95"/>
      <c r="T34" s="88"/>
      <c r="U34" s="167"/>
      <c r="W34" s="168"/>
      <c r="X34" s="169">
        <f t="shared" si="21"/>
        <v>0</v>
      </c>
    </row>
    <row r="35" spans="1:50" s="103" customFormat="1" hidden="1" x14ac:dyDescent="0.2">
      <c r="A35" s="89">
        <v>6</v>
      </c>
      <c r="B35" s="91" t="s">
        <v>279</v>
      </c>
      <c r="C35" s="88"/>
      <c r="D35" s="88"/>
      <c r="E35" s="88"/>
      <c r="F35" s="88"/>
      <c r="G35" s="87">
        <f t="shared" si="15"/>
        <v>0</v>
      </c>
      <c r="H35" s="87">
        <f t="shared" si="16"/>
        <v>0</v>
      </c>
      <c r="I35" s="87"/>
      <c r="J35" s="101">
        <f t="shared" si="17"/>
        <v>0</v>
      </c>
      <c r="K35" s="87">
        <f t="shared" si="18"/>
        <v>0</v>
      </c>
      <c r="L35" s="87">
        <f t="shared" si="19"/>
        <v>0</v>
      </c>
      <c r="M35" s="87">
        <f t="shared" si="20"/>
        <v>0</v>
      </c>
      <c r="N35" s="87"/>
      <c r="O35" s="87"/>
      <c r="P35" s="87"/>
      <c r="Q35" s="87"/>
      <c r="R35" s="95" t="e">
        <f t="shared" si="14"/>
        <v>#DIV/0!</v>
      </c>
      <c r="S35" s="95"/>
      <c r="T35" s="88"/>
      <c r="U35" s="167"/>
      <c r="V35" s="74"/>
      <c r="W35" s="168"/>
      <c r="X35" s="169">
        <f t="shared" si="21"/>
        <v>0</v>
      </c>
      <c r="Y35" s="74"/>
      <c r="Z35" s="74"/>
      <c r="AA35" s="74"/>
      <c r="AB35" s="74"/>
      <c r="AS35" s="74"/>
      <c r="AT35" s="74"/>
      <c r="AU35" s="74"/>
      <c r="AV35" s="74"/>
      <c r="AW35" s="74"/>
      <c r="AX35" s="74"/>
    </row>
    <row r="36" spans="1:50" s="103" customFormat="1" hidden="1" x14ac:dyDescent="0.2">
      <c r="A36" s="89">
        <v>7</v>
      </c>
      <c r="B36" s="91" t="s">
        <v>277</v>
      </c>
      <c r="C36" s="88"/>
      <c r="D36" s="88"/>
      <c r="E36" s="88"/>
      <c r="F36" s="88"/>
      <c r="G36" s="87">
        <f t="shared" si="15"/>
        <v>0</v>
      </c>
      <c r="H36" s="87">
        <f t="shared" si="16"/>
        <v>0</v>
      </c>
      <c r="I36" s="87"/>
      <c r="J36" s="101">
        <f t="shared" si="17"/>
        <v>0</v>
      </c>
      <c r="K36" s="87">
        <f t="shared" si="18"/>
        <v>0</v>
      </c>
      <c r="L36" s="87">
        <f t="shared" si="19"/>
        <v>0</v>
      </c>
      <c r="M36" s="87">
        <f t="shared" si="20"/>
        <v>0</v>
      </c>
      <c r="N36" s="87"/>
      <c r="O36" s="87"/>
      <c r="P36" s="87"/>
      <c r="Q36" s="87"/>
      <c r="R36" s="95" t="e">
        <f t="shared" si="14"/>
        <v>#DIV/0!</v>
      </c>
      <c r="S36" s="95"/>
      <c r="T36" s="88"/>
      <c r="U36" s="167"/>
      <c r="V36" s="74"/>
      <c r="W36" s="168"/>
      <c r="X36" s="169">
        <f t="shared" si="21"/>
        <v>0</v>
      </c>
      <c r="Y36" s="74"/>
      <c r="Z36" s="74"/>
      <c r="AA36" s="74">
        <v>7</v>
      </c>
      <c r="AB36" s="77">
        <f>H36</f>
        <v>0</v>
      </c>
      <c r="AS36" s="74"/>
      <c r="AT36" s="74"/>
      <c r="AU36" s="74"/>
      <c r="AV36" s="74"/>
      <c r="AW36" s="74"/>
      <c r="AX36" s="74"/>
    </row>
    <row r="37" spans="1:50" s="103" customFormat="1" hidden="1" x14ac:dyDescent="0.2">
      <c r="A37" s="89">
        <v>8</v>
      </c>
      <c r="B37" s="91" t="s">
        <v>270</v>
      </c>
      <c r="C37" s="88"/>
      <c r="D37" s="88"/>
      <c r="E37" s="88"/>
      <c r="F37" s="88"/>
      <c r="G37" s="87">
        <f t="shared" si="15"/>
        <v>0</v>
      </c>
      <c r="H37" s="87">
        <f t="shared" si="16"/>
        <v>0</v>
      </c>
      <c r="I37" s="87"/>
      <c r="J37" s="101">
        <f t="shared" si="17"/>
        <v>0</v>
      </c>
      <c r="K37" s="87">
        <f t="shared" si="18"/>
        <v>0</v>
      </c>
      <c r="L37" s="87">
        <f t="shared" si="19"/>
        <v>0</v>
      </c>
      <c r="M37" s="87">
        <f t="shared" si="20"/>
        <v>0</v>
      </c>
      <c r="N37" s="87"/>
      <c r="O37" s="87"/>
      <c r="P37" s="87"/>
      <c r="Q37" s="87"/>
      <c r="R37" s="95" t="e">
        <f t="shared" si="14"/>
        <v>#DIV/0!</v>
      </c>
      <c r="S37" s="95"/>
      <c r="T37" s="88"/>
      <c r="U37" s="167"/>
      <c r="V37" s="74"/>
      <c r="W37" s="168"/>
      <c r="X37" s="169">
        <f t="shared" si="21"/>
        <v>0</v>
      </c>
      <c r="Y37" s="74"/>
      <c r="Z37" s="74"/>
      <c r="AA37" s="74"/>
      <c r="AB37" s="77"/>
      <c r="AS37" s="74"/>
      <c r="AT37" s="74"/>
      <c r="AU37" s="74"/>
      <c r="AV37" s="74"/>
      <c r="AW37" s="74"/>
      <c r="AX37" s="74"/>
    </row>
    <row r="38" spans="1:50" s="103" customFormat="1" hidden="1" x14ac:dyDescent="0.2">
      <c r="A38" s="89">
        <v>9</v>
      </c>
      <c r="B38" s="93" t="s">
        <v>276</v>
      </c>
      <c r="C38" s="88"/>
      <c r="D38" s="88"/>
      <c r="E38" s="88"/>
      <c r="F38" s="88"/>
      <c r="G38" s="87">
        <f t="shared" si="15"/>
        <v>0</v>
      </c>
      <c r="H38" s="87">
        <f t="shared" si="16"/>
        <v>0</v>
      </c>
      <c r="I38" s="87"/>
      <c r="J38" s="101">
        <f t="shared" si="17"/>
        <v>0</v>
      </c>
      <c r="K38" s="87">
        <f t="shared" si="18"/>
        <v>0</v>
      </c>
      <c r="L38" s="87">
        <f t="shared" si="19"/>
        <v>0</v>
      </c>
      <c r="M38" s="87">
        <f t="shared" si="20"/>
        <v>0</v>
      </c>
      <c r="N38" s="87"/>
      <c r="O38" s="87"/>
      <c r="P38" s="87"/>
      <c r="Q38" s="87"/>
      <c r="R38" s="95" t="e">
        <f t="shared" si="14"/>
        <v>#DIV/0!</v>
      </c>
      <c r="S38" s="95"/>
      <c r="T38" s="88"/>
      <c r="U38" s="167"/>
      <c r="V38" s="74"/>
      <c r="W38" s="168"/>
      <c r="X38" s="169">
        <f t="shared" si="21"/>
        <v>0</v>
      </c>
      <c r="Y38" s="74"/>
      <c r="Z38" s="74"/>
      <c r="AA38" s="74"/>
      <c r="AB38" s="74"/>
      <c r="AS38" s="74"/>
      <c r="AT38" s="74"/>
      <c r="AU38" s="74"/>
      <c r="AV38" s="74"/>
      <c r="AW38" s="74"/>
      <c r="AX38" s="74"/>
    </row>
    <row r="39" spans="1:50" s="103" customFormat="1" hidden="1" x14ac:dyDescent="0.2">
      <c r="A39" s="89">
        <v>10</v>
      </c>
      <c r="B39" s="91" t="s">
        <v>352</v>
      </c>
      <c r="C39" s="88"/>
      <c r="D39" s="88"/>
      <c r="E39" s="88"/>
      <c r="F39" s="88"/>
      <c r="G39" s="87">
        <f t="shared" si="15"/>
        <v>0</v>
      </c>
      <c r="H39" s="87">
        <f t="shared" si="16"/>
        <v>0</v>
      </c>
      <c r="I39" s="87"/>
      <c r="J39" s="101">
        <f t="shared" si="17"/>
        <v>0</v>
      </c>
      <c r="K39" s="87">
        <f t="shared" si="18"/>
        <v>0</v>
      </c>
      <c r="L39" s="87">
        <f t="shared" si="19"/>
        <v>0</v>
      </c>
      <c r="M39" s="87">
        <f t="shared" si="20"/>
        <v>0</v>
      </c>
      <c r="N39" s="87"/>
      <c r="O39" s="87"/>
      <c r="P39" s="87"/>
      <c r="Q39" s="87"/>
      <c r="R39" s="95" t="e">
        <f t="shared" si="14"/>
        <v>#DIV/0!</v>
      </c>
      <c r="S39" s="95"/>
      <c r="T39" s="88"/>
      <c r="U39" s="167"/>
      <c r="V39" s="74"/>
      <c r="W39" s="168"/>
      <c r="X39" s="169">
        <f t="shared" si="21"/>
        <v>0</v>
      </c>
      <c r="Y39" s="74"/>
      <c r="Z39" s="74"/>
      <c r="AA39" s="74"/>
      <c r="AB39" s="74"/>
      <c r="AS39" s="74"/>
      <c r="AT39" s="74"/>
      <c r="AU39" s="74"/>
      <c r="AV39" s="74"/>
      <c r="AW39" s="74"/>
      <c r="AX39" s="74"/>
    </row>
    <row r="40" spans="1:50" s="103" customFormat="1" hidden="1" x14ac:dyDescent="0.2">
      <c r="A40" s="89">
        <v>11</v>
      </c>
      <c r="B40" s="91" t="s">
        <v>280</v>
      </c>
      <c r="C40" s="88"/>
      <c r="D40" s="88"/>
      <c r="E40" s="88"/>
      <c r="F40" s="88"/>
      <c r="G40" s="87">
        <f t="shared" si="15"/>
        <v>0</v>
      </c>
      <c r="H40" s="87">
        <f t="shared" si="16"/>
        <v>0</v>
      </c>
      <c r="I40" s="87"/>
      <c r="J40" s="101">
        <f t="shared" si="17"/>
        <v>0</v>
      </c>
      <c r="K40" s="87">
        <f t="shared" si="18"/>
        <v>0</v>
      </c>
      <c r="L40" s="87">
        <f t="shared" si="19"/>
        <v>0</v>
      </c>
      <c r="M40" s="87">
        <f t="shared" si="20"/>
        <v>0</v>
      </c>
      <c r="N40" s="87"/>
      <c r="O40" s="87"/>
      <c r="P40" s="87"/>
      <c r="Q40" s="87"/>
      <c r="R40" s="95" t="e">
        <f t="shared" si="14"/>
        <v>#DIV/0!</v>
      </c>
      <c r="S40" s="95"/>
      <c r="T40" s="88"/>
      <c r="U40" s="167"/>
      <c r="V40" s="74"/>
      <c r="W40" s="168"/>
      <c r="X40" s="169">
        <f t="shared" si="21"/>
        <v>0</v>
      </c>
      <c r="Y40" s="74"/>
      <c r="Z40" s="74"/>
      <c r="AA40" s="74"/>
      <c r="AB40" s="74"/>
      <c r="AS40" s="74"/>
      <c r="AT40" s="74"/>
      <c r="AU40" s="74"/>
      <c r="AV40" s="74"/>
      <c r="AW40" s="74"/>
      <c r="AX40" s="74"/>
    </row>
    <row r="41" spans="1:50" s="103" customFormat="1" hidden="1" x14ac:dyDescent="0.2">
      <c r="A41" s="89">
        <v>12</v>
      </c>
      <c r="B41" s="91" t="s">
        <v>272</v>
      </c>
      <c r="C41" s="88"/>
      <c r="D41" s="88"/>
      <c r="E41" s="88"/>
      <c r="F41" s="88"/>
      <c r="G41" s="87">
        <f t="shared" si="15"/>
        <v>0</v>
      </c>
      <c r="H41" s="87">
        <f t="shared" si="16"/>
        <v>0</v>
      </c>
      <c r="I41" s="87"/>
      <c r="J41" s="101">
        <f t="shared" si="17"/>
        <v>0</v>
      </c>
      <c r="K41" s="87">
        <f t="shared" si="18"/>
        <v>0</v>
      </c>
      <c r="L41" s="87">
        <f t="shared" si="19"/>
        <v>0</v>
      </c>
      <c r="M41" s="87">
        <f t="shared" si="20"/>
        <v>0</v>
      </c>
      <c r="N41" s="87"/>
      <c r="O41" s="87"/>
      <c r="P41" s="87"/>
      <c r="Q41" s="87"/>
      <c r="R41" s="95" t="e">
        <f t="shared" si="14"/>
        <v>#DIV/0!</v>
      </c>
      <c r="S41" s="95"/>
      <c r="T41" s="88"/>
      <c r="U41" s="167"/>
      <c r="V41" s="74"/>
      <c r="W41" s="168"/>
      <c r="X41" s="169">
        <f t="shared" si="21"/>
        <v>0</v>
      </c>
      <c r="Y41" s="74"/>
      <c r="Z41" s="74"/>
      <c r="AA41" s="74">
        <v>3</v>
      </c>
      <c r="AB41" s="77">
        <f>H41</f>
        <v>0</v>
      </c>
      <c r="AS41" s="74"/>
      <c r="AT41" s="74"/>
      <c r="AU41" s="74"/>
      <c r="AV41" s="74"/>
      <c r="AW41" s="74"/>
      <c r="AX41" s="74"/>
    </row>
    <row r="42" spans="1:50" s="103" customFormat="1" hidden="1" x14ac:dyDescent="0.2">
      <c r="A42" s="89">
        <v>13</v>
      </c>
      <c r="B42" s="91" t="s">
        <v>278</v>
      </c>
      <c r="C42" s="88"/>
      <c r="D42" s="88"/>
      <c r="E42" s="88"/>
      <c r="F42" s="88"/>
      <c r="G42" s="87">
        <f t="shared" si="15"/>
        <v>0</v>
      </c>
      <c r="H42" s="87">
        <f t="shared" si="16"/>
        <v>0</v>
      </c>
      <c r="I42" s="87"/>
      <c r="J42" s="101">
        <f t="shared" si="17"/>
        <v>0</v>
      </c>
      <c r="K42" s="87">
        <f t="shared" si="18"/>
        <v>0</v>
      </c>
      <c r="L42" s="87">
        <f t="shared" si="19"/>
        <v>0</v>
      </c>
      <c r="M42" s="87">
        <f t="shared" si="20"/>
        <v>0</v>
      </c>
      <c r="N42" s="87"/>
      <c r="O42" s="87"/>
      <c r="P42" s="87"/>
      <c r="Q42" s="87"/>
      <c r="R42" s="95" t="e">
        <f t="shared" si="14"/>
        <v>#DIV/0!</v>
      </c>
      <c r="S42" s="95"/>
      <c r="T42" s="88"/>
      <c r="U42" s="167"/>
      <c r="V42" s="74"/>
      <c r="W42" s="168"/>
      <c r="X42" s="169">
        <f t="shared" si="21"/>
        <v>0</v>
      </c>
      <c r="Y42" s="74"/>
      <c r="Z42" s="74"/>
      <c r="AA42" s="74"/>
      <c r="AB42" s="74"/>
      <c r="AS42" s="74"/>
      <c r="AT42" s="74"/>
      <c r="AU42" s="74"/>
      <c r="AV42" s="74"/>
      <c r="AW42" s="74"/>
      <c r="AX42" s="74"/>
    </row>
    <row r="43" spans="1:50" s="103" customFormat="1" hidden="1" x14ac:dyDescent="0.2">
      <c r="A43" s="89">
        <v>14</v>
      </c>
      <c r="B43" s="91" t="s">
        <v>271</v>
      </c>
      <c r="C43" s="88"/>
      <c r="D43" s="88"/>
      <c r="E43" s="88"/>
      <c r="F43" s="88"/>
      <c r="G43" s="87">
        <f t="shared" si="15"/>
        <v>0</v>
      </c>
      <c r="H43" s="87">
        <f t="shared" si="16"/>
        <v>0</v>
      </c>
      <c r="I43" s="87"/>
      <c r="J43" s="101">
        <f t="shared" si="17"/>
        <v>0</v>
      </c>
      <c r="K43" s="87">
        <f t="shared" si="18"/>
        <v>0</v>
      </c>
      <c r="L43" s="87">
        <f t="shared" si="19"/>
        <v>0</v>
      </c>
      <c r="M43" s="87">
        <f t="shared" si="20"/>
        <v>0</v>
      </c>
      <c r="N43" s="87"/>
      <c r="O43" s="87"/>
      <c r="P43" s="87"/>
      <c r="Q43" s="87"/>
      <c r="R43" s="95" t="e">
        <f t="shared" si="14"/>
        <v>#DIV/0!</v>
      </c>
      <c r="S43" s="95"/>
      <c r="T43" s="88"/>
      <c r="U43" s="167"/>
      <c r="V43" s="74"/>
      <c r="W43" s="168"/>
      <c r="X43" s="169">
        <f t="shared" si="21"/>
        <v>0</v>
      </c>
      <c r="Y43" s="74"/>
      <c r="Z43" s="74"/>
      <c r="AA43" s="74">
        <v>5</v>
      </c>
      <c r="AB43" s="77">
        <f>H43</f>
        <v>0</v>
      </c>
      <c r="AS43" s="74"/>
      <c r="AT43" s="74"/>
      <c r="AU43" s="74"/>
      <c r="AV43" s="74"/>
      <c r="AW43" s="74"/>
      <c r="AX43" s="74"/>
    </row>
    <row r="44" spans="1:50" s="103" customFormat="1" hidden="1" x14ac:dyDescent="0.2">
      <c r="A44" s="89">
        <v>15</v>
      </c>
      <c r="B44" s="91" t="s">
        <v>269</v>
      </c>
      <c r="C44" s="88"/>
      <c r="D44" s="88"/>
      <c r="E44" s="88"/>
      <c r="F44" s="88"/>
      <c r="G44" s="87">
        <f t="shared" si="15"/>
        <v>0</v>
      </c>
      <c r="H44" s="87">
        <f t="shared" si="16"/>
        <v>0</v>
      </c>
      <c r="I44" s="87"/>
      <c r="J44" s="101">
        <f t="shared" si="17"/>
        <v>0</v>
      </c>
      <c r="K44" s="87">
        <f t="shared" si="18"/>
        <v>0</v>
      </c>
      <c r="L44" s="87">
        <f t="shared" si="19"/>
        <v>0</v>
      </c>
      <c r="M44" s="87">
        <f t="shared" si="20"/>
        <v>0</v>
      </c>
      <c r="N44" s="87"/>
      <c r="O44" s="87"/>
      <c r="P44" s="87"/>
      <c r="Q44" s="87"/>
      <c r="R44" s="95" t="e">
        <f t="shared" si="14"/>
        <v>#DIV/0!</v>
      </c>
      <c r="S44" s="95"/>
      <c r="T44" s="88"/>
      <c r="U44" s="167"/>
      <c r="V44" s="74"/>
      <c r="W44" s="168"/>
      <c r="X44" s="169">
        <f t="shared" si="21"/>
        <v>0</v>
      </c>
      <c r="Y44" s="74"/>
      <c r="Z44" s="74"/>
      <c r="AA44" s="74">
        <v>6</v>
      </c>
      <c r="AB44" s="77">
        <f>H44</f>
        <v>0</v>
      </c>
      <c r="AS44" s="74"/>
      <c r="AT44" s="74"/>
      <c r="AU44" s="74"/>
      <c r="AV44" s="74"/>
      <c r="AW44" s="74"/>
      <c r="AX44" s="74"/>
    </row>
    <row r="45" spans="1:50" s="103" customFormat="1" hidden="1" x14ac:dyDescent="0.2">
      <c r="A45" s="89">
        <v>16</v>
      </c>
      <c r="B45" s="91" t="s">
        <v>275</v>
      </c>
      <c r="C45" s="88"/>
      <c r="D45" s="88"/>
      <c r="E45" s="88"/>
      <c r="F45" s="88"/>
      <c r="G45" s="87">
        <f t="shared" si="15"/>
        <v>0</v>
      </c>
      <c r="H45" s="87">
        <f t="shared" si="16"/>
        <v>0</v>
      </c>
      <c r="I45" s="87"/>
      <c r="J45" s="101">
        <f t="shared" si="17"/>
        <v>0</v>
      </c>
      <c r="K45" s="87">
        <f t="shared" si="18"/>
        <v>0</v>
      </c>
      <c r="L45" s="87">
        <f t="shared" si="19"/>
        <v>0</v>
      </c>
      <c r="M45" s="87">
        <f t="shared" si="20"/>
        <v>0</v>
      </c>
      <c r="N45" s="87"/>
      <c r="O45" s="87"/>
      <c r="P45" s="87"/>
      <c r="Q45" s="87"/>
      <c r="R45" s="95" t="e">
        <f t="shared" si="14"/>
        <v>#DIV/0!</v>
      </c>
      <c r="S45" s="95"/>
      <c r="T45" s="88"/>
      <c r="U45" s="167"/>
      <c r="V45" s="74"/>
      <c r="W45" s="168"/>
      <c r="X45" s="169">
        <f t="shared" si="21"/>
        <v>0</v>
      </c>
      <c r="Y45" s="74"/>
      <c r="Z45" s="74"/>
      <c r="AA45" s="74">
        <v>3</v>
      </c>
      <c r="AB45" s="77">
        <f>H45</f>
        <v>0</v>
      </c>
      <c r="AS45" s="74"/>
      <c r="AT45" s="74"/>
      <c r="AU45" s="74"/>
      <c r="AV45" s="74"/>
      <c r="AW45" s="74"/>
      <c r="AX45" s="74"/>
    </row>
    <row r="46" spans="1:50" s="103" customFormat="1" hidden="1" x14ac:dyDescent="0.2">
      <c r="A46" s="89">
        <v>17</v>
      </c>
      <c r="B46" s="91" t="s">
        <v>273</v>
      </c>
      <c r="C46" s="88"/>
      <c r="D46" s="88"/>
      <c r="E46" s="88"/>
      <c r="F46" s="88"/>
      <c r="G46" s="87">
        <f t="shared" si="15"/>
        <v>0</v>
      </c>
      <c r="H46" s="87">
        <f t="shared" si="16"/>
        <v>0</v>
      </c>
      <c r="I46" s="87"/>
      <c r="J46" s="101">
        <f t="shared" si="17"/>
        <v>0</v>
      </c>
      <c r="K46" s="87">
        <f t="shared" si="18"/>
        <v>0</v>
      </c>
      <c r="L46" s="87">
        <f t="shared" si="19"/>
        <v>0</v>
      </c>
      <c r="M46" s="87">
        <f t="shared" si="20"/>
        <v>0</v>
      </c>
      <c r="N46" s="87"/>
      <c r="O46" s="87"/>
      <c r="P46" s="87"/>
      <c r="Q46" s="87"/>
      <c r="R46" s="95" t="e">
        <f t="shared" si="14"/>
        <v>#DIV/0!</v>
      </c>
      <c r="S46" s="95"/>
      <c r="T46" s="88"/>
      <c r="U46" s="167"/>
      <c r="V46" s="74"/>
      <c r="W46" s="168"/>
      <c r="X46" s="169">
        <f t="shared" si="21"/>
        <v>0</v>
      </c>
      <c r="Y46" s="74"/>
      <c r="Z46" s="74"/>
      <c r="AA46" s="74">
        <v>4</v>
      </c>
      <c r="AB46" s="77">
        <f>H46</f>
        <v>0</v>
      </c>
      <c r="AS46" s="74"/>
      <c r="AT46" s="74"/>
      <c r="AU46" s="74"/>
      <c r="AV46" s="74"/>
      <c r="AW46" s="74"/>
      <c r="AX46" s="74"/>
    </row>
    <row r="47" spans="1:50" s="103" customFormat="1" hidden="1" x14ac:dyDescent="0.2">
      <c r="A47" s="86"/>
      <c r="B47" s="116" t="s">
        <v>536</v>
      </c>
      <c r="C47" s="74"/>
      <c r="D47" s="74"/>
      <c r="E47" s="74"/>
      <c r="F47" s="74"/>
      <c r="G47" s="87">
        <f t="shared" si="15"/>
        <v>0</v>
      </c>
      <c r="H47" s="87">
        <f t="shared" si="16"/>
        <v>0</v>
      </c>
      <c r="I47" s="87"/>
      <c r="J47" s="101">
        <f t="shared" si="17"/>
        <v>0</v>
      </c>
      <c r="K47" s="87">
        <f t="shared" si="18"/>
        <v>0</v>
      </c>
      <c r="L47" s="87">
        <f t="shared" si="19"/>
        <v>0</v>
      </c>
      <c r="M47" s="87">
        <f t="shared" si="20"/>
        <v>0</v>
      </c>
      <c r="N47" s="87"/>
      <c r="O47" s="87"/>
      <c r="P47" s="87"/>
      <c r="Q47" s="87"/>
      <c r="R47" s="95" t="e">
        <f t="shared" si="14"/>
        <v>#DIV/0!</v>
      </c>
      <c r="S47" s="381"/>
      <c r="T47" s="74"/>
      <c r="U47" s="74"/>
      <c r="V47" s="74"/>
      <c r="W47" s="118"/>
      <c r="X47" s="169">
        <f t="shared" si="21"/>
        <v>0</v>
      </c>
      <c r="Y47" s="74"/>
      <c r="Z47" s="74"/>
      <c r="AA47" s="74">
        <f>SUM(AA36:AA46)</f>
        <v>28</v>
      </c>
      <c r="AB47" s="74"/>
      <c r="AS47" s="74"/>
      <c r="AT47" s="74"/>
      <c r="AU47" s="74"/>
      <c r="AV47" s="74"/>
      <c r="AW47" s="74"/>
      <c r="AX47" s="74"/>
    </row>
    <row r="48" spans="1:50" s="103" customFormat="1" hidden="1" x14ac:dyDescent="0.2">
      <c r="A48" s="86"/>
      <c r="B48" s="74"/>
      <c r="C48" s="74"/>
      <c r="D48" s="74"/>
      <c r="E48" s="74"/>
      <c r="F48" s="74"/>
      <c r="G48" s="74"/>
      <c r="H48" s="74"/>
      <c r="I48" s="74"/>
      <c r="J48" s="76"/>
      <c r="K48" s="76"/>
      <c r="L48" s="81"/>
      <c r="M48" s="81"/>
      <c r="N48" s="81"/>
      <c r="O48" s="81"/>
      <c r="P48" s="81"/>
      <c r="Q48" s="81"/>
      <c r="R48" s="76"/>
      <c r="S48" s="76"/>
      <c r="T48" s="74"/>
      <c r="U48" s="74"/>
      <c r="V48" s="74"/>
      <c r="W48" s="118"/>
      <c r="X48" s="74"/>
      <c r="Y48" s="74"/>
      <c r="Z48" s="74"/>
      <c r="AA48" s="74"/>
      <c r="AB48" s="74"/>
      <c r="AS48" s="74"/>
      <c r="AT48" s="74"/>
      <c r="AU48" s="74"/>
      <c r="AV48" s="74"/>
      <c r="AW48" s="74"/>
      <c r="AX48" s="74"/>
    </row>
    <row r="49" spans="1:50" hidden="1" x14ac:dyDescent="0.2"/>
    <row r="53" spans="1:50" s="76" customFormat="1" x14ac:dyDescent="0.2">
      <c r="A53" s="74"/>
      <c r="B53" s="74"/>
      <c r="C53" s="74"/>
      <c r="D53" s="74"/>
      <c r="E53" s="74"/>
      <c r="F53" s="74"/>
      <c r="G53" s="77"/>
      <c r="H53" s="77"/>
      <c r="I53" s="77"/>
      <c r="J53" s="77"/>
      <c r="K53" s="77"/>
      <c r="L53" s="99"/>
      <c r="M53" s="99"/>
      <c r="N53" s="99"/>
      <c r="O53" s="99"/>
      <c r="P53" s="99"/>
      <c r="Q53" s="99"/>
      <c r="T53" s="74"/>
      <c r="U53" s="74"/>
      <c r="V53" s="74"/>
      <c r="W53" s="118"/>
      <c r="X53" s="74"/>
      <c r="Y53" s="74"/>
      <c r="Z53" s="74"/>
      <c r="AA53" s="74"/>
      <c r="AB53" s="74"/>
      <c r="AC53" s="103"/>
      <c r="AD53" s="103"/>
      <c r="AE53" s="103"/>
      <c r="AF53" s="103"/>
      <c r="AG53" s="103"/>
      <c r="AH53" s="103"/>
      <c r="AI53" s="103"/>
      <c r="AJ53" s="103"/>
      <c r="AK53" s="103"/>
      <c r="AL53" s="103"/>
      <c r="AM53" s="103"/>
      <c r="AN53" s="103"/>
      <c r="AO53" s="103"/>
      <c r="AP53" s="103"/>
      <c r="AQ53" s="103"/>
      <c r="AR53" s="103"/>
      <c r="AS53" s="74"/>
      <c r="AT53" s="74"/>
      <c r="AU53" s="74"/>
      <c r="AV53" s="74"/>
      <c r="AW53" s="74"/>
      <c r="AX53" s="74"/>
    </row>
    <row r="92" spans="1:50" s="76" customFormat="1" x14ac:dyDescent="0.2">
      <c r="A92" s="74"/>
      <c r="B92" s="74"/>
      <c r="C92" s="74"/>
      <c r="D92" s="74"/>
      <c r="E92" s="74"/>
      <c r="F92" s="74"/>
      <c r="G92" s="74"/>
      <c r="H92" s="77" t="e">
        <f>#REF!</f>
        <v>#REF!</v>
      </c>
      <c r="I92" s="77"/>
      <c r="L92" s="81"/>
      <c r="M92" s="81"/>
      <c r="N92" s="81"/>
      <c r="O92" s="81"/>
      <c r="P92" s="81"/>
      <c r="Q92" s="81"/>
      <c r="T92" s="74"/>
      <c r="U92" s="74"/>
      <c r="V92" s="74"/>
      <c r="W92" s="118"/>
      <c r="X92" s="74"/>
      <c r="Y92" s="74"/>
      <c r="Z92" s="74"/>
      <c r="AA92" s="74"/>
      <c r="AB92" s="74"/>
      <c r="AC92" s="103"/>
      <c r="AD92" s="103"/>
      <c r="AE92" s="103"/>
      <c r="AF92" s="103"/>
      <c r="AG92" s="103"/>
      <c r="AH92" s="103"/>
      <c r="AI92" s="103"/>
      <c r="AJ92" s="103"/>
      <c r="AK92" s="103"/>
      <c r="AL92" s="103"/>
      <c r="AM92" s="103"/>
      <c r="AN92" s="103"/>
      <c r="AO92" s="103"/>
      <c r="AP92" s="103"/>
      <c r="AQ92" s="103"/>
      <c r="AR92" s="103"/>
      <c r="AS92" s="74"/>
      <c r="AT92" s="74"/>
      <c r="AU92" s="74"/>
      <c r="AV92" s="74"/>
      <c r="AW92" s="74"/>
      <c r="AX92" s="74"/>
    </row>
    <row r="93" spans="1:50" s="76" customFormat="1" x14ac:dyDescent="0.2">
      <c r="A93" s="74"/>
      <c r="B93" s="74"/>
      <c r="C93" s="74"/>
      <c r="D93" s="74"/>
      <c r="E93" s="74"/>
      <c r="F93" s="74"/>
      <c r="G93" s="74"/>
      <c r="H93" s="77" t="e">
        <f>#REF!</f>
        <v>#REF!</v>
      </c>
      <c r="I93" s="77"/>
      <c r="L93" s="81"/>
      <c r="M93" s="81"/>
      <c r="N93" s="81"/>
      <c r="O93" s="81"/>
      <c r="P93" s="81"/>
      <c r="Q93" s="81"/>
      <c r="T93" s="74"/>
      <c r="U93" s="74"/>
      <c r="V93" s="74"/>
      <c r="W93" s="118"/>
      <c r="X93" s="74"/>
      <c r="Y93" s="74"/>
      <c r="Z93" s="74"/>
      <c r="AA93" s="74"/>
      <c r="AB93" s="74"/>
      <c r="AC93" s="103"/>
      <c r="AD93" s="103"/>
      <c r="AE93" s="103"/>
      <c r="AF93" s="103"/>
      <c r="AG93" s="103"/>
      <c r="AH93" s="103"/>
      <c r="AI93" s="103"/>
      <c r="AJ93" s="103"/>
      <c r="AK93" s="103"/>
      <c r="AL93" s="103"/>
      <c r="AM93" s="103"/>
      <c r="AN93" s="103"/>
      <c r="AO93" s="103"/>
      <c r="AP93" s="103"/>
      <c r="AQ93" s="103"/>
      <c r="AR93" s="103"/>
      <c r="AS93" s="74"/>
      <c r="AT93" s="74"/>
      <c r="AU93" s="74"/>
      <c r="AV93" s="74"/>
      <c r="AW93" s="74"/>
      <c r="AX93" s="74"/>
    </row>
    <row r="94" spans="1:50" s="76" customFormat="1" x14ac:dyDescent="0.2">
      <c r="A94" s="74"/>
      <c r="B94" s="74"/>
      <c r="C94" s="74"/>
      <c r="D94" s="74"/>
      <c r="E94" s="74"/>
      <c r="F94" s="74"/>
      <c r="G94" s="74"/>
      <c r="H94" s="77" t="e">
        <f>H93+H92</f>
        <v>#REF!</v>
      </c>
      <c r="I94" s="77"/>
      <c r="J94" s="76" t="e">
        <f>H8-H94</f>
        <v>#REF!</v>
      </c>
      <c r="K94" s="170" t="e">
        <f>J94/H8*100</f>
        <v>#REF!</v>
      </c>
      <c r="L94" s="81">
        <v>41722</v>
      </c>
      <c r="M94" s="171" t="e">
        <f>L94/J94*100</f>
        <v>#REF!</v>
      </c>
      <c r="N94" s="171"/>
      <c r="O94" s="171"/>
      <c r="P94" s="171"/>
      <c r="Q94" s="171"/>
      <c r="T94" s="74"/>
      <c r="U94" s="74"/>
      <c r="V94" s="74"/>
      <c r="W94" s="118"/>
      <c r="X94" s="74"/>
      <c r="Y94" s="74"/>
      <c r="Z94" s="74"/>
      <c r="AA94" s="74"/>
      <c r="AB94" s="74"/>
      <c r="AC94" s="103"/>
      <c r="AD94" s="103"/>
      <c r="AE94" s="103"/>
      <c r="AF94" s="103"/>
      <c r="AG94" s="103"/>
      <c r="AH94" s="103"/>
      <c r="AI94" s="103"/>
      <c r="AJ94" s="103"/>
      <c r="AK94" s="103"/>
      <c r="AL94" s="103"/>
      <c r="AM94" s="103"/>
      <c r="AN94" s="103"/>
      <c r="AO94" s="103"/>
      <c r="AP94" s="103"/>
      <c r="AQ94" s="103"/>
      <c r="AR94" s="103"/>
      <c r="AS94" s="74"/>
      <c r="AT94" s="74"/>
      <c r="AU94" s="74"/>
      <c r="AV94" s="74"/>
      <c r="AW94" s="74"/>
      <c r="AX94" s="74"/>
    </row>
    <row r="96" spans="1:50" s="76" customFormat="1" x14ac:dyDescent="0.2">
      <c r="A96" s="74"/>
      <c r="B96" s="74"/>
      <c r="C96" s="74"/>
      <c r="D96" s="74"/>
      <c r="E96" s="74"/>
      <c r="F96" s="74"/>
      <c r="G96" s="74"/>
      <c r="H96" s="74"/>
      <c r="I96" s="74"/>
      <c r="J96" s="76" t="e">
        <f>#REF!-H94</f>
        <v>#REF!</v>
      </c>
      <c r="L96" s="81"/>
      <c r="M96" s="81"/>
      <c r="N96" s="81"/>
      <c r="O96" s="81"/>
      <c r="P96" s="81"/>
      <c r="Q96" s="81"/>
      <c r="T96" s="74"/>
      <c r="U96" s="74"/>
      <c r="V96" s="74"/>
      <c r="W96" s="118"/>
      <c r="X96" s="74"/>
      <c r="Y96" s="74"/>
      <c r="Z96" s="74"/>
      <c r="AA96" s="74"/>
      <c r="AB96" s="74"/>
      <c r="AC96" s="103"/>
      <c r="AD96" s="103"/>
      <c r="AE96" s="103"/>
      <c r="AF96" s="103"/>
      <c r="AG96" s="103"/>
      <c r="AH96" s="103"/>
      <c r="AI96" s="103"/>
      <c r="AJ96" s="103"/>
      <c r="AK96" s="103"/>
      <c r="AL96" s="103"/>
      <c r="AM96" s="103"/>
      <c r="AN96" s="103"/>
      <c r="AO96" s="103"/>
      <c r="AP96" s="103"/>
      <c r="AQ96" s="103"/>
      <c r="AR96" s="103"/>
      <c r="AS96" s="74"/>
      <c r="AT96" s="74"/>
      <c r="AU96" s="74"/>
      <c r="AV96" s="74"/>
      <c r="AW96" s="74"/>
      <c r="AX96" s="74"/>
    </row>
  </sheetData>
  <mergeCells count="25">
    <mergeCell ref="AQ18:AR18"/>
    <mergeCell ref="A28:B28"/>
    <mergeCell ref="I5:I7"/>
    <mergeCell ref="S5:S7"/>
    <mergeCell ref="T5:T7"/>
    <mergeCell ref="X5:X7"/>
    <mergeCell ref="Z5:Z7"/>
    <mergeCell ref="F6:F7"/>
    <mergeCell ref="G6:G7"/>
    <mergeCell ref="H5:H7"/>
    <mergeCell ref="J5:K6"/>
    <mergeCell ref="L5:M6"/>
    <mergeCell ref="N5:O6"/>
    <mergeCell ref="P5:Q6"/>
    <mergeCell ref="R5:R7"/>
    <mergeCell ref="A1:T1"/>
    <mergeCell ref="A2:T2"/>
    <mergeCell ref="A3:T3"/>
    <mergeCell ref="Q4:T4"/>
    <mergeCell ref="A5:A7"/>
    <mergeCell ref="B5:B7"/>
    <mergeCell ref="C5:C7"/>
    <mergeCell ref="D5:D7"/>
    <mergeCell ref="E5:E7"/>
    <mergeCell ref="F5:G5"/>
  </mergeCells>
  <printOptions horizontalCentered="1"/>
  <pageMargins left="0.19685039370078741" right="0.19685039370078741" top="0.59055118110236227" bottom="0.39370078740157483" header="0.31496062992125984" footer="0.31496062992125984"/>
  <pageSetup paperSize="9" scale="61" orientation="landscape" r:id="rId1"/>
  <headerFooter>
    <oddHeader>Page &amp;P</oddHead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W160"/>
  <sheetViews>
    <sheetView zoomScale="85" zoomScaleNormal="85" zoomScaleSheetLayoutView="130" workbookViewId="0">
      <pane ySplit="7" topLeftCell="A44" activePane="bottomLeft" state="frozen"/>
      <selection pane="bottomLeft" activeCell="K42" sqref="K42:K49"/>
    </sheetView>
  </sheetViews>
  <sheetFormatPr defaultColWidth="9.33203125" defaultRowHeight="12.75" x14ac:dyDescent="0.2"/>
  <cols>
    <col min="1" max="1" width="5.33203125" style="74" customWidth="1"/>
    <col min="2" max="2" width="60" style="74" customWidth="1"/>
    <col min="3" max="3" width="9.33203125" style="74" customWidth="1"/>
    <col min="4" max="4" width="8.6640625" style="74" customWidth="1"/>
    <col min="5" max="5" width="7.83203125" style="74" customWidth="1"/>
    <col min="6" max="6" width="14.5" style="74" customWidth="1"/>
    <col min="7" max="7" width="12.5" style="74" customWidth="1"/>
    <col min="8" max="8" width="11.6640625" style="74" customWidth="1"/>
    <col min="9" max="9" width="13" style="76" customWidth="1"/>
    <col min="10" max="10" width="10.5" style="76" customWidth="1"/>
    <col min="11" max="11" width="11.83203125" style="81" customWidth="1"/>
    <col min="12" max="16" width="12" style="81" customWidth="1"/>
    <col min="17" max="17" width="8.6640625" style="76" customWidth="1"/>
    <col min="18" max="18" width="9.83203125" style="76" customWidth="1"/>
    <col min="19" max="21" width="6.1640625" style="74" customWidth="1"/>
    <col min="22" max="22" width="8.33203125" style="118" customWidth="1"/>
    <col min="23" max="23" width="17.33203125" style="74" customWidth="1"/>
    <col min="24" max="24" width="10.5" style="74" customWidth="1"/>
    <col min="25" max="25" width="23.5" style="74" customWidth="1"/>
    <col min="26" max="26" width="10.1640625" style="74" customWidth="1"/>
    <col min="27" max="27" width="11.5" style="74" customWidth="1"/>
    <col min="28" max="28" width="11.6640625" style="103" customWidth="1"/>
    <col min="29" max="30" width="9.33203125" style="103" customWidth="1"/>
    <col min="31" max="31" width="9.83203125" style="103" customWidth="1"/>
    <col min="32" max="32" width="9.33203125" style="103" customWidth="1"/>
    <col min="33" max="33" width="9.33203125" style="103"/>
    <col min="34" max="34" width="11.6640625" style="103" bestFit="1" customWidth="1"/>
    <col min="35" max="35" width="12.33203125" style="103" customWidth="1"/>
    <col min="36" max="36" width="11.1640625" style="103" bestFit="1" customWidth="1"/>
    <col min="37" max="43" width="9.33203125" style="103"/>
    <col min="44" max="16384" width="9.33203125" style="74"/>
  </cols>
  <sheetData>
    <row r="1" spans="1:43" ht="15.75" x14ac:dyDescent="0.2">
      <c r="A1" s="903" t="s">
        <v>603</v>
      </c>
      <c r="B1" s="903"/>
      <c r="C1" s="903"/>
      <c r="D1" s="903"/>
      <c r="E1" s="903"/>
      <c r="F1" s="903"/>
      <c r="G1" s="903"/>
      <c r="H1" s="903"/>
      <c r="I1" s="903"/>
      <c r="J1" s="903"/>
      <c r="K1" s="903"/>
      <c r="L1" s="903"/>
      <c r="M1" s="903"/>
      <c r="N1" s="903"/>
      <c r="O1" s="903"/>
      <c r="P1" s="903"/>
      <c r="Q1" s="903"/>
      <c r="R1" s="903"/>
      <c r="S1" s="903"/>
      <c r="T1" s="117"/>
      <c r="U1" s="117"/>
      <c r="Y1" s="77"/>
    </row>
    <row r="2" spans="1:43" ht="18.600000000000001" customHeight="1" x14ac:dyDescent="0.2">
      <c r="A2" s="880" t="s">
        <v>652</v>
      </c>
      <c r="B2" s="880"/>
      <c r="C2" s="880"/>
      <c r="D2" s="880"/>
      <c r="E2" s="880"/>
      <c r="F2" s="880"/>
      <c r="G2" s="880"/>
      <c r="H2" s="880"/>
      <c r="I2" s="880"/>
      <c r="J2" s="880"/>
      <c r="K2" s="880"/>
      <c r="L2" s="880"/>
      <c r="M2" s="880"/>
      <c r="N2" s="880"/>
      <c r="O2" s="880"/>
      <c r="P2" s="880"/>
      <c r="Q2" s="880"/>
      <c r="R2" s="880"/>
      <c r="S2" s="880"/>
      <c r="T2" s="172"/>
      <c r="U2" s="172"/>
    </row>
    <row r="3" spans="1:43" ht="17.25" customHeight="1" x14ac:dyDescent="0.2">
      <c r="A3" s="881" t="s">
        <v>575</v>
      </c>
      <c r="B3" s="881"/>
      <c r="C3" s="881"/>
      <c r="D3" s="881"/>
      <c r="E3" s="881"/>
      <c r="F3" s="881"/>
      <c r="G3" s="881"/>
      <c r="H3" s="881"/>
      <c r="I3" s="881"/>
      <c r="J3" s="881"/>
      <c r="K3" s="881"/>
      <c r="L3" s="881"/>
      <c r="M3" s="881"/>
      <c r="N3" s="881"/>
      <c r="O3" s="881"/>
      <c r="P3" s="881"/>
      <c r="Q3" s="881"/>
      <c r="R3" s="881"/>
      <c r="S3" s="881"/>
      <c r="T3" s="173"/>
      <c r="U3" s="173"/>
      <c r="V3" s="119"/>
    </row>
    <row r="4" spans="1:43" ht="21.75" customHeight="1" thickBot="1" x14ac:dyDescent="0.25">
      <c r="A4" s="78"/>
      <c r="B4" s="78"/>
      <c r="C4" s="78"/>
      <c r="D4" s="78"/>
      <c r="E4" s="78"/>
      <c r="F4" s="78"/>
      <c r="G4" s="78"/>
      <c r="H4" s="78"/>
      <c r="I4" s="80"/>
      <c r="J4" s="100"/>
      <c r="K4" s="382"/>
      <c r="L4" s="382"/>
      <c r="M4" s="382"/>
      <c r="N4" s="382"/>
      <c r="O4" s="382"/>
      <c r="P4" s="890" t="s">
        <v>109</v>
      </c>
      <c r="Q4" s="890"/>
      <c r="R4" s="890"/>
      <c r="S4" s="890"/>
      <c r="T4" s="120"/>
      <c r="U4" s="120"/>
      <c r="V4" s="119"/>
    </row>
    <row r="5" spans="1:43" ht="30.75" customHeight="1" x14ac:dyDescent="0.2">
      <c r="A5" s="875" t="s">
        <v>84</v>
      </c>
      <c r="B5" s="877" t="s">
        <v>85</v>
      </c>
      <c r="C5" s="891" t="s">
        <v>133</v>
      </c>
      <c r="D5" s="891" t="s">
        <v>134</v>
      </c>
      <c r="E5" s="891" t="s">
        <v>135</v>
      </c>
      <c r="F5" s="877" t="s">
        <v>86</v>
      </c>
      <c r="G5" s="877"/>
      <c r="H5" s="877" t="s">
        <v>414</v>
      </c>
      <c r="I5" s="882" t="s">
        <v>107</v>
      </c>
      <c r="J5" s="882"/>
      <c r="K5" s="882" t="s">
        <v>654</v>
      </c>
      <c r="L5" s="882"/>
      <c r="M5" s="882" t="s">
        <v>577</v>
      </c>
      <c r="N5" s="882"/>
      <c r="O5" s="882" t="s">
        <v>578</v>
      </c>
      <c r="P5" s="882"/>
      <c r="Q5" s="882" t="s">
        <v>117</v>
      </c>
      <c r="R5" s="882" t="s">
        <v>579</v>
      </c>
      <c r="S5" s="873" t="s">
        <v>88</v>
      </c>
      <c r="T5" s="121"/>
      <c r="U5" s="121"/>
      <c r="W5" s="898" t="s">
        <v>267</v>
      </c>
      <c r="X5" s="122">
        <f>92/173%</f>
        <v>53.179190751445084</v>
      </c>
      <c r="Y5" s="899" t="s">
        <v>106</v>
      </c>
    </row>
    <row r="6" spans="1:43" ht="18.75" customHeight="1" x14ac:dyDescent="0.2">
      <c r="A6" s="876"/>
      <c r="B6" s="878"/>
      <c r="C6" s="892"/>
      <c r="D6" s="892"/>
      <c r="E6" s="892"/>
      <c r="F6" s="878" t="s">
        <v>89</v>
      </c>
      <c r="G6" s="878" t="s">
        <v>90</v>
      </c>
      <c r="H6" s="878"/>
      <c r="I6" s="883"/>
      <c r="J6" s="883"/>
      <c r="K6" s="883"/>
      <c r="L6" s="883"/>
      <c r="M6" s="883"/>
      <c r="N6" s="883"/>
      <c r="O6" s="883"/>
      <c r="P6" s="883"/>
      <c r="Q6" s="883"/>
      <c r="R6" s="883"/>
      <c r="S6" s="874"/>
      <c r="T6" s="121"/>
      <c r="U6" s="121"/>
      <c r="W6" s="898"/>
      <c r="Y6" s="899"/>
    </row>
    <row r="7" spans="1:43" ht="77.25" customHeight="1" x14ac:dyDescent="0.2">
      <c r="A7" s="907"/>
      <c r="B7" s="906"/>
      <c r="C7" s="908"/>
      <c r="D7" s="908"/>
      <c r="E7" s="908"/>
      <c r="F7" s="906"/>
      <c r="G7" s="906"/>
      <c r="H7" s="906"/>
      <c r="I7" s="632" t="s">
        <v>108</v>
      </c>
      <c r="J7" s="633" t="s">
        <v>415</v>
      </c>
      <c r="K7" s="633" t="s">
        <v>23</v>
      </c>
      <c r="L7" s="633" t="s">
        <v>132</v>
      </c>
      <c r="M7" s="633" t="s">
        <v>23</v>
      </c>
      <c r="N7" s="633" t="s">
        <v>132</v>
      </c>
      <c r="O7" s="633" t="s">
        <v>23</v>
      </c>
      <c r="P7" s="633" t="s">
        <v>132</v>
      </c>
      <c r="Q7" s="904"/>
      <c r="R7" s="904"/>
      <c r="S7" s="905"/>
      <c r="T7" s="121"/>
      <c r="U7" s="121"/>
      <c r="V7" s="123">
        <f>H8+1813</f>
        <v>61498.502</v>
      </c>
      <c r="W7" s="898"/>
      <c r="Y7" s="899"/>
    </row>
    <row r="8" spans="1:43" ht="16.899999999999999" customHeight="1" x14ac:dyDescent="0.2">
      <c r="A8" s="614"/>
      <c r="B8" s="197" t="s">
        <v>23</v>
      </c>
      <c r="C8" s="197"/>
      <c r="D8" s="197"/>
      <c r="E8" s="197"/>
      <c r="F8" s="615"/>
      <c r="G8" s="198">
        <f t="shared" ref="G8:P8" si="0">G14+G27</f>
        <v>650361</v>
      </c>
      <c r="H8" s="198">
        <f t="shared" si="0"/>
        <v>59685.502</v>
      </c>
      <c r="I8" s="198">
        <f t="shared" si="0"/>
        <v>106561.45</v>
      </c>
      <c r="J8" s="198">
        <f t="shared" si="0"/>
        <v>7727</v>
      </c>
      <c r="K8" s="198">
        <f t="shared" si="0"/>
        <v>33402.876000000004</v>
      </c>
      <c r="L8" s="198">
        <f t="shared" si="0"/>
        <v>27921.648999999998</v>
      </c>
      <c r="M8" s="198">
        <f t="shared" si="0"/>
        <v>527.38599999999997</v>
      </c>
      <c r="N8" s="198">
        <f t="shared" si="0"/>
        <v>527.38599999999997</v>
      </c>
      <c r="O8" s="198">
        <f t="shared" si="0"/>
        <v>59685.502</v>
      </c>
      <c r="P8" s="198">
        <f t="shared" si="0"/>
        <v>527.38599999999997</v>
      </c>
      <c r="Q8" s="616">
        <f t="shared" ref="Q8:Q14" si="1">K8/H8%</f>
        <v>55.964806997853522</v>
      </c>
      <c r="R8" s="198">
        <f>R14+R27</f>
        <v>77597.701000000001</v>
      </c>
      <c r="S8" s="617">
        <f>SUM(S9:S13)</f>
        <v>48</v>
      </c>
      <c r="T8" s="124"/>
      <c r="U8" s="124"/>
      <c r="X8" s="125">
        <f>Q8-31.84</f>
        <v>24.124806997853522</v>
      </c>
      <c r="Z8" s="77">
        <f>H8+66627</f>
        <v>126312.50200000001</v>
      </c>
      <c r="AA8" s="126">
        <f>800+45808+43818</f>
        <v>90426</v>
      </c>
    </row>
    <row r="9" spans="1:43" s="79" customFormat="1" ht="18" hidden="1" customHeight="1" x14ac:dyDescent="0.2">
      <c r="A9" s="183">
        <v>1</v>
      </c>
      <c r="B9" s="184" t="s">
        <v>127</v>
      </c>
      <c r="C9" s="184"/>
      <c r="D9" s="184"/>
      <c r="E9" s="184"/>
      <c r="F9" s="184"/>
      <c r="G9" s="185">
        <f>SUMIF($V$14:$V$91,V9,$G$14:$G$91)</f>
        <v>349732</v>
      </c>
      <c r="H9" s="185">
        <f>SUMIF($V$14:$V$91,V9,$H$14:$H$91)</f>
        <v>1772.6949999999997</v>
      </c>
      <c r="I9" s="230">
        <f>SUMIF($V$14:$V$91,V9,$I$14:$I$91)</f>
        <v>0</v>
      </c>
      <c r="J9" s="185">
        <f>SUMIF($V$14:$V$91,V9,$J$14:$J$91)</f>
        <v>0</v>
      </c>
      <c r="K9" s="185">
        <f>SUMIF($V$14:$V$91,V9,$K$14:$K$91)</f>
        <v>1216.7879999999998</v>
      </c>
      <c r="L9" s="185">
        <f>SUMIF($V$14:$V$91,V9,$L$14:$L$91)</f>
        <v>1216.7879999999998</v>
      </c>
      <c r="M9" s="185">
        <f>SUMIF($V$14:$V$91,V9,$M$14:$M$91)</f>
        <v>527.38599999999997</v>
      </c>
      <c r="N9" s="185">
        <f>SUMIF($V$14:$V$91,V9,$N$14:$N$91)</f>
        <v>527.38599999999997</v>
      </c>
      <c r="O9" s="185">
        <f>SUMIF($V$14:$V$91,V9,$O$14:$O$91)</f>
        <v>1772.6949999999997</v>
      </c>
      <c r="P9" s="185">
        <f>SUMIF($V$14:$V$91,V9,$P$14:$P$91)</f>
        <v>527.38599999999997</v>
      </c>
      <c r="Q9" s="186">
        <f t="shared" si="1"/>
        <v>68.640572687348921</v>
      </c>
      <c r="R9" s="185">
        <f>SUMIF($V$14:$V$91,V9,$R$14:$R$91)</f>
        <v>0</v>
      </c>
      <c r="S9" s="187">
        <f>COUNTIF($V$14:$V$91,V9)</f>
        <v>10</v>
      </c>
      <c r="T9" s="127"/>
      <c r="U9" s="127"/>
      <c r="V9" s="118" t="s">
        <v>124</v>
      </c>
      <c r="AA9" s="128">
        <v>66627</v>
      </c>
      <c r="AB9" s="103"/>
      <c r="AC9" s="103"/>
      <c r="AD9" s="103"/>
      <c r="AE9" s="103"/>
      <c r="AF9" s="103"/>
      <c r="AG9" s="103"/>
      <c r="AH9" s="103"/>
      <c r="AI9" s="103"/>
      <c r="AJ9" s="103"/>
      <c r="AK9" s="103"/>
      <c r="AL9" s="103"/>
      <c r="AM9" s="103"/>
      <c r="AN9" s="103"/>
      <c r="AO9" s="103"/>
      <c r="AP9" s="103"/>
      <c r="AQ9" s="103"/>
    </row>
    <row r="10" spans="1:43" s="79" customFormat="1" ht="18" hidden="1" customHeight="1" x14ac:dyDescent="0.2">
      <c r="A10" s="183">
        <v>2</v>
      </c>
      <c r="B10" s="184" t="s">
        <v>128</v>
      </c>
      <c r="C10" s="184"/>
      <c r="D10" s="184"/>
      <c r="E10" s="184"/>
      <c r="F10" s="184"/>
      <c r="G10" s="185">
        <f>SUMIF($V$14:$V$91,V10,$G$14:$G$91)</f>
        <v>52097</v>
      </c>
      <c r="H10" s="185">
        <f>SUMIF($V$14:$V$91,V10,$H$14:$H$91)</f>
        <v>5803.5160000000005</v>
      </c>
      <c r="I10" s="230">
        <f>SUMIF($V$14:$V$91,V10,$I$14:$I$91)</f>
        <v>50796.495999999999</v>
      </c>
      <c r="J10" s="185">
        <f>SUMIF($V$14:$V$91,V10,$J$14:$J$91)</f>
        <v>0</v>
      </c>
      <c r="K10" s="185">
        <f>SUMIF($V$14:$V$91,V10,$K$14:$K$91)</f>
        <v>5685.9440000000004</v>
      </c>
      <c r="L10" s="185">
        <f>SUMIF($V$14:$V$91,V10,$L$14:$L$91)</f>
        <v>5387.7169999999996</v>
      </c>
      <c r="M10" s="185">
        <f>SUMIF($V$14:$V$91,V10,$M$14:$M$91)</f>
        <v>0</v>
      </c>
      <c r="N10" s="185">
        <f>SUMIF($V$14:$V$91,V10,$N$14:$N$91)</f>
        <v>0</v>
      </c>
      <c r="O10" s="185">
        <f>SUMIF($V$14:$V$91,V10,$O$14:$O$91)</f>
        <v>5803.5160000000005</v>
      </c>
      <c r="P10" s="185">
        <f>SUMIF($V$14:$V$91,V10,$P$14:$P$91)</f>
        <v>0</v>
      </c>
      <c r="Q10" s="186">
        <f t="shared" si="1"/>
        <v>97.974124651332048</v>
      </c>
      <c r="R10" s="185">
        <f>SUMIF($V$14:$V$91,V10,$R$14:$R$91)</f>
        <v>0</v>
      </c>
      <c r="S10" s="187">
        <f>COUNTIF($V$14:$V$91,V10)</f>
        <v>11</v>
      </c>
      <c r="T10" s="127"/>
      <c r="U10" s="127"/>
      <c r="V10" s="118" t="s">
        <v>125</v>
      </c>
      <c r="AA10" s="128">
        <f>AA8+AA9</f>
        <v>157053</v>
      </c>
      <c r="AB10" s="103"/>
      <c r="AC10" s="103"/>
      <c r="AD10" s="103"/>
      <c r="AE10" s="103"/>
      <c r="AF10" s="103"/>
      <c r="AG10" s="103"/>
      <c r="AH10" s="103"/>
      <c r="AI10" s="103"/>
      <c r="AJ10" s="103"/>
      <c r="AK10" s="103"/>
      <c r="AL10" s="103"/>
      <c r="AM10" s="103"/>
      <c r="AN10" s="103"/>
      <c r="AO10" s="103"/>
      <c r="AP10" s="103"/>
      <c r="AQ10" s="103"/>
    </row>
    <row r="11" spans="1:43" s="79" customFormat="1" ht="18" hidden="1" customHeight="1" x14ac:dyDescent="0.2">
      <c r="A11" s="183">
        <v>3</v>
      </c>
      <c r="B11" s="184" t="s">
        <v>129</v>
      </c>
      <c r="C11" s="184"/>
      <c r="D11" s="293"/>
      <c r="E11" s="184"/>
      <c r="F11" s="184"/>
      <c r="G11" s="185">
        <f>SUMIF($V$14:$V$91,V11,$G$14:$G$91)</f>
        <v>15450</v>
      </c>
      <c r="H11" s="185">
        <f>SUMIF($V$14:$V$91,V11,$H$14:$H$91)</f>
        <v>8550.2910000000011</v>
      </c>
      <c r="I11" s="230">
        <f>SUMIF($V$14:$V$91,V11,$I$14:$I$91)</f>
        <v>13704.089</v>
      </c>
      <c r="J11" s="185">
        <f>SUMIF($V$14:$V$91,V11,$J$14:$J$91)</f>
        <v>0</v>
      </c>
      <c r="K11" s="185">
        <f>SUMIF($V$14:$V$91,V11,$K$14:$K$91)</f>
        <v>6100</v>
      </c>
      <c r="L11" s="185">
        <f>SUMIF($V$14:$V$91,V11,$L$14:$L$91)</f>
        <v>6100</v>
      </c>
      <c r="M11" s="185">
        <f>SUMIF($V$14:$V$91,V11,$M$14:$M$91)</f>
        <v>0</v>
      </c>
      <c r="N11" s="185">
        <f>SUMIF($V$14:$V$91,V11,$N$14:$N$91)</f>
        <v>0</v>
      </c>
      <c r="O11" s="185">
        <f>SUMIF($V$14:$V$91,V11,$O$14:$O$91)</f>
        <v>8550.2910000000011</v>
      </c>
      <c r="P11" s="185">
        <f>SUMIF($V$14:$V$91,V11,$P$14:$P$91)</f>
        <v>0</v>
      </c>
      <c r="Q11" s="185">
        <f t="shared" si="1"/>
        <v>71.342601088079917</v>
      </c>
      <c r="R11" s="185">
        <f>SUMIF($V$14:$V$91,V11,$R$14:$R$91)</f>
        <v>2199.7089999999998</v>
      </c>
      <c r="S11" s="187">
        <f>COUNTIF($V$14:$V$91,V11)</f>
        <v>3</v>
      </c>
      <c r="T11" s="127"/>
      <c r="U11" s="127"/>
      <c r="V11" s="118" t="s">
        <v>126</v>
      </c>
      <c r="AB11" s="103"/>
      <c r="AC11" s="103"/>
      <c r="AD11" s="103"/>
      <c r="AE11" s="103"/>
      <c r="AF11" s="103"/>
      <c r="AG11" s="103"/>
      <c r="AH11" s="103"/>
      <c r="AI11" s="103"/>
      <c r="AJ11" s="103"/>
      <c r="AK11" s="103"/>
      <c r="AL11" s="103"/>
      <c r="AM11" s="103"/>
      <c r="AN11" s="103"/>
      <c r="AO11" s="103"/>
      <c r="AP11" s="103"/>
      <c r="AQ11" s="103"/>
    </row>
    <row r="12" spans="1:43" s="79" customFormat="1" ht="18" hidden="1" customHeight="1" x14ac:dyDescent="0.2">
      <c r="A12" s="183">
        <v>4</v>
      </c>
      <c r="B12" s="184" t="s">
        <v>130</v>
      </c>
      <c r="C12" s="184"/>
      <c r="D12" s="184"/>
      <c r="E12" s="184"/>
      <c r="F12" s="184"/>
      <c r="G12" s="185">
        <f>SUMIF($V$14:$V$91,V12,$G$14:$G$91)</f>
        <v>146952</v>
      </c>
      <c r="H12" s="185">
        <f>SUMIF($V$14:$V$91,V12,$H$14:$H$91)</f>
        <v>35809</v>
      </c>
      <c r="I12" s="230">
        <f>SUMIF($V$14:$V$91,V12,$I$14:$I$91)</f>
        <v>41060.864999999998</v>
      </c>
      <c r="J12" s="185">
        <f>SUMIF($V$14:$V$91,V12,$J$14:$J$91)</f>
        <v>7652</v>
      </c>
      <c r="K12" s="185">
        <f>SUMIF($V$14:$V$91,V12,$K$14:$K$91)</f>
        <v>17481.358</v>
      </c>
      <c r="L12" s="185">
        <f>SUMIF($V$14:$V$91,V12,$L$14:$L$91)</f>
        <v>14415.358</v>
      </c>
      <c r="M12" s="185">
        <f>SUMIF($V$14:$V$91,V12,$M$14:$M$91)</f>
        <v>0</v>
      </c>
      <c r="N12" s="185">
        <f>SUMIF($V$14:$V$91,V12,$N$14:$N$91)</f>
        <v>0</v>
      </c>
      <c r="O12" s="185">
        <f>SUMIF($V$14:$V$91,V12,$O$14:$O$91)</f>
        <v>35809</v>
      </c>
      <c r="P12" s="185">
        <f>SUMIF($V$14:$V$91,V12,$P$14:$P$91)</f>
        <v>0</v>
      </c>
      <c r="Q12" s="186">
        <f t="shared" si="1"/>
        <v>48.818336172470609</v>
      </c>
      <c r="R12" s="185">
        <f>SUMIF($V$14:$V$91,V12,$R$14:$R$91)</f>
        <v>43471.991999999998</v>
      </c>
      <c r="S12" s="187">
        <f>COUNTIF($V$14:$V$91,V12)</f>
        <v>18</v>
      </c>
      <c r="T12" s="127"/>
      <c r="U12" s="127"/>
      <c r="V12" s="118" t="s">
        <v>122</v>
      </c>
      <c r="AB12" s="103"/>
      <c r="AC12" s="103"/>
      <c r="AD12" s="103"/>
      <c r="AE12" s="103"/>
      <c r="AF12" s="103"/>
      <c r="AG12" s="103"/>
      <c r="AH12" s="103"/>
      <c r="AI12" s="103"/>
      <c r="AJ12" s="103"/>
      <c r="AK12" s="103"/>
      <c r="AL12" s="103"/>
      <c r="AM12" s="103"/>
      <c r="AN12" s="103"/>
      <c r="AO12" s="103"/>
      <c r="AP12" s="103"/>
      <c r="AQ12" s="103"/>
    </row>
    <row r="13" spans="1:43" s="79" customFormat="1" ht="18" hidden="1" customHeight="1" x14ac:dyDescent="0.2">
      <c r="A13" s="183">
        <v>5</v>
      </c>
      <c r="B13" s="184" t="s">
        <v>131</v>
      </c>
      <c r="C13" s="184"/>
      <c r="D13" s="184"/>
      <c r="E13" s="184"/>
      <c r="F13" s="184"/>
      <c r="G13" s="185">
        <f>SUMIF($V$14:$V$91,V13,$G$14:$G$91)</f>
        <v>80130</v>
      </c>
      <c r="H13" s="185">
        <f>SUMIF($V$14:$V$91,V13,$H$14:$H$91)</f>
        <v>7750</v>
      </c>
      <c r="I13" s="230">
        <f>SUMIF($V$14:$V$91,V13,$I$14:$I$91)</f>
        <v>1000</v>
      </c>
      <c r="J13" s="185">
        <f>SUMIF($V$14:$V$91,V13,$J$14:$J$91)</f>
        <v>75</v>
      </c>
      <c r="K13" s="185">
        <f>SUMIF($V$14:$V$91,V13,$K$14:$K$91)</f>
        <v>2918.7860000000001</v>
      </c>
      <c r="L13" s="185">
        <f>SUMIF($V$14:$V$91,V13,$L$14:$L$91)</f>
        <v>801.78599999999994</v>
      </c>
      <c r="M13" s="185">
        <f>SUMIF($V$14:$V$91,V13,$M$14:$M$91)</f>
        <v>0</v>
      </c>
      <c r="N13" s="185">
        <f>SUMIF($V$14:$V$91,V13,$N$14:$N$91)</f>
        <v>0</v>
      </c>
      <c r="O13" s="185">
        <f>SUMIF($V$14:$V$91,V13,$O$14:$O$91)</f>
        <v>7750</v>
      </c>
      <c r="P13" s="185">
        <f>SUMIF($V$14:$V$91,V13,$P$14:$P$91)</f>
        <v>0</v>
      </c>
      <c r="Q13" s="186">
        <f t="shared" si="1"/>
        <v>37.661754838709676</v>
      </c>
      <c r="R13" s="185">
        <f>SUMIF($V$14:$V$91,V13,$R$14:$R$91)</f>
        <v>28426</v>
      </c>
      <c r="S13" s="187">
        <f>COUNTIF($V$14:$V$91,V13)</f>
        <v>6</v>
      </c>
      <c r="T13" s="127"/>
      <c r="U13" s="127"/>
      <c r="V13" s="118" t="s">
        <v>123</v>
      </c>
      <c r="AB13" s="103"/>
      <c r="AC13" s="103"/>
      <c r="AD13" s="103"/>
      <c r="AE13" s="103"/>
      <c r="AF13" s="103"/>
      <c r="AG13" s="103"/>
      <c r="AH13" s="103"/>
      <c r="AI13" s="103"/>
      <c r="AJ13" s="103"/>
      <c r="AK13" s="103"/>
      <c r="AL13" s="103"/>
      <c r="AM13" s="103"/>
      <c r="AN13" s="103"/>
      <c r="AO13" s="103"/>
      <c r="AP13" s="103"/>
      <c r="AQ13" s="103"/>
    </row>
    <row r="14" spans="1:43" ht="17.45" customHeight="1" x14ac:dyDescent="0.2">
      <c r="A14" s="294" t="s">
        <v>24</v>
      </c>
      <c r="B14" s="295" t="s">
        <v>8</v>
      </c>
      <c r="C14" s="295"/>
      <c r="D14" s="295"/>
      <c r="E14" s="295"/>
      <c r="F14" s="296"/>
      <c r="G14" s="297">
        <f>G15+G21+G23+G25</f>
        <v>134270</v>
      </c>
      <c r="H14" s="297">
        <f t="shared" ref="H14:R14" si="2">H15+H21+H23+H25</f>
        <v>12997.386</v>
      </c>
      <c r="I14" s="297">
        <f t="shared" si="2"/>
        <v>8786</v>
      </c>
      <c r="J14" s="297">
        <f t="shared" si="2"/>
        <v>3361</v>
      </c>
      <c r="K14" s="297">
        <f t="shared" si="2"/>
        <v>6298.1720000000005</v>
      </c>
      <c r="L14" s="297">
        <f t="shared" si="2"/>
        <v>3415.172</v>
      </c>
      <c r="M14" s="297">
        <f t="shared" si="2"/>
        <v>527.38599999999997</v>
      </c>
      <c r="N14" s="297">
        <f t="shared" si="2"/>
        <v>527.38599999999997</v>
      </c>
      <c r="O14" s="297">
        <f t="shared" si="2"/>
        <v>12997.386</v>
      </c>
      <c r="P14" s="297">
        <f t="shared" si="2"/>
        <v>527.38599999999997</v>
      </c>
      <c r="Q14" s="298">
        <f t="shared" si="1"/>
        <v>48.457220551886358</v>
      </c>
      <c r="R14" s="297">
        <f t="shared" si="2"/>
        <v>28703</v>
      </c>
      <c r="S14" s="299"/>
      <c r="T14" s="83"/>
      <c r="U14" s="83"/>
    </row>
    <row r="15" spans="1:43" s="82" customFormat="1" ht="15" x14ac:dyDescent="0.2">
      <c r="A15" s="306" t="str">
        <f>'Bieu CKGN (ko in)'!A17</f>
        <v>a</v>
      </c>
      <c r="B15" s="307" t="str">
        <f>'Bieu CKGN (ko in)'!B17</f>
        <v>Dự án hoàn thành, đã phê duyệt quyết toán</v>
      </c>
      <c r="C15" s="307"/>
      <c r="D15" s="307"/>
      <c r="E15" s="307"/>
      <c r="F15" s="204"/>
      <c r="G15" s="311">
        <f t="shared" ref="G15:R15" si="3">SUM(G16:G20)</f>
        <v>54300</v>
      </c>
      <c r="H15" s="319">
        <f t="shared" si="3"/>
        <v>527.38599999999997</v>
      </c>
      <c r="I15" s="311">
        <f t="shared" si="3"/>
        <v>0</v>
      </c>
      <c r="J15" s="311">
        <f t="shared" si="3"/>
        <v>0</v>
      </c>
      <c r="K15" s="311">
        <f t="shared" si="3"/>
        <v>527.38599999999997</v>
      </c>
      <c r="L15" s="311">
        <f t="shared" si="3"/>
        <v>527.38599999999997</v>
      </c>
      <c r="M15" s="311">
        <f t="shared" si="3"/>
        <v>527.38599999999997</v>
      </c>
      <c r="N15" s="311">
        <f t="shared" si="3"/>
        <v>527.38599999999997</v>
      </c>
      <c r="O15" s="311">
        <f t="shared" si="3"/>
        <v>527.38599999999997</v>
      </c>
      <c r="P15" s="311">
        <f t="shared" si="3"/>
        <v>527.38599999999997</v>
      </c>
      <c r="Q15" s="311"/>
      <c r="R15" s="311">
        <f t="shared" si="3"/>
        <v>0</v>
      </c>
      <c r="S15" s="310"/>
      <c r="T15" s="129"/>
      <c r="U15" s="129"/>
      <c r="V15" s="138"/>
      <c r="W15" s="130"/>
      <c r="X15" s="131"/>
      <c r="Z15" s="130"/>
      <c r="AB15" s="112"/>
      <c r="AC15" s="112"/>
      <c r="AD15" s="112"/>
      <c r="AE15" s="112"/>
      <c r="AF15" s="112"/>
      <c r="AG15" s="112"/>
      <c r="AH15" s="365"/>
      <c r="AI15" s="365"/>
      <c r="AJ15" s="112"/>
      <c r="AK15" s="112"/>
      <c r="AL15" s="112"/>
      <c r="AM15" s="112"/>
      <c r="AN15" s="112"/>
      <c r="AO15" s="112"/>
      <c r="AP15" s="112"/>
      <c r="AQ15" s="112"/>
    </row>
    <row r="16" spans="1:43" ht="45" x14ac:dyDescent="0.2">
      <c r="A16" s="208">
        <f>'Bieu CKGN (ko in)'!A18</f>
        <v>1</v>
      </c>
      <c r="B16" s="242" t="s">
        <v>418</v>
      </c>
      <c r="C16" s="218" t="s">
        <v>138</v>
      </c>
      <c r="D16" s="242"/>
      <c r="E16" s="219"/>
      <c r="F16" s="219" t="s">
        <v>419</v>
      </c>
      <c r="G16" s="314">
        <v>3500</v>
      </c>
      <c r="H16" s="225">
        <v>26.625</v>
      </c>
      <c r="I16" s="230">
        <f>+J16</f>
        <v>0</v>
      </c>
      <c r="J16" s="213"/>
      <c r="K16" s="225">
        <f>L16</f>
        <v>26.625</v>
      </c>
      <c r="L16" s="225">
        <v>26.625</v>
      </c>
      <c r="M16" s="225">
        <v>26.625</v>
      </c>
      <c r="N16" s="225">
        <v>26.625</v>
      </c>
      <c r="O16" s="225">
        <v>26.625</v>
      </c>
      <c r="P16" s="225">
        <v>26.625</v>
      </c>
      <c r="Q16" s="230"/>
      <c r="R16" s="230"/>
      <c r="S16" s="315"/>
      <c r="T16" s="83"/>
      <c r="U16" s="83"/>
      <c r="V16" s="118" t="s">
        <v>124</v>
      </c>
      <c r="W16" s="133" t="s">
        <v>268</v>
      </c>
      <c r="AH16" s="365">
        <f t="shared" ref="AH16:AI20" si="4">H16-K16</f>
        <v>0</v>
      </c>
      <c r="AI16" s="365">
        <f t="shared" si="4"/>
        <v>-26.625</v>
      </c>
    </row>
    <row r="17" spans="1:49" ht="30" x14ac:dyDescent="0.2">
      <c r="A17" s="208">
        <f>'Bieu CKGN (ko in)'!A19</f>
        <v>2</v>
      </c>
      <c r="B17" s="242" t="s">
        <v>420</v>
      </c>
      <c r="C17" s="218" t="s">
        <v>143</v>
      </c>
      <c r="D17" s="242"/>
      <c r="E17" s="265"/>
      <c r="F17" s="219" t="s">
        <v>421</v>
      </c>
      <c r="G17" s="314">
        <v>9800</v>
      </c>
      <c r="H17" s="225">
        <v>201.38300000000001</v>
      </c>
      <c r="I17" s="230">
        <f t="shared" ref="I17:I20" si="5">+J17</f>
        <v>0</v>
      </c>
      <c r="J17" s="230"/>
      <c r="K17" s="225">
        <f>L17</f>
        <v>201.38300000000001</v>
      </c>
      <c r="L17" s="225">
        <v>201.38300000000001</v>
      </c>
      <c r="M17" s="225">
        <v>201.38300000000001</v>
      </c>
      <c r="N17" s="225">
        <v>201.38300000000001</v>
      </c>
      <c r="O17" s="225">
        <v>201.38300000000001</v>
      </c>
      <c r="P17" s="225">
        <v>201.38300000000001</v>
      </c>
      <c r="Q17" s="230"/>
      <c r="R17" s="230"/>
      <c r="S17" s="315"/>
      <c r="T17" s="83"/>
      <c r="U17" s="83"/>
      <c r="V17" s="118" t="s">
        <v>124</v>
      </c>
      <c r="W17" s="133" t="s">
        <v>268</v>
      </c>
      <c r="AH17" s="365">
        <f t="shared" si="4"/>
        <v>0</v>
      </c>
      <c r="AI17" s="365">
        <f t="shared" si="4"/>
        <v>-201.38300000000001</v>
      </c>
    </row>
    <row r="18" spans="1:49" ht="30" x14ac:dyDescent="0.2">
      <c r="A18" s="208">
        <v>3</v>
      </c>
      <c r="B18" s="242" t="s">
        <v>422</v>
      </c>
      <c r="C18" s="218" t="s">
        <v>148</v>
      </c>
      <c r="D18" s="242"/>
      <c r="E18" s="219"/>
      <c r="F18" s="219" t="s">
        <v>423</v>
      </c>
      <c r="G18" s="314">
        <v>19700</v>
      </c>
      <c r="H18" s="320">
        <v>156.37799999999999</v>
      </c>
      <c r="I18" s="230">
        <f t="shared" si="5"/>
        <v>0</v>
      </c>
      <c r="J18" s="230"/>
      <c r="K18" s="225">
        <f t="shared" ref="K18:K20" si="6">L18</f>
        <v>156.37799999999999</v>
      </c>
      <c r="L18" s="225">
        <v>156.37799999999999</v>
      </c>
      <c r="M18" s="225">
        <v>156.37799999999999</v>
      </c>
      <c r="N18" s="225">
        <v>156.37799999999999</v>
      </c>
      <c r="O18" s="225">
        <v>156.37799999999999</v>
      </c>
      <c r="P18" s="225">
        <v>156.37799999999999</v>
      </c>
      <c r="Q18" s="230"/>
      <c r="R18" s="230"/>
      <c r="S18" s="321"/>
      <c r="T18" s="139"/>
      <c r="U18" s="139"/>
      <c r="V18" s="118" t="s">
        <v>124</v>
      </c>
      <c r="W18" s="133" t="s">
        <v>268</v>
      </c>
      <c r="AH18" s="365">
        <f t="shared" si="4"/>
        <v>0</v>
      </c>
      <c r="AI18" s="365">
        <f t="shared" si="4"/>
        <v>-156.37799999999999</v>
      </c>
    </row>
    <row r="19" spans="1:49" ht="30" x14ac:dyDescent="0.2">
      <c r="A19" s="208">
        <v>4</v>
      </c>
      <c r="B19" s="242" t="s">
        <v>424</v>
      </c>
      <c r="C19" s="218" t="s">
        <v>166</v>
      </c>
      <c r="D19" s="242"/>
      <c r="E19" s="219"/>
      <c r="F19" s="219" t="s">
        <v>425</v>
      </c>
      <c r="G19" s="314">
        <v>11300</v>
      </c>
      <c r="H19" s="320">
        <v>112</v>
      </c>
      <c r="I19" s="230">
        <f t="shared" si="5"/>
        <v>0</v>
      </c>
      <c r="J19" s="230"/>
      <c r="K19" s="225">
        <f t="shared" si="6"/>
        <v>112</v>
      </c>
      <c r="L19" s="225">
        <v>112</v>
      </c>
      <c r="M19" s="225">
        <v>112</v>
      </c>
      <c r="N19" s="225">
        <v>112</v>
      </c>
      <c r="O19" s="225">
        <v>112</v>
      </c>
      <c r="P19" s="225">
        <v>112</v>
      </c>
      <c r="Q19" s="230"/>
      <c r="R19" s="230"/>
      <c r="S19" s="315"/>
      <c r="T19" s="140"/>
      <c r="U19" s="140"/>
      <c r="V19" s="118" t="s">
        <v>124</v>
      </c>
      <c r="W19" s="133" t="s">
        <v>268</v>
      </c>
      <c r="AH19" s="365">
        <f t="shared" si="4"/>
        <v>0</v>
      </c>
      <c r="AI19" s="365">
        <f t="shared" si="4"/>
        <v>-112</v>
      </c>
    </row>
    <row r="20" spans="1:49" ht="30" x14ac:dyDescent="0.2">
      <c r="A20" s="208">
        <v>5</v>
      </c>
      <c r="B20" s="242" t="s">
        <v>426</v>
      </c>
      <c r="C20" s="218" t="s">
        <v>226</v>
      </c>
      <c r="D20" s="242"/>
      <c r="E20" s="219"/>
      <c r="F20" s="219" t="s">
        <v>427</v>
      </c>
      <c r="G20" s="314">
        <v>10000</v>
      </c>
      <c r="H20" s="320">
        <v>31</v>
      </c>
      <c r="I20" s="230">
        <f t="shared" si="5"/>
        <v>0</v>
      </c>
      <c r="J20" s="230"/>
      <c r="K20" s="225">
        <f t="shared" si="6"/>
        <v>31</v>
      </c>
      <c r="L20" s="225">
        <v>31</v>
      </c>
      <c r="M20" s="225">
        <v>31</v>
      </c>
      <c r="N20" s="225">
        <v>31</v>
      </c>
      <c r="O20" s="225">
        <v>31</v>
      </c>
      <c r="P20" s="225">
        <v>31</v>
      </c>
      <c r="Q20" s="230"/>
      <c r="R20" s="230"/>
      <c r="S20" s="321"/>
      <c r="T20" s="139"/>
      <c r="U20" s="139"/>
      <c r="V20" s="118" t="s">
        <v>124</v>
      </c>
      <c r="W20" s="133" t="s">
        <v>268</v>
      </c>
      <c r="AH20" s="365">
        <f t="shared" si="4"/>
        <v>0</v>
      </c>
      <c r="AI20" s="365">
        <f t="shared" si="4"/>
        <v>-31</v>
      </c>
    </row>
    <row r="21" spans="1:49" s="82" customFormat="1" ht="15" x14ac:dyDescent="0.2">
      <c r="A21" s="306" t="s">
        <v>30</v>
      </c>
      <c r="B21" s="307" t="s">
        <v>428</v>
      </c>
      <c r="C21" s="307"/>
      <c r="D21" s="307"/>
      <c r="E21" s="307"/>
      <c r="F21" s="260"/>
      <c r="G21" s="311">
        <f>SUM(G22)</f>
        <v>14990</v>
      </c>
      <c r="H21" s="311">
        <f t="shared" ref="H21:R21" si="7">SUM(H22)</f>
        <v>4720</v>
      </c>
      <c r="I21" s="311">
        <f t="shared" si="7"/>
        <v>7786</v>
      </c>
      <c r="J21" s="311">
        <f t="shared" si="7"/>
        <v>3286</v>
      </c>
      <c r="K21" s="311">
        <f t="shared" si="7"/>
        <v>2852</v>
      </c>
      <c r="L21" s="311">
        <f t="shared" si="7"/>
        <v>2086</v>
      </c>
      <c r="M21" s="311">
        <f t="shared" si="7"/>
        <v>0</v>
      </c>
      <c r="N21" s="311">
        <f t="shared" si="7"/>
        <v>0</v>
      </c>
      <c r="O21" s="311">
        <f t="shared" si="7"/>
        <v>4720</v>
      </c>
      <c r="P21" s="311">
        <f t="shared" si="7"/>
        <v>0</v>
      </c>
      <c r="Q21" s="311"/>
      <c r="R21" s="311">
        <f t="shared" si="7"/>
        <v>4722</v>
      </c>
      <c r="S21" s="310"/>
      <c r="T21" s="129"/>
      <c r="U21" s="129"/>
      <c r="V21" s="119"/>
      <c r="AB21" s="112"/>
      <c r="AC21" s="112"/>
      <c r="AD21" s="112"/>
      <c r="AE21" s="112"/>
      <c r="AF21" s="112"/>
      <c r="AG21" s="112"/>
      <c r="AH21" s="365"/>
      <c r="AI21" s="365"/>
      <c r="AJ21" s="112"/>
      <c r="AK21" s="112"/>
      <c r="AL21" s="112"/>
      <c r="AM21" s="112"/>
      <c r="AN21" s="112"/>
      <c r="AO21" s="112"/>
      <c r="AP21" s="112"/>
      <c r="AQ21" s="112"/>
    </row>
    <row r="22" spans="1:49" s="79" customFormat="1" ht="28.5" customHeight="1" x14ac:dyDescent="0.2">
      <c r="A22" s="183">
        <f>'Bieu CKGN (ko in)'!A25</f>
        <v>1</v>
      </c>
      <c r="B22" s="184" t="str">
        <f>'Bieu CKGN (ko in)'!B25</f>
        <v>Nâng cấp hệ thống nước sinh hoạt thị trấn Mường Tè</v>
      </c>
      <c r="C22" s="240" t="s">
        <v>142</v>
      </c>
      <c r="D22" s="184"/>
      <c r="E22" s="184"/>
      <c r="F22" s="240" t="str">
        <f>'Bieu CKGN (ko in)'!C25</f>
        <v>1626-06/12/2021</v>
      </c>
      <c r="G22" s="224">
        <f>'Bieu CKGN (ko in)'!D25</f>
        <v>14990</v>
      </c>
      <c r="H22" s="224">
        <v>4720</v>
      </c>
      <c r="I22" s="230">
        <v>7786</v>
      </c>
      <c r="J22" s="185">
        <v>3286</v>
      </c>
      <c r="K22" s="322">
        <v>2852</v>
      </c>
      <c r="L22" s="185">
        <v>2086</v>
      </c>
      <c r="M22" s="185"/>
      <c r="N22" s="185"/>
      <c r="O22" s="224">
        <v>4720</v>
      </c>
      <c r="P22" s="185"/>
      <c r="Q22" s="185"/>
      <c r="R22" s="185">
        <f>G22-(O22+5548)</f>
        <v>4722</v>
      </c>
      <c r="S22" s="223"/>
      <c r="T22" s="83"/>
      <c r="U22" s="83"/>
      <c r="V22" s="118" t="s">
        <v>122</v>
      </c>
      <c r="W22" s="133" t="s">
        <v>268</v>
      </c>
      <c r="Y22" s="115"/>
      <c r="AB22" s="103"/>
      <c r="AC22" s="103"/>
      <c r="AD22" s="103"/>
      <c r="AE22" s="103"/>
      <c r="AF22" s="103"/>
      <c r="AG22" s="103"/>
      <c r="AH22" s="365">
        <f>H22-K22</f>
        <v>1868</v>
      </c>
      <c r="AI22" s="365">
        <f>I22-L22</f>
        <v>5700</v>
      </c>
      <c r="AJ22" s="103"/>
      <c r="AK22" s="103"/>
      <c r="AL22" s="103"/>
      <c r="AM22" s="103"/>
      <c r="AN22" s="103"/>
      <c r="AO22" s="103"/>
      <c r="AP22" s="103"/>
      <c r="AQ22" s="103"/>
    </row>
    <row r="23" spans="1:49" s="79" customFormat="1" ht="28.5" customHeight="1" x14ac:dyDescent="0.2">
      <c r="A23" s="201" t="s">
        <v>32</v>
      </c>
      <c r="B23" s="307" t="s">
        <v>463</v>
      </c>
      <c r="C23" s="240"/>
      <c r="D23" s="184"/>
      <c r="E23" s="184"/>
      <c r="F23" s="240"/>
      <c r="G23" s="311">
        <f>SUM(G24)</f>
        <v>14980</v>
      </c>
      <c r="H23" s="311">
        <f t="shared" ref="H23:R23" si="8">SUM(H24)</f>
        <v>7750</v>
      </c>
      <c r="I23" s="311">
        <f t="shared" si="8"/>
        <v>1000</v>
      </c>
      <c r="J23" s="311">
        <f t="shared" si="8"/>
        <v>75</v>
      </c>
      <c r="K23" s="311">
        <f t="shared" si="8"/>
        <v>2918.7860000000001</v>
      </c>
      <c r="L23" s="311">
        <f t="shared" si="8"/>
        <v>801.78599999999994</v>
      </c>
      <c r="M23" s="311">
        <f t="shared" si="8"/>
        <v>0</v>
      </c>
      <c r="N23" s="311">
        <f t="shared" si="8"/>
        <v>0</v>
      </c>
      <c r="O23" s="311">
        <f t="shared" si="8"/>
        <v>7750</v>
      </c>
      <c r="P23" s="311">
        <f t="shared" si="8"/>
        <v>0</v>
      </c>
      <c r="Q23" s="185"/>
      <c r="R23" s="311">
        <f t="shared" si="8"/>
        <v>6481</v>
      </c>
      <c r="S23" s="223"/>
      <c r="T23" s="83"/>
      <c r="U23" s="83"/>
      <c r="V23" s="118"/>
      <c r="W23" s="133"/>
      <c r="Y23" s="115"/>
      <c r="AB23" s="103"/>
      <c r="AC23" s="103"/>
      <c r="AD23" s="103"/>
      <c r="AE23" s="103"/>
      <c r="AF23" s="103"/>
      <c r="AG23" s="103"/>
      <c r="AH23" s="365"/>
      <c r="AI23" s="365"/>
      <c r="AJ23" s="103"/>
      <c r="AK23" s="103"/>
      <c r="AL23" s="103"/>
      <c r="AM23" s="103"/>
      <c r="AN23" s="103"/>
      <c r="AO23" s="103"/>
      <c r="AP23" s="103"/>
      <c r="AQ23" s="103"/>
    </row>
    <row r="24" spans="1:49" s="79" customFormat="1" ht="45" x14ac:dyDescent="0.2">
      <c r="A24" s="183">
        <v>2</v>
      </c>
      <c r="B24" s="184" t="s">
        <v>532</v>
      </c>
      <c r="C24" s="240" t="s">
        <v>142</v>
      </c>
      <c r="D24" s="184"/>
      <c r="E24" s="184"/>
      <c r="F24" s="240" t="s">
        <v>533</v>
      </c>
      <c r="G24" s="224">
        <v>14980</v>
      </c>
      <c r="H24" s="224">
        <v>7750</v>
      </c>
      <c r="I24" s="185">
        <f>925+75</f>
        <v>1000</v>
      </c>
      <c r="J24" s="185">
        <v>75</v>
      </c>
      <c r="K24" s="322">
        <v>2918.7860000000001</v>
      </c>
      <c r="L24" s="185">
        <v>801.78599999999994</v>
      </c>
      <c r="M24" s="185"/>
      <c r="N24" s="185"/>
      <c r="O24" s="224">
        <v>7750</v>
      </c>
      <c r="P24" s="185"/>
      <c r="Q24" s="185"/>
      <c r="R24" s="185">
        <f>G24*95%-O24</f>
        <v>6481</v>
      </c>
      <c r="S24" s="223"/>
      <c r="T24" s="83"/>
      <c r="U24" s="83"/>
      <c r="V24" s="118" t="s">
        <v>123</v>
      </c>
      <c r="W24" s="133" t="s">
        <v>268</v>
      </c>
      <c r="Y24" s="115"/>
      <c r="AB24" s="103"/>
      <c r="AC24" s="103"/>
      <c r="AD24" s="103"/>
      <c r="AE24" s="103"/>
      <c r="AF24" s="103"/>
      <c r="AG24" s="103"/>
      <c r="AH24" s="365"/>
      <c r="AI24" s="365"/>
      <c r="AJ24" s="103"/>
      <c r="AK24" s="103"/>
      <c r="AL24" s="103"/>
      <c r="AM24" s="103"/>
      <c r="AN24" s="103"/>
      <c r="AO24" s="103"/>
      <c r="AP24" s="103"/>
      <c r="AQ24" s="103"/>
    </row>
    <row r="25" spans="1:49" s="79" customFormat="1" ht="15" x14ac:dyDescent="0.2">
      <c r="A25" s="306" t="s">
        <v>36</v>
      </c>
      <c r="B25" s="307" t="s">
        <v>583</v>
      </c>
      <c r="C25" s="240"/>
      <c r="D25" s="184"/>
      <c r="E25" s="184"/>
      <c r="F25" s="240"/>
      <c r="G25" s="311">
        <f>SUM(G26)</f>
        <v>50000</v>
      </c>
      <c r="H25" s="311">
        <f t="shared" ref="H25:R25" si="9">SUM(H26)</f>
        <v>0</v>
      </c>
      <c r="I25" s="311">
        <f t="shared" si="9"/>
        <v>0</v>
      </c>
      <c r="J25" s="311">
        <f t="shared" si="9"/>
        <v>0</v>
      </c>
      <c r="K25" s="311">
        <f t="shared" si="9"/>
        <v>0</v>
      </c>
      <c r="L25" s="311">
        <f t="shared" si="9"/>
        <v>0</v>
      </c>
      <c r="M25" s="311">
        <f t="shared" si="9"/>
        <v>0</v>
      </c>
      <c r="N25" s="311">
        <f t="shared" si="9"/>
        <v>0</v>
      </c>
      <c r="O25" s="311">
        <f t="shared" si="9"/>
        <v>0</v>
      </c>
      <c r="P25" s="311">
        <f t="shared" si="9"/>
        <v>0</v>
      </c>
      <c r="Q25" s="185"/>
      <c r="R25" s="311">
        <f t="shared" si="9"/>
        <v>17500</v>
      </c>
      <c r="S25" s="223"/>
      <c r="T25" s="83"/>
      <c r="U25" s="83"/>
      <c r="V25" s="118"/>
      <c r="W25" s="133"/>
      <c r="Y25" s="115"/>
      <c r="AB25" s="103"/>
      <c r="AC25" s="103"/>
      <c r="AD25" s="103"/>
      <c r="AE25" s="103"/>
      <c r="AF25" s="103"/>
      <c r="AG25" s="103"/>
      <c r="AH25" s="365"/>
      <c r="AI25" s="365"/>
      <c r="AJ25" s="103"/>
      <c r="AK25" s="103"/>
      <c r="AL25" s="103"/>
      <c r="AM25" s="103"/>
      <c r="AN25" s="103"/>
      <c r="AO25" s="103"/>
      <c r="AP25" s="103"/>
      <c r="AQ25" s="103"/>
    </row>
    <row r="26" spans="1:49" s="79" customFormat="1" ht="45" x14ac:dyDescent="0.2">
      <c r="A26" s="183">
        <v>1</v>
      </c>
      <c r="B26" s="184" t="s">
        <v>584</v>
      </c>
      <c r="C26" s="240" t="s">
        <v>142</v>
      </c>
      <c r="D26" s="184"/>
      <c r="E26" s="184"/>
      <c r="F26" s="240"/>
      <c r="G26" s="224">
        <v>50000</v>
      </c>
      <c r="H26" s="224"/>
      <c r="I26" s="185"/>
      <c r="J26" s="185"/>
      <c r="K26" s="322"/>
      <c r="L26" s="185"/>
      <c r="M26" s="185"/>
      <c r="N26" s="185"/>
      <c r="O26" s="185"/>
      <c r="P26" s="185"/>
      <c r="Q26" s="185"/>
      <c r="R26" s="185">
        <f>G26*35%</f>
        <v>17500</v>
      </c>
      <c r="S26" s="223"/>
      <c r="T26" s="83"/>
      <c r="U26" s="83"/>
      <c r="V26" s="118" t="s">
        <v>123</v>
      </c>
      <c r="W26" s="133" t="s">
        <v>268</v>
      </c>
      <c r="Y26" s="115"/>
      <c r="AB26" s="103"/>
      <c r="AC26" s="103"/>
      <c r="AD26" s="103"/>
      <c r="AE26" s="103"/>
      <c r="AF26" s="103"/>
      <c r="AG26" s="103"/>
      <c r="AH26" s="365"/>
      <c r="AI26" s="365"/>
      <c r="AJ26" s="103"/>
      <c r="AK26" s="103"/>
      <c r="AL26" s="103"/>
      <c r="AM26" s="103"/>
      <c r="AN26" s="103"/>
      <c r="AO26" s="103"/>
      <c r="AP26" s="103"/>
      <c r="AQ26" s="103"/>
    </row>
    <row r="27" spans="1:49" ht="19.149999999999999" customHeight="1" x14ac:dyDescent="0.2">
      <c r="A27" s="294" t="str">
        <f>'Bieu CKGN (ko in)'!A26</f>
        <v>B</v>
      </c>
      <c r="B27" s="295" t="str">
        <f>'Bieu CKGN (ko in)'!B26</f>
        <v>Cấp huyện quản lý</v>
      </c>
      <c r="C27" s="295"/>
      <c r="D27" s="295"/>
      <c r="E27" s="295"/>
      <c r="F27" s="296"/>
      <c r="G27" s="297">
        <f t="shared" ref="G27:P27" si="10">G28+G81</f>
        <v>516091</v>
      </c>
      <c r="H27" s="297">
        <f t="shared" si="10"/>
        <v>46688.116000000002</v>
      </c>
      <c r="I27" s="297">
        <f t="shared" si="10"/>
        <v>97775.45</v>
      </c>
      <c r="J27" s="297">
        <f t="shared" si="10"/>
        <v>4366</v>
      </c>
      <c r="K27" s="297">
        <f t="shared" si="10"/>
        <v>27104.704000000002</v>
      </c>
      <c r="L27" s="297">
        <f t="shared" si="10"/>
        <v>24506.476999999999</v>
      </c>
      <c r="M27" s="297">
        <f t="shared" si="10"/>
        <v>0</v>
      </c>
      <c r="N27" s="297">
        <f t="shared" si="10"/>
        <v>0</v>
      </c>
      <c r="O27" s="297">
        <f t="shared" si="10"/>
        <v>46688.116000000002</v>
      </c>
      <c r="P27" s="297">
        <f t="shared" si="10"/>
        <v>0</v>
      </c>
      <c r="Q27" s="298">
        <f>K27/H27%</f>
        <v>58.05482491518827</v>
      </c>
      <c r="R27" s="297">
        <f>R28+R81</f>
        <v>48894.701000000001</v>
      </c>
      <c r="S27" s="299"/>
      <c r="T27" s="83"/>
      <c r="U27" s="83"/>
      <c r="AH27" s="365"/>
      <c r="AI27" s="365"/>
    </row>
    <row r="28" spans="1:49" ht="19.149999999999999" customHeight="1" x14ac:dyDescent="0.2">
      <c r="A28" s="300" t="s">
        <v>15</v>
      </c>
      <c r="B28" s="301" t="s">
        <v>528</v>
      </c>
      <c r="C28" s="301"/>
      <c r="D28" s="301"/>
      <c r="E28" s="301"/>
      <c r="F28" s="302"/>
      <c r="G28" s="318">
        <f>G29</f>
        <v>481761</v>
      </c>
      <c r="H28" s="318">
        <f>H29</f>
        <v>33888.116000000002</v>
      </c>
      <c r="I28" s="318">
        <f t="shared" ref="I28:R28" si="11">I29</f>
        <v>79506.45</v>
      </c>
      <c r="J28" s="318">
        <f t="shared" si="11"/>
        <v>3316</v>
      </c>
      <c r="K28" s="318">
        <f t="shared" si="11"/>
        <v>25904.704000000002</v>
      </c>
      <c r="L28" s="318">
        <f t="shared" si="11"/>
        <v>23306.476999999999</v>
      </c>
      <c r="M28" s="318">
        <f t="shared" si="11"/>
        <v>0</v>
      </c>
      <c r="N28" s="318">
        <f t="shared" si="11"/>
        <v>0</v>
      </c>
      <c r="O28" s="318">
        <f t="shared" si="11"/>
        <v>33888.116000000002</v>
      </c>
      <c r="P28" s="318">
        <f t="shared" si="11"/>
        <v>0</v>
      </c>
      <c r="Q28" s="304"/>
      <c r="R28" s="318">
        <f t="shared" si="11"/>
        <v>39873.701000000001</v>
      </c>
      <c r="S28" s="305"/>
      <c r="T28" s="83"/>
      <c r="U28" s="83"/>
      <c r="V28" s="141"/>
      <c r="AH28" s="365"/>
      <c r="AI28" s="365"/>
    </row>
    <row r="29" spans="1:49" ht="19.149999999999999" customHeight="1" x14ac:dyDescent="0.2">
      <c r="A29" s="323" t="s">
        <v>452</v>
      </c>
      <c r="B29" s="324" t="s">
        <v>461</v>
      </c>
      <c r="C29" s="324"/>
      <c r="D29" s="324"/>
      <c r="E29" s="324"/>
      <c r="F29" s="325"/>
      <c r="G29" s="326">
        <f t="shared" ref="G29:P29" si="12">G30+G75</f>
        <v>481761</v>
      </c>
      <c r="H29" s="326">
        <f t="shared" si="12"/>
        <v>33888.116000000002</v>
      </c>
      <c r="I29" s="326">
        <f t="shared" si="12"/>
        <v>79506.45</v>
      </c>
      <c r="J29" s="326">
        <f t="shared" si="12"/>
        <v>3316</v>
      </c>
      <c r="K29" s="326">
        <f t="shared" si="12"/>
        <v>25904.704000000002</v>
      </c>
      <c r="L29" s="326">
        <f t="shared" si="12"/>
        <v>23306.476999999999</v>
      </c>
      <c r="M29" s="326">
        <f t="shared" si="12"/>
        <v>0</v>
      </c>
      <c r="N29" s="326">
        <f t="shared" si="12"/>
        <v>0</v>
      </c>
      <c r="O29" s="326">
        <f t="shared" si="12"/>
        <v>33888.116000000002</v>
      </c>
      <c r="P29" s="326">
        <f t="shared" si="12"/>
        <v>0</v>
      </c>
      <c r="Q29" s="327"/>
      <c r="R29" s="326">
        <f>R30+R75</f>
        <v>39873.701000000001</v>
      </c>
      <c r="S29" s="328"/>
      <c r="T29" s="83"/>
      <c r="U29" s="83"/>
      <c r="V29" s="141"/>
      <c r="AH29" s="365"/>
      <c r="AI29" s="365"/>
    </row>
    <row r="30" spans="1:49" ht="19.149999999999999" customHeight="1" x14ac:dyDescent="0.2">
      <c r="A30" s="329" t="s">
        <v>529</v>
      </c>
      <c r="B30" s="330" t="s">
        <v>14</v>
      </c>
      <c r="C30" s="330"/>
      <c r="D30" s="330"/>
      <c r="E30" s="330"/>
      <c r="F30" s="331"/>
      <c r="G30" s="332">
        <f>G31+G36+G37+G41+G50+G54+G61+G64</f>
        <v>467809</v>
      </c>
      <c r="H30" s="332">
        <f t="shared" ref="H30:R30" si="13">H31+H36+H37+H41+H50+H54+H61+H64</f>
        <v>27272.116000000002</v>
      </c>
      <c r="I30" s="332">
        <f t="shared" si="13"/>
        <v>76000.584999999992</v>
      </c>
      <c r="J30" s="332">
        <f t="shared" si="13"/>
        <v>740</v>
      </c>
      <c r="K30" s="332">
        <f t="shared" si="13"/>
        <v>22522.561000000002</v>
      </c>
      <c r="L30" s="332">
        <f t="shared" si="13"/>
        <v>20674.333999999999</v>
      </c>
      <c r="M30" s="332">
        <f t="shared" si="13"/>
        <v>0</v>
      </c>
      <c r="N30" s="332">
        <f t="shared" si="13"/>
        <v>0</v>
      </c>
      <c r="O30" s="332">
        <f t="shared" si="13"/>
        <v>27272.116000000002</v>
      </c>
      <c r="P30" s="332">
        <f t="shared" si="13"/>
        <v>0</v>
      </c>
      <c r="Q30" s="364">
        <f>K30/H30%</f>
        <v>82.584574662266775</v>
      </c>
      <c r="R30" s="332">
        <f t="shared" si="13"/>
        <v>34876.300999999999</v>
      </c>
      <c r="S30" s="333"/>
      <c r="T30" s="83"/>
      <c r="U30" s="83"/>
      <c r="X30" s="77" t="e">
        <f>H30+#REF!+H81</f>
        <v>#REF!</v>
      </c>
      <c r="Z30" s="77" t="e">
        <f>#REF!+K30+#REF!</f>
        <v>#REF!</v>
      </c>
      <c r="AA30" s="74" t="e">
        <f>Z30/X30*100</f>
        <v>#REF!</v>
      </c>
      <c r="AH30" s="365"/>
      <c r="AI30" s="365"/>
    </row>
    <row r="31" spans="1:49" s="82" customFormat="1" ht="19.149999999999999" customHeight="1" x14ac:dyDescent="0.2">
      <c r="A31" s="306" t="str">
        <f>'Bieu CKGN (ko in)'!A28</f>
        <v>a</v>
      </c>
      <c r="B31" s="307" t="s">
        <v>432</v>
      </c>
      <c r="C31" s="307"/>
      <c r="D31" s="307"/>
      <c r="E31" s="307"/>
      <c r="F31" s="260"/>
      <c r="G31" s="334">
        <f>SUM(G32:G35)</f>
        <v>294602</v>
      </c>
      <c r="H31" s="334">
        <f t="shared" ref="H31:R31" si="14">SUM(H32:H35)</f>
        <v>1188.3089999999997</v>
      </c>
      <c r="I31" s="334">
        <f t="shared" si="14"/>
        <v>0</v>
      </c>
      <c r="J31" s="334">
        <f t="shared" si="14"/>
        <v>0</v>
      </c>
      <c r="K31" s="334">
        <f t="shared" si="14"/>
        <v>689.40199999999993</v>
      </c>
      <c r="L31" s="334">
        <f t="shared" si="14"/>
        <v>689.40199999999993</v>
      </c>
      <c r="M31" s="334">
        <f t="shared" si="14"/>
        <v>0</v>
      </c>
      <c r="N31" s="334">
        <f t="shared" si="14"/>
        <v>0</v>
      </c>
      <c r="O31" s="334">
        <f t="shared" si="14"/>
        <v>1188.3089999999997</v>
      </c>
      <c r="P31" s="334">
        <f t="shared" si="14"/>
        <v>0</v>
      </c>
      <c r="Q31" s="335"/>
      <c r="R31" s="334">
        <f t="shared" si="14"/>
        <v>0</v>
      </c>
      <c r="S31" s="310"/>
      <c r="T31" s="129"/>
      <c r="U31" s="129"/>
      <c r="V31" s="119"/>
      <c r="AB31" s="112"/>
      <c r="AC31" s="112"/>
      <c r="AD31" s="112"/>
      <c r="AE31" s="112"/>
      <c r="AF31" s="112"/>
      <c r="AG31" s="112"/>
      <c r="AH31" s="365"/>
      <c r="AI31" s="365"/>
      <c r="AJ31" s="112"/>
      <c r="AK31" s="112"/>
      <c r="AL31" s="112"/>
      <c r="AM31" s="112"/>
      <c r="AN31" s="112"/>
      <c r="AO31" s="112"/>
      <c r="AP31" s="112"/>
      <c r="AQ31" s="112"/>
    </row>
    <row r="32" spans="1:49" s="107" customFormat="1" ht="45" x14ac:dyDescent="0.2">
      <c r="A32" s="208">
        <v>1</v>
      </c>
      <c r="B32" s="242" t="s">
        <v>433</v>
      </c>
      <c r="C32" s="451" t="s">
        <v>260</v>
      </c>
      <c r="D32" s="618" t="s">
        <v>437</v>
      </c>
      <c r="E32" s="619" t="s">
        <v>439</v>
      </c>
      <c r="F32" s="620" t="s">
        <v>441</v>
      </c>
      <c r="G32" s="314">
        <v>14000</v>
      </c>
      <c r="H32" s="222">
        <v>473.98399999999998</v>
      </c>
      <c r="I32" s="230">
        <f>+J32</f>
        <v>0</v>
      </c>
      <c r="J32" s="230"/>
      <c r="K32" s="225">
        <v>473.98399999999998</v>
      </c>
      <c r="L32" s="336">
        <v>473.98399999999998</v>
      </c>
      <c r="M32" s="336"/>
      <c r="N32" s="336"/>
      <c r="O32" s="222">
        <v>473.98399999999998</v>
      </c>
      <c r="P32" s="336"/>
      <c r="Q32" s="230"/>
      <c r="R32" s="230"/>
      <c r="S32" s="315"/>
      <c r="T32" s="83"/>
      <c r="U32" s="83"/>
      <c r="V32" s="118" t="s">
        <v>124</v>
      </c>
      <c r="W32" s="133" t="s">
        <v>268</v>
      </c>
      <c r="X32" s="74"/>
      <c r="Y32" s="74"/>
      <c r="Z32" s="74"/>
      <c r="AA32" s="74"/>
      <c r="AB32" s="103"/>
      <c r="AC32" s="370"/>
      <c r="AD32" s="370"/>
      <c r="AE32" s="370"/>
      <c r="AF32" s="370"/>
      <c r="AG32" s="103"/>
      <c r="AH32" s="365"/>
      <c r="AI32" s="365"/>
      <c r="AJ32" s="103"/>
      <c r="AK32" s="103"/>
      <c r="AL32" s="103"/>
      <c r="AM32" s="103"/>
      <c r="AN32" s="103"/>
      <c r="AO32" s="103"/>
      <c r="AP32" s="103"/>
      <c r="AQ32" s="103"/>
      <c r="AR32" s="74"/>
      <c r="AS32" s="74"/>
      <c r="AT32" s="74"/>
      <c r="AU32" s="74"/>
      <c r="AV32" s="74"/>
      <c r="AW32" s="74"/>
    </row>
    <row r="33" spans="1:49" s="108" customFormat="1" ht="30" x14ac:dyDescent="0.2">
      <c r="A33" s="208">
        <v>2</v>
      </c>
      <c r="B33" s="242" t="s">
        <v>434</v>
      </c>
      <c r="C33" s="451" t="s">
        <v>259</v>
      </c>
      <c r="D33" s="219" t="s">
        <v>438</v>
      </c>
      <c r="E33" s="219" t="s">
        <v>440</v>
      </c>
      <c r="F33" s="621" t="s">
        <v>442</v>
      </c>
      <c r="G33" s="314">
        <v>211656</v>
      </c>
      <c r="H33" s="222">
        <v>146.08000000000001</v>
      </c>
      <c r="I33" s="230">
        <f t="shared" ref="I33:I35" si="15">+J33</f>
        <v>0</v>
      </c>
      <c r="J33" s="230"/>
      <c r="K33" s="225">
        <v>146.08000000000001</v>
      </c>
      <c r="L33" s="225">
        <v>146.08000000000001</v>
      </c>
      <c r="M33" s="225"/>
      <c r="N33" s="225"/>
      <c r="O33" s="222">
        <v>146.08000000000001</v>
      </c>
      <c r="P33" s="225"/>
      <c r="Q33" s="230"/>
      <c r="R33" s="230"/>
      <c r="S33" s="315"/>
      <c r="T33" s="83"/>
      <c r="U33" s="83"/>
      <c r="V33" s="118" t="s">
        <v>124</v>
      </c>
      <c r="W33" s="133" t="s">
        <v>268</v>
      </c>
      <c r="X33" s="74"/>
      <c r="Y33" s="74"/>
      <c r="Z33" s="74"/>
      <c r="AA33" s="74"/>
      <c r="AB33" s="103"/>
      <c r="AC33" s="371"/>
      <c r="AD33" s="371"/>
      <c r="AE33" s="371"/>
      <c r="AF33" s="371"/>
      <c r="AG33" s="103"/>
      <c r="AH33" s="365"/>
      <c r="AI33" s="365"/>
      <c r="AJ33" s="103"/>
      <c r="AK33" s="103"/>
      <c r="AL33" s="103"/>
      <c r="AM33" s="103"/>
      <c r="AN33" s="103"/>
      <c r="AO33" s="103"/>
      <c r="AP33" s="103"/>
      <c r="AQ33" s="103"/>
      <c r="AR33" s="74"/>
      <c r="AS33" s="74"/>
      <c r="AT33" s="74"/>
      <c r="AU33" s="74"/>
      <c r="AV33" s="74"/>
      <c r="AW33" s="74"/>
    </row>
    <row r="34" spans="1:49" s="108" customFormat="1" ht="30" x14ac:dyDescent="0.2">
      <c r="A34" s="208">
        <v>3</v>
      </c>
      <c r="B34" s="242" t="s">
        <v>435</v>
      </c>
      <c r="C34" s="451" t="s">
        <v>257</v>
      </c>
      <c r="D34" s="219"/>
      <c r="E34" s="219"/>
      <c r="F34" s="621" t="s">
        <v>443</v>
      </c>
      <c r="G34" s="314">
        <v>68046</v>
      </c>
      <c r="H34" s="222">
        <v>444</v>
      </c>
      <c r="I34" s="230">
        <f t="shared" si="15"/>
        <v>0</v>
      </c>
      <c r="J34" s="230"/>
      <c r="K34" s="225">
        <f t="shared" ref="K34" si="16">L34</f>
        <v>0</v>
      </c>
      <c r="L34" s="225"/>
      <c r="M34" s="225"/>
      <c r="N34" s="225"/>
      <c r="O34" s="222">
        <v>444</v>
      </c>
      <c r="P34" s="225"/>
      <c r="Q34" s="230"/>
      <c r="R34" s="230"/>
      <c r="S34" s="315"/>
      <c r="T34" s="83"/>
      <c r="U34" s="83"/>
      <c r="V34" s="118" t="s">
        <v>124</v>
      </c>
      <c r="W34" s="133" t="s">
        <v>268</v>
      </c>
      <c r="X34" s="74"/>
      <c r="Y34" s="74"/>
      <c r="Z34" s="74"/>
      <c r="AA34" s="74"/>
      <c r="AB34" s="103"/>
      <c r="AC34" s="371"/>
      <c r="AD34" s="371"/>
      <c r="AE34" s="371"/>
      <c r="AF34" s="371"/>
      <c r="AG34" s="103"/>
      <c r="AH34" s="365"/>
      <c r="AI34" s="365"/>
      <c r="AJ34" s="103"/>
      <c r="AK34" s="103"/>
      <c r="AL34" s="103"/>
      <c r="AM34" s="103"/>
      <c r="AN34" s="103"/>
      <c r="AO34" s="103"/>
      <c r="AP34" s="103"/>
      <c r="AQ34" s="103"/>
      <c r="AR34" s="74"/>
      <c r="AS34" s="74"/>
      <c r="AT34" s="74"/>
      <c r="AU34" s="74"/>
      <c r="AV34" s="74"/>
      <c r="AW34" s="74"/>
    </row>
    <row r="35" spans="1:49" s="108" customFormat="1" ht="30" x14ac:dyDescent="0.2">
      <c r="A35" s="208">
        <v>4</v>
      </c>
      <c r="B35" s="242" t="s">
        <v>436</v>
      </c>
      <c r="C35" s="451" t="s">
        <v>258</v>
      </c>
      <c r="D35" s="219"/>
      <c r="E35" s="219"/>
      <c r="F35" s="621" t="s">
        <v>444</v>
      </c>
      <c r="G35" s="314">
        <v>900</v>
      </c>
      <c r="H35" s="222">
        <v>124.245</v>
      </c>
      <c r="I35" s="230">
        <f t="shared" si="15"/>
        <v>0</v>
      </c>
      <c r="J35" s="230"/>
      <c r="K35" s="225">
        <v>69.337999999999994</v>
      </c>
      <c r="L35" s="225">
        <v>69.337999999999994</v>
      </c>
      <c r="M35" s="225"/>
      <c r="N35" s="225"/>
      <c r="O35" s="222">
        <v>124.245</v>
      </c>
      <c r="P35" s="225"/>
      <c r="Q35" s="230"/>
      <c r="R35" s="230"/>
      <c r="S35" s="337"/>
      <c r="T35" s="142"/>
      <c r="U35" s="142"/>
      <c r="V35" s="118" t="s">
        <v>124</v>
      </c>
      <c r="W35" s="133" t="s">
        <v>268</v>
      </c>
      <c r="X35" s="77"/>
      <c r="Y35" s="74"/>
      <c r="Z35" s="74"/>
      <c r="AA35" s="74"/>
      <c r="AB35" s="103"/>
      <c r="AC35" s="371"/>
      <c r="AD35" s="371"/>
      <c r="AE35" s="371"/>
      <c r="AF35" s="371"/>
      <c r="AG35" s="103"/>
      <c r="AH35" s="365"/>
      <c r="AI35" s="365"/>
      <c r="AJ35" s="103"/>
      <c r="AK35" s="103"/>
      <c r="AL35" s="103"/>
      <c r="AM35" s="103"/>
      <c r="AN35" s="103"/>
      <c r="AO35" s="103"/>
      <c r="AP35" s="103"/>
      <c r="AQ35" s="103"/>
      <c r="AR35" s="74"/>
      <c r="AS35" s="74"/>
      <c r="AT35" s="74"/>
      <c r="AU35" s="74"/>
      <c r="AV35" s="74"/>
      <c r="AW35" s="74"/>
    </row>
    <row r="36" spans="1:49" s="107" customFormat="1" ht="15" x14ac:dyDescent="0.2">
      <c r="A36" s="306" t="s">
        <v>30</v>
      </c>
      <c r="B36" s="622" t="s">
        <v>596</v>
      </c>
      <c r="C36" s="218"/>
      <c r="D36" s="407"/>
      <c r="E36" s="407"/>
      <c r="F36" s="219"/>
      <c r="G36" s="314"/>
      <c r="H36" s="314"/>
      <c r="I36" s="230"/>
      <c r="J36" s="230"/>
      <c r="K36" s="244"/>
      <c r="L36" s="244"/>
      <c r="M36" s="244"/>
      <c r="N36" s="244"/>
      <c r="O36" s="314"/>
      <c r="P36" s="244"/>
      <c r="Q36" s="230"/>
      <c r="R36" s="335">
        <v>2500</v>
      </c>
      <c r="S36" s="315"/>
      <c r="T36" s="142"/>
      <c r="U36" s="142"/>
      <c r="V36" s="118"/>
      <c r="W36" s="133"/>
      <c r="X36" s="77"/>
      <c r="Y36" s="74"/>
      <c r="Z36" s="74"/>
      <c r="AA36" s="74"/>
      <c r="AB36" s="103"/>
      <c r="AC36" s="370"/>
      <c r="AD36" s="370"/>
      <c r="AE36" s="370"/>
      <c r="AF36" s="370"/>
      <c r="AG36" s="103"/>
      <c r="AH36" s="365"/>
      <c r="AI36" s="365"/>
      <c r="AJ36" s="103"/>
      <c r="AK36" s="103"/>
      <c r="AL36" s="103"/>
      <c r="AM36" s="103"/>
      <c r="AN36" s="103"/>
      <c r="AO36" s="103"/>
      <c r="AP36" s="103"/>
      <c r="AQ36" s="103"/>
      <c r="AR36" s="74"/>
      <c r="AS36" s="74"/>
      <c r="AT36" s="74"/>
      <c r="AU36" s="74"/>
      <c r="AV36" s="74"/>
      <c r="AW36" s="74"/>
    </row>
    <row r="37" spans="1:49" s="109" customFormat="1" ht="30" x14ac:dyDescent="0.2">
      <c r="A37" s="306" t="s">
        <v>32</v>
      </c>
      <c r="B37" s="307" t="str">
        <f>'Bieu CKGN (ko in)'!B35</f>
        <v>Dự án hoàn thành bàn giao, đưa vào sử dụng trước ngày 31/12/2021</v>
      </c>
      <c r="C37" s="307"/>
      <c r="D37" s="307"/>
      <c r="E37" s="307"/>
      <c r="F37" s="260"/>
      <c r="G37" s="311">
        <f>SUM(G38:G40)</f>
        <v>20747</v>
      </c>
      <c r="H37" s="311">
        <f t="shared" ref="H37:R37" si="17">SUM(H38:H40)</f>
        <v>370.93799999999999</v>
      </c>
      <c r="I37" s="335">
        <f>SUM(I38:I40)</f>
        <v>20138</v>
      </c>
      <c r="J37" s="335">
        <f>SUM(J38:J40)</f>
        <v>0</v>
      </c>
      <c r="K37" s="335">
        <f t="shared" si="17"/>
        <v>359.20899999999995</v>
      </c>
      <c r="L37" s="335">
        <f t="shared" si="17"/>
        <v>221.143</v>
      </c>
      <c r="M37" s="335">
        <f t="shared" si="17"/>
        <v>0</v>
      </c>
      <c r="N37" s="335">
        <f t="shared" si="17"/>
        <v>0</v>
      </c>
      <c r="O37" s="335">
        <f t="shared" si="17"/>
        <v>370.93799999999999</v>
      </c>
      <c r="P37" s="335">
        <f t="shared" si="17"/>
        <v>0</v>
      </c>
      <c r="Q37" s="335"/>
      <c r="R37" s="335">
        <f t="shared" si="17"/>
        <v>0</v>
      </c>
      <c r="S37" s="310"/>
      <c r="T37" s="129"/>
      <c r="U37" s="129"/>
      <c r="V37" s="119"/>
      <c r="W37" s="82"/>
      <c r="X37" s="82"/>
      <c r="Y37" s="82"/>
      <c r="Z37" s="82"/>
      <c r="AA37" s="82"/>
      <c r="AB37" s="112"/>
      <c r="AC37" s="372"/>
      <c r="AD37" s="372"/>
      <c r="AE37" s="372"/>
      <c r="AF37" s="372"/>
      <c r="AG37" s="112"/>
      <c r="AH37" s="365"/>
      <c r="AI37" s="365"/>
      <c r="AJ37" s="112"/>
      <c r="AK37" s="112"/>
      <c r="AL37" s="112"/>
      <c r="AM37" s="112"/>
      <c r="AN37" s="112"/>
      <c r="AO37" s="112"/>
      <c r="AP37" s="112"/>
      <c r="AQ37" s="112"/>
      <c r="AR37" s="82"/>
      <c r="AS37" s="82"/>
      <c r="AT37" s="82"/>
      <c r="AU37" s="82"/>
      <c r="AV37" s="82"/>
      <c r="AW37" s="82"/>
    </row>
    <row r="38" spans="1:49" s="108" customFormat="1" ht="30" x14ac:dyDescent="0.2">
      <c r="A38" s="208">
        <f>'Bieu CKGN (ko in)'!A36</f>
        <v>1</v>
      </c>
      <c r="B38" s="242" t="str">
        <f>'Bieu CKGN (ko in)'!B36</f>
        <v>Mặt bằng hạ tầng kỹ thuật điểm ĐCĐC  Là Si, xã Tá Bạ</v>
      </c>
      <c r="C38" s="218" t="s">
        <v>144</v>
      </c>
      <c r="D38" s="242"/>
      <c r="E38" s="242"/>
      <c r="F38" s="219" t="str">
        <f>'Bieu CKGN (ko in)'!C36</f>
        <v>2048-31/10/18</v>
      </c>
      <c r="G38" s="314">
        <f>'Bieu CKGN (ko in)'!D36</f>
        <v>6997</v>
      </c>
      <c r="H38" s="320">
        <v>168.69800000000001</v>
      </c>
      <c r="I38" s="338">
        <f>6650+J38</f>
        <v>6650</v>
      </c>
      <c r="J38" s="230"/>
      <c r="K38" s="244">
        <v>168.69799999999998</v>
      </c>
      <c r="L38" s="244">
        <v>46.744</v>
      </c>
      <c r="M38" s="244"/>
      <c r="N38" s="244"/>
      <c r="O38" s="437">
        <v>168.69800000000001</v>
      </c>
      <c r="P38" s="244"/>
      <c r="Q38" s="230"/>
      <c r="R38" s="230"/>
      <c r="S38" s="315"/>
      <c r="T38" s="83"/>
      <c r="U38" s="83"/>
      <c r="V38" s="118" t="s">
        <v>125</v>
      </c>
      <c r="W38" s="133" t="s">
        <v>268</v>
      </c>
      <c r="X38" s="74"/>
      <c r="Y38" s="74"/>
      <c r="Z38" s="74"/>
      <c r="AA38" s="74"/>
      <c r="AB38" s="103">
        <f>1000</f>
        <v>1000</v>
      </c>
      <c r="AC38" s="371">
        <f>AA38+AB38</f>
        <v>1000</v>
      </c>
      <c r="AD38" s="371"/>
      <c r="AE38" s="371"/>
      <c r="AF38" s="371"/>
      <c r="AG38" s="103"/>
      <c r="AH38" s="365">
        <f t="shared" ref="AH38:AI40" si="18">H38-K38</f>
        <v>0</v>
      </c>
      <c r="AI38" s="365">
        <f t="shared" si="18"/>
        <v>6603.2560000000003</v>
      </c>
      <c r="AJ38" s="103"/>
      <c r="AK38" s="103"/>
      <c r="AL38" s="103"/>
      <c r="AM38" s="103"/>
      <c r="AN38" s="103"/>
      <c r="AO38" s="103"/>
      <c r="AP38" s="103"/>
      <c r="AQ38" s="103"/>
      <c r="AR38" s="74"/>
      <c r="AS38" s="74"/>
      <c r="AT38" s="74"/>
      <c r="AU38" s="74"/>
      <c r="AV38" s="74"/>
      <c r="AW38" s="74"/>
    </row>
    <row r="39" spans="1:49" s="108" customFormat="1" ht="30" x14ac:dyDescent="0.2">
      <c r="A39" s="208">
        <f>'Bieu CKGN (ko in)'!A37</f>
        <v>2</v>
      </c>
      <c r="B39" s="242" t="str">
        <f>'Bieu CKGN (ko in)'!B37</f>
        <v>Xây dựng phòng họp Huyện ủy, huyện Mường Tè</v>
      </c>
      <c r="C39" s="218" t="s">
        <v>140</v>
      </c>
      <c r="D39" s="242"/>
      <c r="E39" s="219" t="s">
        <v>161</v>
      </c>
      <c r="F39" s="219" t="str">
        <f>'Bieu CKGN (ko in)'!C37</f>
        <v>2824-18/10/19</v>
      </c>
      <c r="G39" s="314">
        <f>'Bieu CKGN (ko in)'!D37</f>
        <v>6800</v>
      </c>
      <c r="H39" s="320">
        <v>153.24</v>
      </c>
      <c r="I39" s="338">
        <f>6788+J39</f>
        <v>6788</v>
      </c>
      <c r="J39" s="230"/>
      <c r="K39" s="225">
        <v>141.511</v>
      </c>
      <c r="L39" s="222">
        <v>125.399</v>
      </c>
      <c r="M39" s="222"/>
      <c r="N39" s="222"/>
      <c r="O39" s="437">
        <v>153.24</v>
      </c>
      <c r="P39" s="222"/>
      <c r="Q39" s="230"/>
      <c r="R39" s="230"/>
      <c r="S39" s="315"/>
      <c r="T39" s="83"/>
      <c r="U39" s="83"/>
      <c r="V39" s="118" t="s">
        <v>125</v>
      </c>
      <c r="W39" s="133" t="s">
        <v>268</v>
      </c>
      <c r="X39" s="74"/>
      <c r="Y39" s="74"/>
      <c r="Z39" s="74"/>
      <c r="AA39" s="74"/>
      <c r="AB39" s="103"/>
      <c r="AC39" s="371"/>
      <c r="AD39" s="371"/>
      <c r="AE39" s="371"/>
      <c r="AF39" s="371"/>
      <c r="AG39" s="103"/>
      <c r="AH39" s="365">
        <f t="shared" si="18"/>
        <v>11.729000000000013</v>
      </c>
      <c r="AI39" s="365">
        <f t="shared" si="18"/>
        <v>6662.6009999999997</v>
      </c>
      <c r="AJ39" s="103"/>
      <c r="AK39" s="103"/>
      <c r="AL39" s="103"/>
      <c r="AM39" s="103"/>
      <c r="AN39" s="103"/>
      <c r="AO39" s="103"/>
      <c r="AP39" s="103"/>
      <c r="AQ39" s="103"/>
      <c r="AR39" s="74"/>
      <c r="AS39" s="74"/>
      <c r="AT39" s="74"/>
      <c r="AU39" s="74"/>
      <c r="AV39" s="74"/>
      <c r="AW39" s="74"/>
    </row>
    <row r="40" spans="1:49" s="108" customFormat="1" ht="75" x14ac:dyDescent="0.2">
      <c r="A40" s="208">
        <f>'Bieu CKGN (ko in)'!A38</f>
        <v>3</v>
      </c>
      <c r="B40" s="242" t="str">
        <f>'Bieu CKGN (ko in)'!B38</f>
        <v>Sắp xếp dân cư vùng thiên tai bản Pa Thoóng trên với bản Đầu Nậm Xả</v>
      </c>
      <c r="C40" s="218" t="s">
        <v>145</v>
      </c>
      <c r="D40" s="218" t="s">
        <v>150</v>
      </c>
      <c r="E40" s="219" t="s">
        <v>161</v>
      </c>
      <c r="F40" s="219" t="str">
        <f>'Bieu CKGN (ko in)'!C38</f>
        <v>2946a/31.10.19</v>
      </c>
      <c r="G40" s="314">
        <f>'Bieu CKGN (ko in)'!D38</f>
        <v>6950</v>
      </c>
      <c r="H40" s="320">
        <v>49</v>
      </c>
      <c r="I40" s="339">
        <f>6700+J40</f>
        <v>6700</v>
      </c>
      <c r="J40" s="230"/>
      <c r="K40" s="225">
        <v>49</v>
      </c>
      <c r="L40" s="225">
        <v>49</v>
      </c>
      <c r="M40" s="225"/>
      <c r="N40" s="225"/>
      <c r="O40" s="437">
        <v>49</v>
      </c>
      <c r="P40" s="225"/>
      <c r="Q40" s="230"/>
      <c r="R40" s="230"/>
      <c r="S40" s="315"/>
      <c r="T40" s="83"/>
      <c r="U40" s="83"/>
      <c r="V40" s="118" t="s">
        <v>125</v>
      </c>
      <c r="W40" s="133" t="s">
        <v>268</v>
      </c>
      <c r="X40" s="74"/>
      <c r="Y40" s="74"/>
      <c r="Z40" s="74"/>
      <c r="AA40" s="74"/>
      <c r="AB40" s="103"/>
      <c r="AC40" s="371"/>
      <c r="AD40" s="371"/>
      <c r="AE40" s="371"/>
      <c r="AF40" s="371"/>
      <c r="AG40" s="103"/>
      <c r="AH40" s="365">
        <f t="shared" si="18"/>
        <v>0</v>
      </c>
      <c r="AI40" s="365">
        <f t="shared" si="18"/>
        <v>6651</v>
      </c>
      <c r="AJ40" s="103"/>
      <c r="AK40" s="103"/>
      <c r="AL40" s="103"/>
      <c r="AM40" s="103"/>
      <c r="AN40" s="103"/>
      <c r="AO40" s="103"/>
      <c r="AP40" s="103"/>
      <c r="AQ40" s="103"/>
      <c r="AR40" s="74"/>
      <c r="AS40" s="74"/>
      <c r="AT40" s="74"/>
      <c r="AU40" s="74"/>
      <c r="AV40" s="74"/>
      <c r="AW40" s="74"/>
    </row>
    <row r="41" spans="1:49" s="110" customFormat="1" ht="15" x14ac:dyDescent="0.2">
      <c r="A41" s="306" t="s">
        <v>36</v>
      </c>
      <c r="B41" s="307" t="s">
        <v>445</v>
      </c>
      <c r="C41" s="307"/>
      <c r="D41" s="307"/>
      <c r="E41" s="307"/>
      <c r="F41" s="204"/>
      <c r="G41" s="311">
        <f>SUM(G42:G49)</f>
        <v>31350</v>
      </c>
      <c r="H41" s="311">
        <f t="shared" ref="H41:R41" si="19">SUM(H42:H49)</f>
        <v>5432.5780000000004</v>
      </c>
      <c r="I41" s="335">
        <f>SUM(I42:I49)</f>
        <v>30658.495999999999</v>
      </c>
      <c r="J41" s="335">
        <f t="shared" si="19"/>
        <v>0</v>
      </c>
      <c r="K41" s="335">
        <f t="shared" si="19"/>
        <v>5326.7350000000006</v>
      </c>
      <c r="L41" s="335">
        <f t="shared" si="19"/>
        <v>5166.5739999999996</v>
      </c>
      <c r="M41" s="335">
        <f t="shared" si="19"/>
        <v>0</v>
      </c>
      <c r="N41" s="335">
        <f t="shared" si="19"/>
        <v>0</v>
      </c>
      <c r="O41" s="335">
        <f t="shared" si="19"/>
        <v>5432.5780000000004</v>
      </c>
      <c r="P41" s="335">
        <f t="shared" si="19"/>
        <v>0</v>
      </c>
      <c r="Q41" s="335"/>
      <c r="R41" s="335">
        <f t="shared" si="19"/>
        <v>0</v>
      </c>
      <c r="S41" s="310"/>
      <c r="T41" s="129"/>
      <c r="U41" s="129"/>
      <c r="V41" s="119"/>
      <c r="W41" s="82"/>
      <c r="X41" s="82"/>
      <c r="Y41" s="82"/>
      <c r="Z41" s="82"/>
      <c r="AA41" s="82"/>
      <c r="AB41" s="112"/>
      <c r="AC41" s="373"/>
      <c r="AD41" s="373"/>
      <c r="AE41" s="373"/>
      <c r="AF41" s="373"/>
      <c r="AG41" s="112"/>
      <c r="AH41" s="365"/>
      <c r="AI41" s="365"/>
      <c r="AJ41" s="112"/>
      <c r="AK41" s="112"/>
      <c r="AL41" s="112"/>
      <c r="AM41" s="112"/>
      <c r="AN41" s="112"/>
      <c r="AO41" s="112"/>
      <c r="AP41" s="112"/>
      <c r="AQ41" s="112"/>
      <c r="AR41" s="82"/>
      <c r="AS41" s="82"/>
      <c r="AT41" s="82"/>
      <c r="AU41" s="82"/>
      <c r="AV41" s="82"/>
      <c r="AW41" s="82"/>
    </row>
    <row r="42" spans="1:49" ht="75" x14ac:dyDescent="0.2">
      <c r="A42" s="208">
        <f>'Bieu CKGN (ko in)'!A40</f>
        <v>1</v>
      </c>
      <c r="B42" s="242" t="str">
        <f>'Bieu CKGN (ko in)'!B40</f>
        <v>Xây dựng bổ sung trường PTDTBT TH, THCS xã Can Hồ</v>
      </c>
      <c r="C42" s="218" t="s">
        <v>146</v>
      </c>
      <c r="D42" s="218" t="s">
        <v>151</v>
      </c>
      <c r="E42" s="219" t="s">
        <v>162</v>
      </c>
      <c r="F42" s="219" t="str">
        <f>'Bieu CKGN (ko in)'!C40</f>
        <v>3557-31/12/2020</v>
      </c>
      <c r="G42" s="314">
        <f>'Bieu CKGN (ko in)'!D40</f>
        <v>6000</v>
      </c>
      <c r="H42" s="320">
        <v>1057.4949999999999</v>
      </c>
      <c r="I42" s="230">
        <f>5980.496+J42</f>
        <v>5980.4960000000001</v>
      </c>
      <c r="J42" s="230"/>
      <c r="K42" s="225">
        <v>1057.232</v>
      </c>
      <c r="L42" s="225">
        <v>1057.232</v>
      </c>
      <c r="M42" s="225"/>
      <c r="N42" s="225"/>
      <c r="O42" s="225">
        <v>1057.4949999999999</v>
      </c>
      <c r="P42" s="225"/>
      <c r="Q42" s="230"/>
      <c r="R42" s="244"/>
      <c r="S42" s="315"/>
      <c r="T42" s="83"/>
      <c r="U42" s="83"/>
      <c r="V42" s="118" t="s">
        <v>125</v>
      </c>
      <c r="W42" s="133" t="s">
        <v>268</v>
      </c>
      <c r="AH42" s="365">
        <f t="shared" ref="AH42:AI49" si="20">H42-K42</f>
        <v>0.26299999999991996</v>
      </c>
      <c r="AI42" s="365">
        <f t="shared" si="20"/>
        <v>4923.2640000000001</v>
      </c>
    </row>
    <row r="43" spans="1:49" ht="75" x14ac:dyDescent="0.2">
      <c r="A43" s="208">
        <f>'Bieu CKGN (ko in)'!A41</f>
        <v>2</v>
      </c>
      <c r="B43" s="242" t="str">
        <f>'Bieu CKGN (ko in)'!B41</f>
        <v>Nhà hiệu bộ, phòng học chức năng trường THCS Thu Lũm</v>
      </c>
      <c r="C43" s="218" t="s">
        <v>143</v>
      </c>
      <c r="D43" s="218" t="s">
        <v>152</v>
      </c>
      <c r="E43" s="219" t="s">
        <v>162</v>
      </c>
      <c r="F43" s="219" t="str">
        <f>'Bieu CKGN (ko in)'!C41</f>
        <v>3559-31/12/2020</v>
      </c>
      <c r="G43" s="314">
        <f>'Bieu CKGN (ko in)'!D41</f>
        <v>6500</v>
      </c>
      <c r="H43" s="320">
        <v>1296.989</v>
      </c>
      <c r="I43" s="230">
        <f>6497+J43</f>
        <v>6497</v>
      </c>
      <c r="J43" s="230"/>
      <c r="K43" s="225">
        <v>1296.9880000000001</v>
      </c>
      <c r="L43" s="225">
        <v>1296.9880000000001</v>
      </c>
      <c r="M43" s="225"/>
      <c r="N43" s="225"/>
      <c r="O43" s="225">
        <v>1296.989</v>
      </c>
      <c r="P43" s="225"/>
      <c r="Q43" s="230"/>
      <c r="R43" s="230"/>
      <c r="S43" s="315"/>
      <c r="T43" s="83"/>
      <c r="U43" s="83"/>
      <c r="V43" s="118" t="s">
        <v>125</v>
      </c>
      <c r="W43" s="133" t="s">
        <v>268</v>
      </c>
      <c r="X43" s="134"/>
      <c r="AH43" s="365">
        <f t="shared" si="20"/>
        <v>9.9999999997635314E-4</v>
      </c>
      <c r="AI43" s="365">
        <f t="shared" si="20"/>
        <v>5200.0119999999997</v>
      </c>
    </row>
    <row r="44" spans="1:49" ht="60" x14ac:dyDescent="0.2">
      <c r="A44" s="208">
        <f>'Bieu CKGN (ko in)'!A42</f>
        <v>3</v>
      </c>
      <c r="B44" s="242" t="str">
        <f>'Bieu CKGN (ko in)'!B42</f>
        <v>Phòng học chức năng trường TH, THCS Bum Nưa</v>
      </c>
      <c r="C44" s="218" t="s">
        <v>147</v>
      </c>
      <c r="D44" s="218" t="s">
        <v>153</v>
      </c>
      <c r="E44" s="219" t="s">
        <v>162</v>
      </c>
      <c r="F44" s="219" t="str">
        <f>'Bieu CKGN (ko in)'!C42</f>
        <v>3558-31/12/2020</v>
      </c>
      <c r="G44" s="314">
        <f>'Bieu CKGN (ko in)'!D42</f>
        <v>4200</v>
      </c>
      <c r="H44" s="320">
        <v>832.31899999999996</v>
      </c>
      <c r="I44" s="230">
        <f>4196+J44</f>
        <v>4196</v>
      </c>
      <c r="J44" s="230"/>
      <c r="K44" s="225">
        <v>827.31799999999998</v>
      </c>
      <c r="L44" s="225">
        <v>827.31799999999998</v>
      </c>
      <c r="M44" s="225"/>
      <c r="N44" s="225"/>
      <c r="O44" s="225">
        <v>832.31899999999996</v>
      </c>
      <c r="P44" s="225"/>
      <c r="Q44" s="230"/>
      <c r="R44" s="230"/>
      <c r="S44" s="315"/>
      <c r="T44" s="83"/>
      <c r="U44" s="83"/>
      <c r="V44" s="118" t="s">
        <v>125</v>
      </c>
      <c r="W44" s="133" t="s">
        <v>268</v>
      </c>
      <c r="X44" s="134"/>
      <c r="AH44" s="365">
        <f t="shared" si="20"/>
        <v>5.0009999999999764</v>
      </c>
      <c r="AI44" s="365">
        <f t="shared" si="20"/>
        <v>3368.6819999999998</v>
      </c>
    </row>
    <row r="45" spans="1:49" ht="30" x14ac:dyDescent="0.2">
      <c r="A45" s="208">
        <f>'Bieu CKGN (ko in)'!A43</f>
        <v>4</v>
      </c>
      <c r="B45" s="242" t="str">
        <f>'Bieu CKGN (ko in)'!B43</f>
        <v>Sửa chữa nhà lớp học, nhà bán trú và các HMPT trường THCS xã Mù Cả</v>
      </c>
      <c r="C45" s="219" t="s">
        <v>148</v>
      </c>
      <c r="D45" s="242"/>
      <c r="E45" s="219" t="s">
        <v>162</v>
      </c>
      <c r="F45" s="219" t="str">
        <f>'Bieu CKGN (ko in)'!C43</f>
        <v>3561-31/12/2020</v>
      </c>
      <c r="G45" s="314">
        <f>'Bieu CKGN (ko in)'!D43</f>
        <v>2050</v>
      </c>
      <c r="H45" s="320">
        <v>380</v>
      </c>
      <c r="I45" s="230">
        <f>1800+J45</f>
        <v>1800</v>
      </c>
      <c r="J45" s="230"/>
      <c r="K45" s="225">
        <v>303.88099999999997</v>
      </c>
      <c r="L45" s="225">
        <v>303.88099999999997</v>
      </c>
      <c r="M45" s="225"/>
      <c r="N45" s="225"/>
      <c r="O45" s="225">
        <v>380</v>
      </c>
      <c r="P45" s="225"/>
      <c r="Q45" s="230"/>
      <c r="R45" s="230"/>
      <c r="S45" s="315"/>
      <c r="T45" s="83"/>
      <c r="U45" s="83"/>
      <c r="V45" s="118" t="s">
        <v>125</v>
      </c>
      <c r="W45" s="133" t="s">
        <v>403</v>
      </c>
      <c r="AH45" s="365">
        <f t="shared" si="20"/>
        <v>76.119000000000028</v>
      </c>
      <c r="AI45" s="365">
        <f t="shared" si="20"/>
        <v>1496.1190000000001</v>
      </c>
    </row>
    <row r="46" spans="1:49" ht="30" x14ac:dyDescent="0.2">
      <c r="A46" s="208">
        <f>'Bieu CKGN (ko in)'!A44</f>
        <v>5</v>
      </c>
      <c r="B46" s="242" t="str">
        <f>'Bieu CKGN (ko in)'!B44</f>
        <v>Kè chống sạt bảo vệ trường TH, THCS, xã Tá Bạ</v>
      </c>
      <c r="C46" s="218" t="s">
        <v>144</v>
      </c>
      <c r="D46" s="218" t="s">
        <v>154</v>
      </c>
      <c r="E46" s="219" t="s">
        <v>162</v>
      </c>
      <c r="F46" s="219" t="str">
        <f>'Bieu CKGN (ko in)'!C44</f>
        <v>3491-29/12/2020</v>
      </c>
      <c r="G46" s="314">
        <f>'Bieu CKGN (ko in)'!D44</f>
        <v>2100</v>
      </c>
      <c r="H46" s="320">
        <v>312.55</v>
      </c>
      <c r="I46" s="230">
        <f>2084+J46</f>
        <v>2084</v>
      </c>
      <c r="J46" s="230"/>
      <c r="K46" s="225">
        <v>311.673</v>
      </c>
      <c r="L46" s="225">
        <v>311.673</v>
      </c>
      <c r="M46" s="225"/>
      <c r="N46" s="225"/>
      <c r="O46" s="225">
        <v>312.55</v>
      </c>
      <c r="P46" s="225"/>
      <c r="Q46" s="230"/>
      <c r="R46" s="230"/>
      <c r="S46" s="315"/>
      <c r="T46" s="83"/>
      <c r="U46" s="83"/>
      <c r="V46" s="118" t="s">
        <v>125</v>
      </c>
      <c r="W46" s="133" t="s">
        <v>268</v>
      </c>
      <c r="AH46" s="365">
        <f t="shared" si="20"/>
        <v>0.87700000000000955</v>
      </c>
      <c r="AI46" s="365">
        <f t="shared" si="20"/>
        <v>1772.327</v>
      </c>
    </row>
    <row r="47" spans="1:49" ht="30" x14ac:dyDescent="0.2">
      <c r="A47" s="208">
        <f>'Bieu CKGN (ko in)'!A45</f>
        <v>6</v>
      </c>
      <c r="B47" s="242" t="str">
        <f>'Bieu CKGN (ko in)'!B45</f>
        <v>Thủy lợi Nhù Cư Ló Cá, xã Thu Lũm</v>
      </c>
      <c r="C47" s="218" t="s">
        <v>143</v>
      </c>
      <c r="D47" s="218" t="s">
        <v>155</v>
      </c>
      <c r="E47" s="219" t="s">
        <v>162</v>
      </c>
      <c r="F47" s="219" t="str">
        <f>'Bieu CKGN (ko in)'!C45</f>
        <v>3552-31/12/2020</v>
      </c>
      <c r="G47" s="314">
        <f>'Bieu CKGN (ko in)'!D45</f>
        <v>3500</v>
      </c>
      <c r="H47" s="320">
        <v>570.82799999999997</v>
      </c>
      <c r="I47" s="230">
        <f>3449+J47</f>
        <v>3449</v>
      </c>
      <c r="J47" s="230"/>
      <c r="K47" s="225">
        <v>547.24699999999996</v>
      </c>
      <c r="L47" s="225">
        <v>487.93700000000001</v>
      </c>
      <c r="M47" s="225"/>
      <c r="N47" s="225"/>
      <c r="O47" s="225">
        <v>570.82799999999997</v>
      </c>
      <c r="P47" s="225"/>
      <c r="Q47" s="230"/>
      <c r="R47" s="230"/>
      <c r="S47" s="315"/>
      <c r="T47" s="83"/>
      <c r="U47" s="83"/>
      <c r="V47" s="118" t="s">
        <v>125</v>
      </c>
      <c r="W47" s="133" t="s">
        <v>268</v>
      </c>
      <c r="X47" s="134"/>
      <c r="AH47" s="365">
        <f t="shared" si="20"/>
        <v>23.581000000000017</v>
      </c>
      <c r="AI47" s="365">
        <f t="shared" si="20"/>
        <v>2961.0630000000001</v>
      </c>
    </row>
    <row r="48" spans="1:49" ht="30" x14ac:dyDescent="0.2">
      <c r="A48" s="208">
        <f>'Bieu CKGN (ko in)'!A46</f>
        <v>7</v>
      </c>
      <c r="B48" s="242" t="str">
        <f>'Bieu CKGN (ko in)'!B46</f>
        <v>Thủy lợi Phu Khà Ló Cá, xã Thu Lũm</v>
      </c>
      <c r="C48" s="218" t="s">
        <v>143</v>
      </c>
      <c r="D48" s="218" t="s">
        <v>156</v>
      </c>
      <c r="E48" s="219" t="s">
        <v>162</v>
      </c>
      <c r="F48" s="219" t="str">
        <f>'Bieu CKGN (ko in)'!C46</f>
        <v>3554-31/12/2020</v>
      </c>
      <c r="G48" s="314">
        <f>'Bieu CKGN (ko in)'!D46</f>
        <v>3600</v>
      </c>
      <c r="H48" s="320">
        <v>643.56299999999999</v>
      </c>
      <c r="I48" s="230">
        <f>3563+J48</f>
        <v>3563</v>
      </c>
      <c r="J48" s="230"/>
      <c r="K48" s="225">
        <v>643.56299999999999</v>
      </c>
      <c r="L48" s="225">
        <v>542.71199999999999</v>
      </c>
      <c r="M48" s="225"/>
      <c r="N48" s="225"/>
      <c r="O48" s="225">
        <v>643.56299999999999</v>
      </c>
      <c r="P48" s="225"/>
      <c r="Q48" s="230"/>
      <c r="R48" s="230"/>
      <c r="S48" s="315"/>
      <c r="T48" s="83"/>
      <c r="U48" s="83"/>
      <c r="V48" s="118" t="s">
        <v>125</v>
      </c>
      <c r="W48" s="133" t="s">
        <v>268</v>
      </c>
      <c r="AH48" s="365">
        <f t="shared" si="20"/>
        <v>0</v>
      </c>
      <c r="AI48" s="365">
        <f t="shared" si="20"/>
        <v>3020.288</v>
      </c>
    </row>
    <row r="49" spans="1:43" ht="30" x14ac:dyDescent="0.2">
      <c r="A49" s="208">
        <f>'Bieu CKGN (ko in)'!A47</f>
        <v>8</v>
      </c>
      <c r="B49" s="242" t="str">
        <f>'Bieu CKGN (ko in)'!B47</f>
        <v>Nâng cấp thủy lợi Nậm Dính, xã Tà Tổng</v>
      </c>
      <c r="C49" s="218" t="s">
        <v>137</v>
      </c>
      <c r="D49" s="218" t="s">
        <v>157</v>
      </c>
      <c r="E49" s="219" t="s">
        <v>162</v>
      </c>
      <c r="F49" s="219" t="str">
        <f>'Bieu CKGN (ko in)'!C47</f>
        <v>3553-31/12/2020</v>
      </c>
      <c r="G49" s="314">
        <f>'Bieu CKGN (ko in)'!D47</f>
        <v>3400</v>
      </c>
      <c r="H49" s="320">
        <v>338.834</v>
      </c>
      <c r="I49" s="230">
        <f>3089+J49</f>
        <v>3089</v>
      </c>
      <c r="J49" s="230"/>
      <c r="K49" s="225">
        <v>338.83300000000003</v>
      </c>
      <c r="L49" s="225">
        <v>338.83300000000003</v>
      </c>
      <c r="M49" s="225"/>
      <c r="N49" s="225"/>
      <c r="O49" s="225">
        <v>338.834</v>
      </c>
      <c r="P49" s="225"/>
      <c r="Q49" s="230"/>
      <c r="R49" s="230"/>
      <c r="S49" s="315"/>
      <c r="T49" s="83"/>
      <c r="U49" s="83"/>
      <c r="V49" s="118" t="s">
        <v>125</v>
      </c>
      <c r="W49" s="133" t="s">
        <v>268</v>
      </c>
      <c r="AH49" s="365">
        <f t="shared" si="20"/>
        <v>9.9999999997635314E-4</v>
      </c>
      <c r="AI49" s="365">
        <f t="shared" si="20"/>
        <v>2750.1669999999999</v>
      </c>
    </row>
    <row r="50" spans="1:43" s="82" customFormat="1" ht="15" x14ac:dyDescent="0.2">
      <c r="A50" s="306" t="s">
        <v>163</v>
      </c>
      <c r="B50" s="623" t="s">
        <v>416</v>
      </c>
      <c r="C50" s="307"/>
      <c r="D50" s="307"/>
      <c r="E50" s="307"/>
      <c r="F50" s="260"/>
      <c r="G50" s="311">
        <f>SUM(G51:G53)</f>
        <v>15450</v>
      </c>
      <c r="H50" s="311">
        <f t="shared" ref="H50:R50" si="21">SUM(H51:H53)</f>
        <v>8550.2910000000011</v>
      </c>
      <c r="I50" s="311">
        <f t="shared" si="21"/>
        <v>13704.089</v>
      </c>
      <c r="J50" s="311">
        <f t="shared" si="21"/>
        <v>0</v>
      </c>
      <c r="K50" s="311">
        <f t="shared" si="21"/>
        <v>6100</v>
      </c>
      <c r="L50" s="311">
        <f t="shared" si="21"/>
        <v>6100</v>
      </c>
      <c r="M50" s="311">
        <f t="shared" si="21"/>
        <v>0</v>
      </c>
      <c r="N50" s="311">
        <f t="shared" si="21"/>
        <v>0</v>
      </c>
      <c r="O50" s="311">
        <f t="shared" si="21"/>
        <v>8550.2910000000011</v>
      </c>
      <c r="P50" s="311">
        <f t="shared" si="21"/>
        <v>0</v>
      </c>
      <c r="Q50" s="312">
        <f>K50/H50*100</f>
        <v>71.342601088079917</v>
      </c>
      <c r="R50" s="311">
        <f t="shared" si="21"/>
        <v>2199.7089999999998</v>
      </c>
      <c r="S50" s="310"/>
      <c r="T50" s="129"/>
      <c r="U50" s="129"/>
      <c r="V50" s="119"/>
      <c r="AB50" s="112"/>
      <c r="AC50" s="112"/>
      <c r="AD50" s="112"/>
      <c r="AE50" s="112"/>
      <c r="AF50" s="112"/>
      <c r="AG50" s="112"/>
      <c r="AH50" s="365"/>
      <c r="AI50" s="365"/>
      <c r="AJ50" s="112"/>
      <c r="AK50" s="112"/>
      <c r="AL50" s="112"/>
      <c r="AM50" s="112"/>
      <c r="AN50" s="112"/>
      <c r="AO50" s="112"/>
      <c r="AP50" s="112"/>
      <c r="AQ50" s="112"/>
    </row>
    <row r="51" spans="1:43" ht="30" x14ac:dyDescent="0.2">
      <c r="A51" s="208">
        <f>'Bieu CKGN (ko in)'!A50</f>
        <v>1</v>
      </c>
      <c r="B51" s="242" t="str">
        <f>'Bieu CKGN (ko in)'!B50</f>
        <v>Trường mầm non xã Ka Lăng, huyện Mường Tè (Hạng mục phụ trợ)</v>
      </c>
      <c r="C51" s="218" t="s">
        <v>149</v>
      </c>
      <c r="D51" s="242"/>
      <c r="E51" s="219">
        <v>2022</v>
      </c>
      <c r="F51" s="219" t="str">
        <f>'Bieu CKGN (ko in)'!C50</f>
        <v>2225-15/12/2021</v>
      </c>
      <c r="G51" s="314">
        <f>'Bieu CKGN (ko in)'!D50</f>
        <v>2500</v>
      </c>
      <c r="H51" s="314">
        <v>1350.2909999999999</v>
      </c>
      <c r="I51" s="230">
        <v>1710.0889999999999</v>
      </c>
      <c r="J51" s="230"/>
      <c r="K51" s="225"/>
      <c r="L51" s="225"/>
      <c r="M51" s="225"/>
      <c r="N51" s="225"/>
      <c r="O51" s="314">
        <v>1350.2909999999999</v>
      </c>
      <c r="P51" s="225"/>
      <c r="Q51" s="230"/>
      <c r="R51" s="230">
        <f>G51-(O51+900)</f>
        <v>249.70899999999983</v>
      </c>
      <c r="S51" s="315"/>
      <c r="T51" s="83"/>
      <c r="U51" s="83"/>
      <c r="V51" s="118" t="s">
        <v>126</v>
      </c>
      <c r="W51" s="133" t="s">
        <v>268</v>
      </c>
      <c r="X51" s="74">
        <v>1085</v>
      </c>
      <c r="Z51" s="77">
        <f>X51-J51</f>
        <v>1085</v>
      </c>
      <c r="AA51" s="74">
        <v>900</v>
      </c>
      <c r="AB51" s="374">
        <f>AA51-K51</f>
        <v>900</v>
      </c>
      <c r="AH51" s="365">
        <f t="shared" ref="AH51:AI53" si="22">H51-K51</f>
        <v>1350.2909999999999</v>
      </c>
      <c r="AI51" s="365">
        <f t="shared" si="22"/>
        <v>1710.0889999999999</v>
      </c>
    </row>
    <row r="52" spans="1:43" ht="30" x14ac:dyDescent="0.2">
      <c r="A52" s="208">
        <f>'Bieu CKGN (ko in)'!A51</f>
        <v>2</v>
      </c>
      <c r="B52" s="242" t="str">
        <f>'Bieu CKGN (ko in)'!B51</f>
        <v>Phòng họp trực tuyến Huyện ủy, huyện Mường Tè (GĐII)</v>
      </c>
      <c r="C52" s="218" t="s">
        <v>140</v>
      </c>
      <c r="D52" s="242"/>
      <c r="E52" s="219">
        <v>2022</v>
      </c>
      <c r="F52" s="219" t="str">
        <f>'Bieu CKGN (ko in)'!C51</f>
        <v>2224-15/12/2021</v>
      </c>
      <c r="G52" s="314">
        <f>'Bieu CKGN (ko in)'!D51</f>
        <v>6950</v>
      </c>
      <c r="H52" s="314">
        <v>3900</v>
      </c>
      <c r="I52" s="230">
        <v>6000</v>
      </c>
      <c r="J52" s="230"/>
      <c r="K52" s="225">
        <v>2800</v>
      </c>
      <c r="L52" s="225">
        <v>2800</v>
      </c>
      <c r="M52" s="225"/>
      <c r="N52" s="225"/>
      <c r="O52" s="314">
        <v>3900</v>
      </c>
      <c r="P52" s="225"/>
      <c r="Q52" s="230"/>
      <c r="R52" s="230">
        <f>G52-(O52+2000)</f>
        <v>1050</v>
      </c>
      <c r="S52" s="315"/>
      <c r="T52" s="83"/>
      <c r="U52" s="83"/>
      <c r="V52" s="118" t="s">
        <v>126</v>
      </c>
      <c r="W52" s="133" t="s">
        <v>268</v>
      </c>
      <c r="X52" s="77">
        <v>2200</v>
      </c>
      <c r="AA52" s="74">
        <v>1843.35</v>
      </c>
      <c r="AH52" s="365">
        <f t="shared" si="22"/>
        <v>1100</v>
      </c>
      <c r="AI52" s="365">
        <f t="shared" si="22"/>
        <v>3200</v>
      </c>
    </row>
    <row r="53" spans="1:43" ht="30" x14ac:dyDescent="0.2">
      <c r="A53" s="208">
        <f>'Bieu CKGN (ko in)'!A52</f>
        <v>3</v>
      </c>
      <c r="B53" s="242" t="str">
        <f>'Bieu CKGN (ko in)'!B52</f>
        <v>Nhà đa năng trường THCS thị trấn, huyện Mường Tè</v>
      </c>
      <c r="C53" s="218" t="s">
        <v>140</v>
      </c>
      <c r="D53" s="242"/>
      <c r="E53" s="219">
        <v>2022</v>
      </c>
      <c r="F53" s="219" t="str">
        <f>'Bieu CKGN (ko in)'!C52</f>
        <v>2223-15/12/2021</v>
      </c>
      <c r="G53" s="314">
        <f>'Bieu CKGN (ko in)'!D52</f>
        <v>6000</v>
      </c>
      <c r="H53" s="314">
        <v>3300</v>
      </c>
      <c r="I53" s="230">
        <f>5300+694</f>
        <v>5994</v>
      </c>
      <c r="J53" s="230"/>
      <c r="K53" s="225">
        <v>3300</v>
      </c>
      <c r="L53" s="225">
        <v>3300</v>
      </c>
      <c r="M53" s="225"/>
      <c r="N53" s="225"/>
      <c r="O53" s="314">
        <v>3300</v>
      </c>
      <c r="P53" s="225"/>
      <c r="Q53" s="230"/>
      <c r="R53" s="230">
        <f>G53-(O53+1800)</f>
        <v>900</v>
      </c>
      <c r="S53" s="315"/>
      <c r="T53" s="83"/>
      <c r="U53" s="83"/>
      <c r="V53" s="118" t="s">
        <v>126</v>
      </c>
      <c r="W53" s="133" t="s">
        <v>268</v>
      </c>
      <c r="X53" s="77">
        <v>1800</v>
      </c>
      <c r="Z53" s="143">
        <v>1843.347</v>
      </c>
      <c r="AA53" s="77">
        <f>X53-Z53</f>
        <v>-43.34699999999998</v>
      </c>
      <c r="AH53" s="365">
        <f t="shared" si="22"/>
        <v>0</v>
      </c>
      <c r="AI53" s="365">
        <f t="shared" si="22"/>
        <v>2694</v>
      </c>
    </row>
    <row r="54" spans="1:43" ht="15" x14ac:dyDescent="0.2">
      <c r="A54" s="306" t="s">
        <v>585</v>
      </c>
      <c r="B54" s="623" t="s">
        <v>417</v>
      </c>
      <c r="C54" s="218"/>
      <c r="D54" s="242"/>
      <c r="E54" s="219"/>
      <c r="F54" s="219"/>
      <c r="G54" s="311">
        <f>SUM(G55:G60)</f>
        <v>28820</v>
      </c>
      <c r="H54" s="311">
        <f t="shared" ref="H54:R54" si="23">SUM(H55:H60)</f>
        <v>11730</v>
      </c>
      <c r="I54" s="311">
        <f t="shared" si="23"/>
        <v>11500</v>
      </c>
      <c r="J54" s="311">
        <f t="shared" si="23"/>
        <v>740</v>
      </c>
      <c r="K54" s="311">
        <f t="shared" si="23"/>
        <v>10047.215</v>
      </c>
      <c r="L54" s="311">
        <f t="shared" si="23"/>
        <v>8497.2150000000001</v>
      </c>
      <c r="M54" s="311">
        <f t="shared" si="23"/>
        <v>0</v>
      </c>
      <c r="N54" s="311">
        <f t="shared" si="23"/>
        <v>0</v>
      </c>
      <c r="O54" s="311">
        <f t="shared" si="23"/>
        <v>11730</v>
      </c>
      <c r="P54" s="311">
        <f t="shared" si="23"/>
        <v>0</v>
      </c>
      <c r="Q54" s="230"/>
      <c r="R54" s="311">
        <f t="shared" si="23"/>
        <v>12971.592000000001</v>
      </c>
      <c r="S54" s="315"/>
      <c r="T54" s="83"/>
      <c r="U54" s="83"/>
      <c r="W54" s="133"/>
      <c r="X54" s="77"/>
      <c r="Z54" s="143"/>
      <c r="AA54" s="77"/>
      <c r="AH54" s="365"/>
      <c r="AI54" s="365"/>
    </row>
    <row r="55" spans="1:43" ht="30" x14ac:dyDescent="0.2">
      <c r="A55" s="208">
        <v>1</v>
      </c>
      <c r="B55" s="242" t="str">
        <f>'Bieu CKGN (ko in)'!B53</f>
        <v>Hạ tầng đô thị, điện chiếu sáng thị trấn Mường Tè, huyện Mường Tè</v>
      </c>
      <c r="C55" s="218" t="s">
        <v>140</v>
      </c>
      <c r="D55" s="242"/>
      <c r="E55" s="219">
        <v>2022</v>
      </c>
      <c r="F55" s="219" t="str">
        <f>'Bieu CKGN (ko in)'!C53</f>
        <v>2207-10/12/2021</v>
      </c>
      <c r="G55" s="314">
        <f>'Bieu CKGN (ko in)'!D53</f>
        <v>20000</v>
      </c>
      <c r="H55" s="314">
        <v>9000</v>
      </c>
      <c r="I55" s="230">
        <v>10150</v>
      </c>
      <c r="J55" s="230">
        <v>450</v>
      </c>
      <c r="K55" s="230">
        <v>9000</v>
      </c>
      <c r="L55" s="225">
        <v>7450</v>
      </c>
      <c r="M55" s="225"/>
      <c r="N55" s="225"/>
      <c r="O55" s="314">
        <v>9000</v>
      </c>
      <c r="P55" s="225"/>
      <c r="Q55" s="230"/>
      <c r="R55" s="230">
        <f>G55-(O55+2000)</f>
        <v>9000</v>
      </c>
      <c r="S55" s="315"/>
      <c r="T55" s="83"/>
      <c r="U55" s="83"/>
      <c r="V55" s="118" t="s">
        <v>122</v>
      </c>
      <c r="W55" s="133" t="s">
        <v>268</v>
      </c>
      <c r="X55" s="135"/>
      <c r="AA55" s="74">
        <v>1463.46</v>
      </c>
      <c r="AH55" s="365">
        <f>H55-K55</f>
        <v>0</v>
      </c>
      <c r="AI55" s="365">
        <f>I55-L55</f>
        <v>2700</v>
      </c>
    </row>
    <row r="56" spans="1:43" ht="60" x14ac:dyDescent="0.2">
      <c r="A56" s="208">
        <v>2</v>
      </c>
      <c r="B56" s="406" t="s">
        <v>446</v>
      </c>
      <c r="C56" s="218" t="s">
        <v>226</v>
      </c>
      <c r="D56" s="407" t="s">
        <v>449</v>
      </c>
      <c r="E56" s="407" t="s">
        <v>179</v>
      </c>
      <c r="F56" s="219" t="s">
        <v>448</v>
      </c>
      <c r="G56" s="314">
        <v>5000</v>
      </c>
      <c r="H56" s="314">
        <v>1600</v>
      </c>
      <c r="I56" s="230">
        <v>240</v>
      </c>
      <c r="J56" s="230">
        <v>90</v>
      </c>
      <c r="K56" s="230">
        <f t="shared" ref="K56" si="24">L56</f>
        <v>0</v>
      </c>
      <c r="L56" s="244"/>
      <c r="M56" s="244"/>
      <c r="N56" s="244"/>
      <c r="O56" s="314">
        <v>1600</v>
      </c>
      <c r="P56" s="244"/>
      <c r="Q56" s="230"/>
      <c r="R56" s="230">
        <f>G56*80%-(O56+128.408)</f>
        <v>2271.5920000000001</v>
      </c>
      <c r="S56" s="315"/>
      <c r="T56" s="83"/>
      <c r="U56" s="83"/>
      <c r="V56" s="118" t="s">
        <v>122</v>
      </c>
      <c r="W56" s="133" t="s">
        <v>268</v>
      </c>
      <c r="X56" s="135"/>
      <c r="AH56" s="365"/>
      <c r="AI56" s="365"/>
    </row>
    <row r="57" spans="1:43" ht="30" x14ac:dyDescent="0.2">
      <c r="A57" s="208">
        <v>3</v>
      </c>
      <c r="B57" s="406" t="s">
        <v>406</v>
      </c>
      <c r="C57" s="218" t="s">
        <v>141</v>
      </c>
      <c r="D57" s="407" t="s">
        <v>450</v>
      </c>
      <c r="E57" s="407" t="s">
        <v>179</v>
      </c>
      <c r="F57" s="219" t="s">
        <v>407</v>
      </c>
      <c r="G57" s="314">
        <v>1800</v>
      </c>
      <c r="H57" s="314">
        <v>900</v>
      </c>
      <c r="I57" s="230">
        <v>825</v>
      </c>
      <c r="J57" s="230">
        <v>200</v>
      </c>
      <c r="K57" s="244">
        <v>817.21500000000003</v>
      </c>
      <c r="L57" s="244">
        <v>817.21500000000003</v>
      </c>
      <c r="M57" s="244"/>
      <c r="N57" s="244"/>
      <c r="O57" s="314">
        <v>900</v>
      </c>
      <c r="P57" s="244"/>
      <c r="Q57" s="230"/>
      <c r="R57" s="230">
        <f>G57*80%-(O57+100)</f>
        <v>440</v>
      </c>
      <c r="S57" s="315"/>
      <c r="T57" s="83"/>
      <c r="U57" s="83"/>
      <c r="V57" s="118" t="s">
        <v>122</v>
      </c>
      <c r="W57" s="133" t="s">
        <v>268</v>
      </c>
      <c r="X57" s="135"/>
      <c r="AH57" s="365"/>
      <c r="AI57" s="365"/>
    </row>
    <row r="58" spans="1:43" ht="45" x14ac:dyDescent="0.2">
      <c r="A58" s="208">
        <v>4</v>
      </c>
      <c r="B58" s="406" t="s">
        <v>447</v>
      </c>
      <c r="C58" s="218" t="s">
        <v>226</v>
      </c>
      <c r="D58" s="407" t="s">
        <v>450</v>
      </c>
      <c r="E58" s="407" t="s">
        <v>179</v>
      </c>
      <c r="F58" s="219" t="s">
        <v>451</v>
      </c>
      <c r="G58" s="314">
        <v>370</v>
      </c>
      <c r="H58" s="314">
        <v>230</v>
      </c>
      <c r="I58" s="230">
        <v>285</v>
      </c>
      <c r="J58" s="230"/>
      <c r="K58" s="244">
        <v>230</v>
      </c>
      <c r="L58" s="244">
        <v>230</v>
      </c>
      <c r="M58" s="244"/>
      <c r="N58" s="244"/>
      <c r="O58" s="314">
        <v>230</v>
      </c>
      <c r="P58" s="244"/>
      <c r="Q58" s="230"/>
      <c r="R58" s="230">
        <f>G58-O58</f>
        <v>140</v>
      </c>
      <c r="S58" s="315"/>
      <c r="T58" s="83"/>
      <c r="U58" s="83"/>
      <c r="V58" s="118" t="s">
        <v>122</v>
      </c>
      <c r="W58" s="133" t="s">
        <v>268</v>
      </c>
      <c r="X58" s="135"/>
      <c r="AH58" s="365"/>
      <c r="AI58" s="365"/>
    </row>
    <row r="59" spans="1:43" s="429" customFormat="1" ht="30" x14ac:dyDescent="0.2">
      <c r="A59" s="416">
        <v>5</v>
      </c>
      <c r="B59" s="435" t="s">
        <v>598</v>
      </c>
      <c r="C59" s="436" t="s">
        <v>225</v>
      </c>
      <c r="D59" s="419" t="s">
        <v>450</v>
      </c>
      <c r="E59" s="419" t="s">
        <v>478</v>
      </c>
      <c r="F59" s="433"/>
      <c r="G59" s="421">
        <v>800</v>
      </c>
      <c r="H59" s="421"/>
      <c r="I59" s="422"/>
      <c r="J59" s="422"/>
      <c r="K59" s="423"/>
      <c r="L59" s="423"/>
      <c r="M59" s="423"/>
      <c r="N59" s="423"/>
      <c r="O59" s="421"/>
      <c r="P59" s="423"/>
      <c r="Q59" s="422"/>
      <c r="R59" s="422">
        <f>G59*80%-100</f>
        <v>540</v>
      </c>
      <c r="S59" s="424"/>
      <c r="T59" s="425"/>
      <c r="U59" s="425"/>
      <c r="V59" s="426" t="s">
        <v>123</v>
      </c>
      <c r="W59" s="133" t="s">
        <v>268</v>
      </c>
      <c r="X59" s="428"/>
      <c r="AB59" s="430"/>
      <c r="AC59" s="430"/>
      <c r="AD59" s="430"/>
      <c r="AE59" s="430"/>
      <c r="AF59" s="430"/>
      <c r="AG59" s="430"/>
      <c r="AH59" s="431"/>
      <c r="AI59" s="431"/>
      <c r="AJ59" s="430"/>
      <c r="AK59" s="430"/>
      <c r="AL59" s="430"/>
      <c r="AM59" s="430"/>
      <c r="AN59" s="430"/>
      <c r="AO59" s="430"/>
      <c r="AP59" s="430"/>
      <c r="AQ59" s="430"/>
    </row>
    <row r="60" spans="1:43" s="429" customFormat="1" ht="30" x14ac:dyDescent="0.2">
      <c r="A60" s="416">
        <v>6</v>
      </c>
      <c r="B60" s="435" t="s">
        <v>599</v>
      </c>
      <c r="C60" s="436" t="s">
        <v>145</v>
      </c>
      <c r="D60" s="419" t="s">
        <v>450</v>
      </c>
      <c r="E60" s="419" t="s">
        <v>478</v>
      </c>
      <c r="F60" s="433"/>
      <c r="G60" s="421">
        <v>850</v>
      </c>
      <c r="H60" s="421"/>
      <c r="I60" s="422"/>
      <c r="J60" s="422"/>
      <c r="K60" s="423"/>
      <c r="L60" s="423"/>
      <c r="M60" s="423"/>
      <c r="N60" s="423"/>
      <c r="O60" s="421"/>
      <c r="P60" s="423"/>
      <c r="Q60" s="422"/>
      <c r="R60" s="422">
        <f>G60*80%-100</f>
        <v>580</v>
      </c>
      <c r="S60" s="424"/>
      <c r="T60" s="425"/>
      <c r="U60" s="425"/>
      <c r="V60" s="426" t="s">
        <v>123</v>
      </c>
      <c r="W60" s="133" t="s">
        <v>268</v>
      </c>
      <c r="X60" s="428"/>
      <c r="AB60" s="430"/>
      <c r="AC60" s="430"/>
      <c r="AD60" s="430"/>
      <c r="AE60" s="430"/>
      <c r="AF60" s="430"/>
      <c r="AG60" s="430"/>
      <c r="AH60" s="431"/>
      <c r="AI60" s="431"/>
      <c r="AJ60" s="430"/>
      <c r="AK60" s="430"/>
      <c r="AL60" s="430"/>
      <c r="AM60" s="430"/>
      <c r="AN60" s="430"/>
      <c r="AO60" s="430"/>
      <c r="AP60" s="430"/>
      <c r="AQ60" s="430"/>
    </row>
    <row r="61" spans="1:43" ht="15" x14ac:dyDescent="0.2">
      <c r="A61" s="306" t="s">
        <v>592</v>
      </c>
      <c r="B61" s="622" t="s">
        <v>586</v>
      </c>
      <c r="C61" s="218"/>
      <c r="D61" s="407"/>
      <c r="E61" s="407"/>
      <c r="F61" s="219"/>
      <c r="G61" s="311">
        <f t="shared" ref="G61:P61" si="25">SUM(G62:G63)</f>
        <v>13500</v>
      </c>
      <c r="H61" s="311">
        <f t="shared" si="25"/>
        <v>0</v>
      </c>
      <c r="I61" s="311">
        <f t="shared" si="25"/>
        <v>0</v>
      </c>
      <c r="J61" s="311">
        <f t="shared" si="25"/>
        <v>0</v>
      </c>
      <c r="K61" s="311">
        <f t="shared" si="25"/>
        <v>0</v>
      </c>
      <c r="L61" s="311">
        <f t="shared" si="25"/>
        <v>0</v>
      </c>
      <c r="M61" s="311">
        <f t="shared" si="25"/>
        <v>0</v>
      </c>
      <c r="N61" s="311">
        <f t="shared" si="25"/>
        <v>0</v>
      </c>
      <c r="O61" s="311">
        <f t="shared" si="25"/>
        <v>0</v>
      </c>
      <c r="P61" s="311">
        <f t="shared" si="25"/>
        <v>0</v>
      </c>
      <c r="Q61" s="230"/>
      <c r="R61" s="311">
        <f>SUM(R62:R63)</f>
        <v>3325</v>
      </c>
      <c r="S61" s="315"/>
      <c r="T61" s="83"/>
      <c r="U61" s="83"/>
      <c r="W61" s="133"/>
      <c r="X61" s="135"/>
      <c r="AH61" s="365"/>
      <c r="AI61" s="365"/>
    </row>
    <row r="62" spans="1:43" ht="30" x14ac:dyDescent="0.2">
      <c r="A62" s="208">
        <v>1</v>
      </c>
      <c r="B62" s="406" t="s">
        <v>589</v>
      </c>
      <c r="C62" s="218" t="s">
        <v>140</v>
      </c>
      <c r="D62" s="407"/>
      <c r="E62" s="407" t="s">
        <v>588</v>
      </c>
      <c r="F62" s="219"/>
      <c r="G62" s="314">
        <v>6500</v>
      </c>
      <c r="H62" s="314"/>
      <c r="I62" s="230"/>
      <c r="J62" s="230"/>
      <c r="K62" s="244"/>
      <c r="L62" s="244"/>
      <c r="M62" s="244"/>
      <c r="N62" s="244"/>
      <c r="O62" s="314"/>
      <c r="P62" s="244"/>
      <c r="Q62" s="230"/>
      <c r="R62" s="230">
        <f>4500*35%</f>
        <v>1575</v>
      </c>
      <c r="S62" s="315"/>
      <c r="T62" s="83"/>
      <c r="U62" s="83"/>
      <c r="V62" s="426" t="s">
        <v>123</v>
      </c>
      <c r="W62" s="133" t="s">
        <v>268</v>
      </c>
      <c r="X62" s="135"/>
      <c r="AH62" s="365"/>
      <c r="AI62" s="365"/>
    </row>
    <row r="63" spans="1:43" ht="30" x14ac:dyDescent="0.2">
      <c r="A63" s="208">
        <v>2</v>
      </c>
      <c r="B63" s="406" t="s">
        <v>590</v>
      </c>
      <c r="C63" s="218" t="s">
        <v>591</v>
      </c>
      <c r="D63" s="407"/>
      <c r="E63" s="407" t="s">
        <v>588</v>
      </c>
      <c r="F63" s="219"/>
      <c r="G63" s="314">
        <v>7000</v>
      </c>
      <c r="H63" s="314"/>
      <c r="I63" s="230"/>
      <c r="J63" s="230"/>
      <c r="K63" s="244"/>
      <c r="L63" s="244"/>
      <c r="M63" s="244"/>
      <c r="N63" s="244"/>
      <c r="O63" s="314"/>
      <c r="P63" s="244"/>
      <c r="Q63" s="230"/>
      <c r="R63" s="230">
        <f>5000*35%</f>
        <v>1750</v>
      </c>
      <c r="S63" s="315"/>
      <c r="T63" s="83"/>
      <c r="U63" s="83"/>
      <c r="V63" s="426" t="s">
        <v>123</v>
      </c>
      <c r="W63" s="133" t="s">
        <v>268</v>
      </c>
      <c r="X63" s="135"/>
      <c r="AH63" s="365"/>
      <c r="AI63" s="365"/>
    </row>
    <row r="64" spans="1:43" ht="15" x14ac:dyDescent="0.2">
      <c r="A64" s="306" t="s">
        <v>595</v>
      </c>
      <c r="B64" s="622" t="s">
        <v>593</v>
      </c>
      <c r="C64" s="218"/>
      <c r="D64" s="407"/>
      <c r="E64" s="407"/>
      <c r="F64" s="219"/>
      <c r="G64" s="311">
        <f>G65+G72</f>
        <v>63340</v>
      </c>
      <c r="H64" s="311">
        <f t="shared" ref="H64:R64" si="26">H65+H72</f>
        <v>0</v>
      </c>
      <c r="I64" s="311">
        <f t="shared" si="26"/>
        <v>0</v>
      </c>
      <c r="J64" s="311">
        <f t="shared" si="26"/>
        <v>0</v>
      </c>
      <c r="K64" s="311">
        <f t="shared" si="26"/>
        <v>0</v>
      </c>
      <c r="L64" s="311">
        <f t="shared" si="26"/>
        <v>0</v>
      </c>
      <c r="M64" s="311">
        <f t="shared" si="26"/>
        <v>0</v>
      </c>
      <c r="N64" s="311">
        <f t="shared" si="26"/>
        <v>0</v>
      </c>
      <c r="O64" s="311">
        <f t="shared" si="26"/>
        <v>0</v>
      </c>
      <c r="P64" s="311">
        <f t="shared" si="26"/>
        <v>0</v>
      </c>
      <c r="Q64" s="230"/>
      <c r="R64" s="311">
        <f t="shared" si="26"/>
        <v>13880</v>
      </c>
      <c r="S64" s="315"/>
      <c r="T64" s="83"/>
      <c r="U64" s="83"/>
      <c r="W64" s="133"/>
      <c r="X64" s="135"/>
      <c r="AH64" s="365"/>
      <c r="AI64" s="365"/>
    </row>
    <row r="65" spans="1:43" s="429" customFormat="1" ht="15" x14ac:dyDescent="0.2">
      <c r="A65" s="416"/>
      <c r="B65" s="438" t="s">
        <v>594</v>
      </c>
      <c r="C65" s="436"/>
      <c r="D65" s="419"/>
      <c r="E65" s="419"/>
      <c r="F65" s="433"/>
      <c r="G65" s="439">
        <f>SUM(G66:G71)</f>
        <v>34500</v>
      </c>
      <c r="H65" s="439">
        <f t="shared" ref="H65:R65" si="27">SUM(H66:H71)</f>
        <v>0</v>
      </c>
      <c r="I65" s="439">
        <f t="shared" si="27"/>
        <v>0</v>
      </c>
      <c r="J65" s="439">
        <f t="shared" si="27"/>
        <v>0</v>
      </c>
      <c r="K65" s="439">
        <f t="shared" si="27"/>
        <v>0</v>
      </c>
      <c r="L65" s="439">
        <f t="shared" si="27"/>
        <v>0</v>
      </c>
      <c r="M65" s="439">
        <f t="shared" si="27"/>
        <v>0</v>
      </c>
      <c r="N65" s="439">
        <f t="shared" si="27"/>
        <v>0</v>
      </c>
      <c r="O65" s="439">
        <f t="shared" si="27"/>
        <v>0</v>
      </c>
      <c r="P65" s="439">
        <f t="shared" si="27"/>
        <v>0</v>
      </c>
      <c r="Q65" s="439">
        <f t="shared" ref="Q65" si="28">SUM(Q66:Q74)</f>
        <v>0</v>
      </c>
      <c r="R65" s="439">
        <f t="shared" si="27"/>
        <v>7000</v>
      </c>
      <c r="S65" s="424"/>
      <c r="T65" s="425"/>
      <c r="U65" s="425"/>
      <c r="V65" s="426"/>
      <c r="W65" s="427"/>
      <c r="X65" s="428"/>
      <c r="AB65" s="430"/>
      <c r="AC65" s="430"/>
      <c r="AD65" s="430"/>
      <c r="AE65" s="430"/>
      <c r="AF65" s="430"/>
      <c r="AG65" s="430"/>
      <c r="AH65" s="431"/>
      <c r="AI65" s="431"/>
      <c r="AJ65" s="430"/>
      <c r="AK65" s="430"/>
      <c r="AL65" s="430"/>
      <c r="AM65" s="430"/>
      <c r="AN65" s="430"/>
      <c r="AO65" s="430"/>
      <c r="AP65" s="430"/>
      <c r="AQ65" s="430"/>
    </row>
    <row r="66" spans="1:43" s="429" customFormat="1" ht="30" x14ac:dyDescent="0.2">
      <c r="A66" s="416">
        <v>1</v>
      </c>
      <c r="B66" s="417" t="s">
        <v>281</v>
      </c>
      <c r="C66" s="418" t="s">
        <v>292</v>
      </c>
      <c r="D66" s="418" t="s">
        <v>295</v>
      </c>
      <c r="E66" s="419" t="s">
        <v>179</v>
      </c>
      <c r="F66" s="418" t="s">
        <v>306</v>
      </c>
      <c r="G66" s="420">
        <v>6000</v>
      </c>
      <c r="H66" s="421"/>
      <c r="I66" s="422"/>
      <c r="J66" s="422"/>
      <c r="K66" s="423"/>
      <c r="L66" s="423"/>
      <c r="M66" s="423"/>
      <c r="N66" s="423"/>
      <c r="O66" s="421"/>
      <c r="P66" s="423"/>
      <c r="Q66" s="422"/>
      <c r="R66" s="422">
        <v>500</v>
      </c>
      <c r="S66" s="424"/>
      <c r="T66" s="425"/>
      <c r="U66" s="425"/>
      <c r="V66" s="118" t="s">
        <v>122</v>
      </c>
      <c r="W66" s="133" t="s">
        <v>268</v>
      </c>
      <c r="X66" s="428"/>
      <c r="AB66" s="430"/>
      <c r="AC66" s="430"/>
      <c r="AD66" s="430"/>
      <c r="AE66" s="430"/>
      <c r="AF66" s="430"/>
      <c r="AG66" s="430"/>
      <c r="AH66" s="431"/>
      <c r="AI66" s="431"/>
      <c r="AJ66" s="430"/>
      <c r="AK66" s="430"/>
      <c r="AL66" s="430"/>
      <c r="AM66" s="430"/>
      <c r="AN66" s="430"/>
      <c r="AO66" s="430"/>
      <c r="AP66" s="430"/>
      <c r="AQ66" s="430"/>
    </row>
    <row r="67" spans="1:43" s="429" customFormat="1" ht="90" x14ac:dyDescent="0.2">
      <c r="A67" s="416">
        <v>2</v>
      </c>
      <c r="B67" s="417" t="s">
        <v>282</v>
      </c>
      <c r="C67" s="418" t="s">
        <v>292</v>
      </c>
      <c r="D67" s="432" t="s">
        <v>296</v>
      </c>
      <c r="E67" s="419" t="s">
        <v>179</v>
      </c>
      <c r="F67" s="418" t="s">
        <v>307</v>
      </c>
      <c r="G67" s="420">
        <v>4000</v>
      </c>
      <c r="H67" s="421"/>
      <c r="I67" s="422"/>
      <c r="J67" s="422"/>
      <c r="K67" s="423"/>
      <c r="L67" s="423"/>
      <c r="M67" s="423"/>
      <c r="N67" s="423"/>
      <c r="O67" s="421"/>
      <c r="P67" s="423"/>
      <c r="Q67" s="422"/>
      <c r="R67" s="422">
        <v>500</v>
      </c>
      <c r="S67" s="424"/>
      <c r="T67" s="425"/>
      <c r="U67" s="425"/>
      <c r="V67" s="118" t="s">
        <v>122</v>
      </c>
      <c r="W67" s="133" t="s">
        <v>268</v>
      </c>
      <c r="X67" s="428"/>
      <c r="AB67" s="430"/>
      <c r="AC67" s="430"/>
      <c r="AD67" s="430"/>
      <c r="AE67" s="430"/>
      <c r="AF67" s="430"/>
      <c r="AG67" s="430"/>
      <c r="AH67" s="431"/>
      <c r="AI67" s="431"/>
      <c r="AJ67" s="430"/>
      <c r="AK67" s="430"/>
      <c r="AL67" s="430"/>
      <c r="AM67" s="430"/>
      <c r="AN67" s="430"/>
      <c r="AO67" s="430"/>
      <c r="AP67" s="430"/>
      <c r="AQ67" s="430"/>
    </row>
    <row r="68" spans="1:43" s="429" customFormat="1" ht="120" x14ac:dyDescent="0.2">
      <c r="A68" s="416">
        <v>3</v>
      </c>
      <c r="B68" s="417" t="s">
        <v>283</v>
      </c>
      <c r="C68" s="432" t="s">
        <v>142</v>
      </c>
      <c r="D68" s="432" t="s">
        <v>297</v>
      </c>
      <c r="E68" s="419" t="s">
        <v>179</v>
      </c>
      <c r="F68" s="418" t="s">
        <v>308</v>
      </c>
      <c r="G68" s="420">
        <v>7000</v>
      </c>
      <c r="H68" s="421"/>
      <c r="I68" s="422"/>
      <c r="J68" s="422"/>
      <c r="K68" s="423"/>
      <c r="L68" s="423"/>
      <c r="M68" s="423"/>
      <c r="N68" s="423"/>
      <c r="O68" s="421"/>
      <c r="P68" s="423"/>
      <c r="Q68" s="422"/>
      <c r="R68" s="422">
        <v>1000</v>
      </c>
      <c r="S68" s="424"/>
      <c r="T68" s="425"/>
      <c r="U68" s="425"/>
      <c r="V68" s="118" t="s">
        <v>122</v>
      </c>
      <c r="W68" s="133" t="s">
        <v>268</v>
      </c>
      <c r="X68" s="428"/>
      <c r="AB68" s="430"/>
      <c r="AC68" s="430"/>
      <c r="AD68" s="430"/>
      <c r="AE68" s="430"/>
      <c r="AF68" s="430"/>
      <c r="AG68" s="430"/>
      <c r="AH68" s="431"/>
      <c r="AI68" s="431"/>
      <c r="AJ68" s="430"/>
      <c r="AK68" s="430"/>
      <c r="AL68" s="430"/>
      <c r="AM68" s="430"/>
      <c r="AN68" s="430"/>
      <c r="AO68" s="430"/>
      <c r="AP68" s="430"/>
      <c r="AQ68" s="430"/>
    </row>
    <row r="69" spans="1:43" s="429" customFormat="1" ht="75" x14ac:dyDescent="0.2">
      <c r="A69" s="416">
        <v>4</v>
      </c>
      <c r="B69" s="417" t="s">
        <v>284</v>
      </c>
      <c r="C69" s="432" t="s">
        <v>142</v>
      </c>
      <c r="D69" s="432" t="s">
        <v>298</v>
      </c>
      <c r="E69" s="433" t="s">
        <v>179</v>
      </c>
      <c r="F69" s="418" t="s">
        <v>309</v>
      </c>
      <c r="G69" s="420">
        <v>6000</v>
      </c>
      <c r="H69" s="421"/>
      <c r="I69" s="422"/>
      <c r="J69" s="422"/>
      <c r="K69" s="423"/>
      <c r="L69" s="423"/>
      <c r="M69" s="423"/>
      <c r="N69" s="423"/>
      <c r="O69" s="421"/>
      <c r="P69" s="423"/>
      <c r="Q69" s="422"/>
      <c r="R69" s="422">
        <v>1000</v>
      </c>
      <c r="S69" s="424"/>
      <c r="T69" s="425"/>
      <c r="U69" s="425"/>
      <c r="V69" s="426"/>
      <c r="W69" s="133" t="s">
        <v>268</v>
      </c>
      <c r="X69" s="428"/>
      <c r="AB69" s="430"/>
      <c r="AC69" s="430"/>
      <c r="AD69" s="430"/>
      <c r="AE69" s="430"/>
      <c r="AF69" s="430"/>
      <c r="AG69" s="430"/>
      <c r="AH69" s="431"/>
      <c r="AI69" s="431"/>
      <c r="AJ69" s="430"/>
      <c r="AK69" s="430"/>
      <c r="AL69" s="430"/>
      <c r="AM69" s="430"/>
      <c r="AN69" s="430"/>
      <c r="AO69" s="430"/>
      <c r="AP69" s="430"/>
      <c r="AQ69" s="430"/>
    </row>
    <row r="70" spans="1:43" s="429" customFormat="1" ht="120" x14ac:dyDescent="0.2">
      <c r="A70" s="416">
        <v>5</v>
      </c>
      <c r="B70" s="434" t="s">
        <v>285</v>
      </c>
      <c r="C70" s="418" t="s">
        <v>142</v>
      </c>
      <c r="D70" s="418" t="s">
        <v>299</v>
      </c>
      <c r="E70" s="433" t="s">
        <v>179</v>
      </c>
      <c r="F70" s="418" t="s">
        <v>310</v>
      </c>
      <c r="G70" s="420">
        <v>7000</v>
      </c>
      <c r="H70" s="421"/>
      <c r="I70" s="422"/>
      <c r="J70" s="422"/>
      <c r="K70" s="423"/>
      <c r="L70" s="423"/>
      <c r="M70" s="423"/>
      <c r="N70" s="423"/>
      <c r="O70" s="421"/>
      <c r="P70" s="423"/>
      <c r="Q70" s="422"/>
      <c r="R70" s="422">
        <v>2000</v>
      </c>
      <c r="S70" s="424"/>
      <c r="T70" s="425"/>
      <c r="U70" s="425"/>
      <c r="V70" s="118" t="s">
        <v>122</v>
      </c>
      <c r="W70" s="133" t="s">
        <v>268</v>
      </c>
      <c r="X70" s="428"/>
      <c r="AB70" s="430"/>
      <c r="AC70" s="430"/>
      <c r="AD70" s="430"/>
      <c r="AE70" s="430"/>
      <c r="AF70" s="430"/>
      <c r="AG70" s="430"/>
      <c r="AH70" s="431"/>
      <c r="AI70" s="431"/>
      <c r="AJ70" s="430"/>
      <c r="AK70" s="430"/>
      <c r="AL70" s="430"/>
      <c r="AM70" s="430"/>
      <c r="AN70" s="430"/>
      <c r="AO70" s="430"/>
      <c r="AP70" s="430"/>
      <c r="AQ70" s="430"/>
    </row>
    <row r="71" spans="1:43" s="429" customFormat="1" ht="30" x14ac:dyDescent="0.2">
      <c r="A71" s="416">
        <v>6</v>
      </c>
      <c r="B71" s="435" t="s">
        <v>587</v>
      </c>
      <c r="C71" s="436" t="s">
        <v>139</v>
      </c>
      <c r="D71" s="419"/>
      <c r="E71" s="433" t="s">
        <v>179</v>
      </c>
      <c r="F71" s="212" t="s">
        <v>191</v>
      </c>
      <c r="G71" s="421">
        <v>4500</v>
      </c>
      <c r="H71" s="421"/>
      <c r="I71" s="422"/>
      <c r="J71" s="422"/>
      <c r="K71" s="423"/>
      <c r="L71" s="423"/>
      <c r="M71" s="423"/>
      <c r="N71" s="423"/>
      <c r="O71" s="421"/>
      <c r="P71" s="423"/>
      <c r="Q71" s="422"/>
      <c r="R71" s="422">
        <v>2000</v>
      </c>
      <c r="S71" s="424"/>
      <c r="T71" s="425"/>
      <c r="U71" s="425"/>
      <c r="V71" s="118" t="s">
        <v>122</v>
      </c>
      <c r="W71" s="133" t="s">
        <v>268</v>
      </c>
      <c r="X71" s="428"/>
      <c r="AB71" s="430"/>
      <c r="AC71" s="430"/>
      <c r="AD71" s="430"/>
      <c r="AE71" s="430"/>
      <c r="AF71" s="430"/>
      <c r="AG71" s="430"/>
      <c r="AH71" s="431"/>
      <c r="AI71" s="431"/>
      <c r="AJ71" s="430"/>
      <c r="AK71" s="430"/>
      <c r="AL71" s="430"/>
      <c r="AM71" s="430"/>
      <c r="AN71" s="430"/>
      <c r="AO71" s="430"/>
      <c r="AP71" s="430"/>
      <c r="AQ71" s="430"/>
    </row>
    <row r="72" spans="1:43" s="429" customFormat="1" ht="30" x14ac:dyDescent="0.2">
      <c r="A72" s="416"/>
      <c r="B72" s="438" t="s">
        <v>601</v>
      </c>
      <c r="C72" s="436"/>
      <c r="D72" s="419"/>
      <c r="E72" s="419"/>
      <c r="F72" s="433"/>
      <c r="G72" s="439">
        <f>SUM(G73:G74)</f>
        <v>28840</v>
      </c>
      <c r="H72" s="439">
        <f t="shared" ref="H72:R72" si="29">SUM(H73:H74)</f>
        <v>0</v>
      </c>
      <c r="I72" s="439">
        <f t="shared" si="29"/>
        <v>0</v>
      </c>
      <c r="J72" s="439">
        <f t="shared" si="29"/>
        <v>0</v>
      </c>
      <c r="K72" s="439">
        <f t="shared" si="29"/>
        <v>0</v>
      </c>
      <c r="L72" s="439">
        <f t="shared" si="29"/>
        <v>0</v>
      </c>
      <c r="M72" s="439">
        <f t="shared" si="29"/>
        <v>0</v>
      </c>
      <c r="N72" s="439">
        <f t="shared" si="29"/>
        <v>0</v>
      </c>
      <c r="O72" s="439">
        <f t="shared" si="29"/>
        <v>0</v>
      </c>
      <c r="P72" s="439">
        <f t="shared" si="29"/>
        <v>0</v>
      </c>
      <c r="Q72" s="422"/>
      <c r="R72" s="439">
        <f t="shared" si="29"/>
        <v>6880</v>
      </c>
      <c r="S72" s="424"/>
      <c r="T72" s="425"/>
      <c r="U72" s="425"/>
      <c r="V72" s="426"/>
      <c r="W72" s="427"/>
      <c r="X72" s="428"/>
      <c r="AB72" s="430"/>
      <c r="AC72" s="430"/>
      <c r="AD72" s="430"/>
      <c r="AE72" s="430"/>
      <c r="AF72" s="430"/>
      <c r="AG72" s="430"/>
      <c r="AH72" s="431"/>
      <c r="AI72" s="431"/>
      <c r="AJ72" s="430"/>
      <c r="AK72" s="430"/>
      <c r="AL72" s="430"/>
      <c r="AM72" s="430"/>
      <c r="AN72" s="430"/>
      <c r="AO72" s="430"/>
      <c r="AP72" s="430"/>
      <c r="AQ72" s="430"/>
    </row>
    <row r="73" spans="1:43" s="429" customFormat="1" ht="30" x14ac:dyDescent="0.2">
      <c r="A73" s="416">
        <v>1</v>
      </c>
      <c r="B73" s="435" t="s">
        <v>597</v>
      </c>
      <c r="C73" s="436" t="s">
        <v>146</v>
      </c>
      <c r="D73" s="419"/>
      <c r="E73" s="433" t="s">
        <v>179</v>
      </c>
      <c r="F73" s="243" t="s">
        <v>223</v>
      </c>
      <c r="G73" s="421">
        <v>8340</v>
      </c>
      <c r="H73" s="421"/>
      <c r="I73" s="422"/>
      <c r="J73" s="422"/>
      <c r="K73" s="423"/>
      <c r="L73" s="423"/>
      <c r="M73" s="423"/>
      <c r="N73" s="423"/>
      <c r="O73" s="421"/>
      <c r="P73" s="423"/>
      <c r="Q73" s="422"/>
      <c r="R73" s="422">
        <v>4000</v>
      </c>
      <c r="S73" s="424"/>
      <c r="T73" s="425"/>
      <c r="U73" s="425"/>
      <c r="V73" s="118" t="s">
        <v>122</v>
      </c>
      <c r="W73" s="133" t="s">
        <v>268</v>
      </c>
      <c r="X73" s="428"/>
      <c r="AB73" s="430"/>
      <c r="AC73" s="430"/>
      <c r="AD73" s="430"/>
      <c r="AE73" s="430"/>
      <c r="AF73" s="430"/>
      <c r="AG73" s="430"/>
      <c r="AH73" s="431"/>
      <c r="AI73" s="431"/>
      <c r="AJ73" s="430"/>
      <c r="AK73" s="430"/>
      <c r="AL73" s="430"/>
      <c r="AM73" s="430"/>
      <c r="AN73" s="430"/>
      <c r="AO73" s="430"/>
      <c r="AP73" s="430"/>
      <c r="AQ73" s="430"/>
    </row>
    <row r="74" spans="1:43" s="429" customFormat="1" ht="30" x14ac:dyDescent="0.2">
      <c r="A74" s="416">
        <v>2</v>
      </c>
      <c r="B74" s="435" t="s">
        <v>600</v>
      </c>
      <c r="C74" s="436" t="s">
        <v>143</v>
      </c>
      <c r="D74" s="419"/>
      <c r="E74" s="419" t="s">
        <v>466</v>
      </c>
      <c r="F74" s="433" t="s">
        <v>602</v>
      </c>
      <c r="G74" s="421">
        <v>20500</v>
      </c>
      <c r="H74" s="421"/>
      <c r="I74" s="422"/>
      <c r="J74" s="422"/>
      <c r="K74" s="423"/>
      <c r="L74" s="423"/>
      <c r="M74" s="423"/>
      <c r="N74" s="423"/>
      <c r="O74" s="421"/>
      <c r="P74" s="423"/>
      <c r="Q74" s="422"/>
      <c r="R74" s="422">
        <f>9600*30%</f>
        <v>2880</v>
      </c>
      <c r="S74" s="424"/>
      <c r="T74" s="425"/>
      <c r="U74" s="425"/>
      <c r="V74" s="118" t="s">
        <v>122</v>
      </c>
      <c r="W74" s="133" t="s">
        <v>268</v>
      </c>
      <c r="X74" s="428"/>
      <c r="AB74" s="430"/>
      <c r="AC74" s="430"/>
      <c r="AD74" s="430"/>
      <c r="AE74" s="430"/>
      <c r="AF74" s="430"/>
      <c r="AG74" s="430"/>
      <c r="AH74" s="431"/>
      <c r="AI74" s="431"/>
      <c r="AJ74" s="430"/>
      <c r="AK74" s="430"/>
      <c r="AL74" s="430"/>
      <c r="AM74" s="430"/>
      <c r="AN74" s="430"/>
      <c r="AO74" s="430"/>
      <c r="AP74" s="430"/>
      <c r="AQ74" s="430"/>
    </row>
    <row r="75" spans="1:43" s="106" customFormat="1" ht="28.5" x14ac:dyDescent="0.2">
      <c r="A75" s="329" t="s">
        <v>530</v>
      </c>
      <c r="B75" s="330" t="s">
        <v>453</v>
      </c>
      <c r="C75" s="340"/>
      <c r="D75" s="341"/>
      <c r="E75" s="342"/>
      <c r="F75" s="342"/>
      <c r="G75" s="332">
        <f>G76+G78</f>
        <v>13952</v>
      </c>
      <c r="H75" s="332">
        <f t="shared" ref="H75:R75" si="30">H76+H78</f>
        <v>6616</v>
      </c>
      <c r="I75" s="332">
        <f t="shared" si="30"/>
        <v>3505.8649999999998</v>
      </c>
      <c r="J75" s="332">
        <f t="shared" si="30"/>
        <v>2576</v>
      </c>
      <c r="K75" s="332">
        <f t="shared" si="30"/>
        <v>3382.1429999999996</v>
      </c>
      <c r="L75" s="332">
        <f t="shared" si="30"/>
        <v>2632.1429999999996</v>
      </c>
      <c r="M75" s="332">
        <f t="shared" si="30"/>
        <v>0</v>
      </c>
      <c r="N75" s="332">
        <f t="shared" si="30"/>
        <v>0</v>
      </c>
      <c r="O75" s="332">
        <f t="shared" si="30"/>
        <v>6616</v>
      </c>
      <c r="P75" s="332">
        <f t="shared" si="30"/>
        <v>0</v>
      </c>
      <c r="Q75" s="343"/>
      <c r="R75" s="332">
        <f t="shared" si="30"/>
        <v>4997.3999999999996</v>
      </c>
      <c r="S75" s="344"/>
      <c r="T75" s="83"/>
      <c r="U75" s="83"/>
      <c r="V75" s="118"/>
      <c r="W75" s="133"/>
      <c r="X75" s="135"/>
      <c r="Y75" s="74"/>
      <c r="Z75" s="74"/>
      <c r="AA75" s="74"/>
      <c r="AB75" s="103"/>
      <c r="AC75" s="103"/>
      <c r="AD75" s="103"/>
      <c r="AE75" s="103"/>
      <c r="AF75" s="103"/>
      <c r="AG75" s="103"/>
      <c r="AH75" s="365"/>
      <c r="AI75" s="365"/>
      <c r="AJ75" s="103"/>
      <c r="AK75" s="103"/>
      <c r="AL75" s="103"/>
      <c r="AM75" s="103"/>
      <c r="AN75" s="103"/>
      <c r="AO75" s="103"/>
      <c r="AP75" s="103"/>
      <c r="AQ75" s="103"/>
    </row>
    <row r="76" spans="1:43" s="84" customFormat="1" ht="30" x14ac:dyDescent="0.2">
      <c r="A76" s="306"/>
      <c r="B76" s="203" t="s">
        <v>430</v>
      </c>
      <c r="C76" s="205"/>
      <c r="D76" s="203"/>
      <c r="E76" s="203"/>
      <c r="F76" s="205"/>
      <c r="G76" s="206">
        <f>SUM(G77)</f>
        <v>7752</v>
      </c>
      <c r="H76" s="206">
        <f t="shared" ref="H76:R76" si="31">SUM(H77)</f>
        <v>3644</v>
      </c>
      <c r="I76" s="206">
        <f t="shared" si="31"/>
        <v>2616</v>
      </c>
      <c r="J76" s="206">
        <f t="shared" si="31"/>
        <v>2139</v>
      </c>
      <c r="K76" s="206">
        <f t="shared" si="31"/>
        <v>2316.5699999999997</v>
      </c>
      <c r="L76" s="206">
        <f t="shared" si="31"/>
        <v>2316.5699999999997</v>
      </c>
      <c r="M76" s="206">
        <f t="shared" si="31"/>
        <v>0</v>
      </c>
      <c r="N76" s="206">
        <f t="shared" si="31"/>
        <v>0</v>
      </c>
      <c r="O76" s="206">
        <f t="shared" si="31"/>
        <v>3644</v>
      </c>
      <c r="P76" s="206">
        <f t="shared" si="31"/>
        <v>0</v>
      </c>
      <c r="Q76" s="215"/>
      <c r="R76" s="206">
        <f t="shared" si="31"/>
        <v>2816.3999999999996</v>
      </c>
      <c r="S76" s="207"/>
      <c r="T76" s="132"/>
      <c r="U76" s="132"/>
      <c r="V76" s="119"/>
      <c r="W76" s="144"/>
      <c r="Y76" s="145"/>
      <c r="AB76" s="112"/>
      <c r="AC76" s="112"/>
      <c r="AD76" s="112"/>
      <c r="AE76" s="112"/>
      <c r="AF76" s="112"/>
      <c r="AG76" s="112"/>
      <c r="AH76" s="375"/>
      <c r="AI76" s="375"/>
      <c r="AJ76" s="112"/>
      <c r="AK76" s="112"/>
      <c r="AL76" s="112"/>
      <c r="AM76" s="112"/>
      <c r="AN76" s="112"/>
      <c r="AO76" s="112"/>
      <c r="AP76" s="112"/>
      <c r="AQ76" s="112"/>
    </row>
    <row r="77" spans="1:43" s="79" customFormat="1" ht="60" x14ac:dyDescent="0.2">
      <c r="A77" s="183">
        <v>1</v>
      </c>
      <c r="B77" s="184" t="s">
        <v>246</v>
      </c>
      <c r="C77" s="240" t="s">
        <v>429</v>
      </c>
      <c r="D77" s="240" t="s">
        <v>248</v>
      </c>
      <c r="E77" s="240" t="s">
        <v>179</v>
      </c>
      <c r="F77" s="240" t="s">
        <v>251</v>
      </c>
      <c r="G77" s="224">
        <v>7752</v>
      </c>
      <c r="H77" s="224">
        <v>3644</v>
      </c>
      <c r="I77" s="230">
        <v>2616</v>
      </c>
      <c r="J77" s="185">
        <v>2139</v>
      </c>
      <c r="K77" s="276">
        <v>2316.5699999999997</v>
      </c>
      <c r="L77" s="276">
        <v>2316.5699999999997</v>
      </c>
      <c r="M77" s="276"/>
      <c r="N77" s="276"/>
      <c r="O77" s="224">
        <v>3644</v>
      </c>
      <c r="P77" s="276"/>
      <c r="Q77" s="185"/>
      <c r="R77" s="230">
        <f>G77*95%-(O77+904)</f>
        <v>2816.3999999999996</v>
      </c>
      <c r="S77" s="223"/>
      <c r="T77" s="83"/>
      <c r="U77" s="83"/>
      <c r="V77" s="118" t="s">
        <v>122</v>
      </c>
      <c r="W77" s="133" t="s">
        <v>268</v>
      </c>
      <c r="X77" s="115"/>
      <c r="Y77" s="115"/>
      <c r="AB77" s="103"/>
      <c r="AC77" s="103"/>
      <c r="AD77" s="103"/>
      <c r="AE77" s="103"/>
      <c r="AF77" s="103"/>
      <c r="AG77" s="103"/>
      <c r="AH77" s="365"/>
      <c r="AI77" s="365"/>
      <c r="AJ77" s="103"/>
      <c r="AK77" s="103"/>
      <c r="AL77" s="103"/>
      <c r="AM77" s="103"/>
      <c r="AN77" s="103"/>
      <c r="AO77" s="103"/>
      <c r="AP77" s="103"/>
      <c r="AQ77" s="103"/>
    </row>
    <row r="78" spans="1:43" s="84" customFormat="1" ht="30" x14ac:dyDescent="0.2">
      <c r="A78" s="201"/>
      <c r="B78" s="203" t="s">
        <v>431</v>
      </c>
      <c r="C78" s="205"/>
      <c r="D78" s="205"/>
      <c r="E78" s="205"/>
      <c r="F78" s="205"/>
      <c r="G78" s="206">
        <f>SUM(G79:G80)</f>
        <v>6200</v>
      </c>
      <c r="H78" s="206">
        <f t="shared" ref="H78:R78" si="32">SUM(H79:H80)</f>
        <v>2972</v>
      </c>
      <c r="I78" s="206">
        <f t="shared" si="32"/>
        <v>889.86500000000001</v>
      </c>
      <c r="J78" s="206">
        <f t="shared" si="32"/>
        <v>437</v>
      </c>
      <c r="K78" s="206">
        <f t="shared" si="32"/>
        <v>1065.5729999999999</v>
      </c>
      <c r="L78" s="206">
        <f t="shared" si="32"/>
        <v>315.57299999999998</v>
      </c>
      <c r="M78" s="206">
        <f t="shared" si="32"/>
        <v>0</v>
      </c>
      <c r="N78" s="206">
        <f t="shared" si="32"/>
        <v>0</v>
      </c>
      <c r="O78" s="206">
        <f t="shared" si="32"/>
        <v>2972</v>
      </c>
      <c r="P78" s="206">
        <f t="shared" si="32"/>
        <v>0</v>
      </c>
      <c r="Q78" s="215"/>
      <c r="R78" s="206">
        <f t="shared" si="32"/>
        <v>2181</v>
      </c>
      <c r="S78" s="207"/>
      <c r="T78" s="132"/>
      <c r="U78" s="132"/>
      <c r="V78" s="119"/>
      <c r="W78" s="144"/>
      <c r="Y78" s="145"/>
      <c r="AB78" s="112"/>
      <c r="AC78" s="112"/>
      <c r="AD78" s="112"/>
      <c r="AE78" s="112"/>
      <c r="AF78" s="112"/>
      <c r="AG78" s="112"/>
      <c r="AH78" s="375"/>
      <c r="AI78" s="375"/>
      <c r="AJ78" s="112"/>
      <c r="AK78" s="112"/>
      <c r="AL78" s="112"/>
      <c r="AM78" s="112"/>
      <c r="AN78" s="112"/>
      <c r="AO78" s="112"/>
      <c r="AP78" s="112"/>
      <c r="AQ78" s="112"/>
    </row>
    <row r="79" spans="1:43" s="79" customFormat="1" ht="30" x14ac:dyDescent="0.2">
      <c r="A79" s="183">
        <v>1</v>
      </c>
      <c r="B79" s="184" t="s">
        <v>244</v>
      </c>
      <c r="C79" s="240" t="s">
        <v>145</v>
      </c>
      <c r="D79" s="240" t="s">
        <v>247</v>
      </c>
      <c r="E79" s="240" t="s">
        <v>179</v>
      </c>
      <c r="F79" s="240" t="s">
        <v>249</v>
      </c>
      <c r="G79" s="224">
        <v>4650</v>
      </c>
      <c r="H79" s="224">
        <v>2229</v>
      </c>
      <c r="I79" s="225">
        <v>700.10299999999995</v>
      </c>
      <c r="J79" s="185">
        <v>378</v>
      </c>
      <c r="K79" s="276">
        <v>736.62</v>
      </c>
      <c r="L79" s="276">
        <v>196.62</v>
      </c>
      <c r="M79" s="276"/>
      <c r="N79" s="276"/>
      <c r="O79" s="224">
        <v>2229</v>
      </c>
      <c r="P79" s="276"/>
      <c r="Q79" s="185"/>
      <c r="R79" s="230">
        <f>G79*95%-(O79+553)</f>
        <v>1635.5</v>
      </c>
      <c r="S79" s="223"/>
      <c r="T79" s="83"/>
      <c r="U79" s="83"/>
      <c r="V79" s="118" t="s">
        <v>122</v>
      </c>
      <c r="W79" s="133" t="s">
        <v>268</v>
      </c>
      <c r="Y79" s="115"/>
      <c r="AB79" s="103"/>
      <c r="AC79" s="103"/>
      <c r="AD79" s="103"/>
      <c r="AE79" s="103"/>
      <c r="AF79" s="103"/>
      <c r="AG79" s="103"/>
      <c r="AH79" s="365"/>
      <c r="AI79" s="365"/>
      <c r="AJ79" s="103"/>
      <c r="AK79" s="103"/>
      <c r="AL79" s="103"/>
      <c r="AM79" s="103"/>
      <c r="AN79" s="103"/>
      <c r="AO79" s="103"/>
      <c r="AP79" s="103"/>
      <c r="AQ79" s="103"/>
    </row>
    <row r="80" spans="1:43" s="79" customFormat="1" ht="30" x14ac:dyDescent="0.2">
      <c r="A80" s="183">
        <v>2</v>
      </c>
      <c r="B80" s="184" t="s">
        <v>245</v>
      </c>
      <c r="C80" s="240" t="s">
        <v>145</v>
      </c>
      <c r="D80" s="240" t="s">
        <v>247</v>
      </c>
      <c r="E80" s="240" t="s">
        <v>179</v>
      </c>
      <c r="F80" s="240" t="s">
        <v>250</v>
      </c>
      <c r="G80" s="224">
        <v>1550</v>
      </c>
      <c r="H80" s="224">
        <v>743</v>
      </c>
      <c r="I80" s="225">
        <v>189.762</v>
      </c>
      <c r="J80" s="186">
        <v>59</v>
      </c>
      <c r="K80" s="276">
        <v>328.95299999999997</v>
      </c>
      <c r="L80" s="276">
        <v>118.953</v>
      </c>
      <c r="M80" s="276"/>
      <c r="N80" s="276"/>
      <c r="O80" s="224">
        <v>743</v>
      </c>
      <c r="P80" s="276"/>
      <c r="Q80" s="185"/>
      <c r="R80" s="230">
        <f>G80*95%-(O80+184)</f>
        <v>545.5</v>
      </c>
      <c r="S80" s="223"/>
      <c r="T80" s="83"/>
      <c r="U80" s="83"/>
      <c r="V80" s="118" t="s">
        <v>122</v>
      </c>
      <c r="W80" s="133" t="s">
        <v>268</v>
      </c>
      <c r="Y80" s="115"/>
      <c r="AB80" s="103"/>
      <c r="AC80" s="103"/>
      <c r="AD80" s="103"/>
      <c r="AE80" s="103"/>
      <c r="AF80" s="103"/>
      <c r="AG80" s="103"/>
      <c r="AH80" s="365"/>
      <c r="AI80" s="365"/>
      <c r="AJ80" s="103"/>
      <c r="AK80" s="103"/>
      <c r="AL80" s="103"/>
      <c r="AM80" s="103"/>
      <c r="AN80" s="103"/>
      <c r="AO80" s="103"/>
      <c r="AP80" s="103"/>
      <c r="AQ80" s="103"/>
    </row>
    <row r="81" spans="1:43" ht="15" x14ac:dyDescent="0.2">
      <c r="A81" s="323" t="s">
        <v>25</v>
      </c>
      <c r="B81" s="324" t="str">
        <f>'Bieu CKGN (ko in)'!B54</f>
        <v>Vốn đầu tư từ nguồn thu sử dụng đất</v>
      </c>
      <c r="C81" s="324"/>
      <c r="D81" s="324"/>
      <c r="E81" s="324"/>
      <c r="F81" s="325"/>
      <c r="G81" s="326">
        <f>G82+G85</f>
        <v>34330</v>
      </c>
      <c r="H81" s="326">
        <f t="shared" ref="H81:R81" si="33">H82+H85</f>
        <v>12800</v>
      </c>
      <c r="I81" s="326">
        <f t="shared" si="33"/>
        <v>18269</v>
      </c>
      <c r="J81" s="326">
        <f t="shared" si="33"/>
        <v>1050</v>
      </c>
      <c r="K81" s="326">
        <f t="shared" si="33"/>
        <v>1200</v>
      </c>
      <c r="L81" s="326">
        <f t="shared" si="33"/>
        <v>1200</v>
      </c>
      <c r="M81" s="326">
        <f t="shared" si="33"/>
        <v>0</v>
      </c>
      <c r="N81" s="326">
        <f t="shared" si="33"/>
        <v>0</v>
      </c>
      <c r="O81" s="326">
        <f t="shared" si="33"/>
        <v>12800</v>
      </c>
      <c r="P81" s="326">
        <f t="shared" si="33"/>
        <v>0</v>
      </c>
      <c r="Q81" s="327">
        <f>K81/H81*100</f>
        <v>9.375</v>
      </c>
      <c r="R81" s="326">
        <f t="shared" si="33"/>
        <v>9021</v>
      </c>
      <c r="S81" s="328"/>
      <c r="T81" s="83"/>
      <c r="U81" s="83"/>
      <c r="AA81" s="125">
        <f>AA55-K53</f>
        <v>-1836.54</v>
      </c>
      <c r="AH81" s="365"/>
      <c r="AI81" s="365"/>
    </row>
    <row r="82" spans="1:43" ht="28.5" x14ac:dyDescent="0.2">
      <c r="A82" s="345" t="s">
        <v>70</v>
      </c>
      <c r="B82" s="624" t="s">
        <v>454</v>
      </c>
      <c r="C82" s="346"/>
      <c r="D82" s="346"/>
      <c r="E82" s="346"/>
      <c r="F82" s="219"/>
      <c r="G82" s="347">
        <f t="shared" ref="G82:R82" si="34">SUM(G83:G83)</f>
        <v>28000</v>
      </c>
      <c r="H82" s="347">
        <f t="shared" si="34"/>
        <v>10543</v>
      </c>
      <c r="I82" s="347">
        <f t="shared" si="34"/>
        <v>15119</v>
      </c>
      <c r="J82" s="347">
        <f t="shared" si="34"/>
        <v>0</v>
      </c>
      <c r="K82" s="347">
        <f t="shared" si="34"/>
        <v>0</v>
      </c>
      <c r="L82" s="347">
        <f t="shared" si="34"/>
        <v>0</v>
      </c>
      <c r="M82" s="347">
        <f t="shared" si="34"/>
        <v>0</v>
      </c>
      <c r="N82" s="347">
        <f t="shared" si="34"/>
        <v>0</v>
      </c>
      <c r="O82" s="347">
        <f t="shared" si="34"/>
        <v>10543</v>
      </c>
      <c r="P82" s="347">
        <f t="shared" si="34"/>
        <v>0</v>
      </c>
      <c r="Q82" s="348"/>
      <c r="R82" s="347">
        <f t="shared" si="34"/>
        <v>7457</v>
      </c>
      <c r="S82" s="315"/>
      <c r="T82" s="83"/>
      <c r="U82" s="83"/>
      <c r="AH82" s="365"/>
      <c r="AI82" s="365"/>
    </row>
    <row r="83" spans="1:43" ht="15" x14ac:dyDescent="0.2">
      <c r="A83" s="208"/>
      <c r="B83" s="625" t="s">
        <v>455</v>
      </c>
      <c r="C83" s="242"/>
      <c r="D83" s="242"/>
      <c r="E83" s="242"/>
      <c r="F83" s="219"/>
      <c r="G83" s="311">
        <f>SUM(G84)</f>
        <v>28000</v>
      </c>
      <c r="H83" s="311">
        <f t="shared" ref="H83:R83" si="35">SUM(H84)</f>
        <v>10543</v>
      </c>
      <c r="I83" s="311">
        <f t="shared" si="35"/>
        <v>15119</v>
      </c>
      <c r="J83" s="311">
        <f t="shared" si="35"/>
        <v>0</v>
      </c>
      <c r="K83" s="311">
        <f t="shared" si="35"/>
        <v>0</v>
      </c>
      <c r="L83" s="311">
        <f t="shared" si="35"/>
        <v>0</v>
      </c>
      <c r="M83" s="311">
        <f t="shared" si="35"/>
        <v>0</v>
      </c>
      <c r="N83" s="311">
        <f t="shared" si="35"/>
        <v>0</v>
      </c>
      <c r="O83" s="311">
        <f t="shared" si="35"/>
        <v>10543</v>
      </c>
      <c r="P83" s="311">
        <f t="shared" si="35"/>
        <v>0</v>
      </c>
      <c r="Q83" s="335"/>
      <c r="R83" s="311">
        <f t="shared" si="35"/>
        <v>7457</v>
      </c>
      <c r="S83" s="310"/>
      <c r="T83" s="129"/>
      <c r="U83" s="129"/>
      <c r="W83" s="86"/>
      <c r="AH83" s="365"/>
      <c r="AI83" s="365"/>
    </row>
    <row r="84" spans="1:43" s="79" customFormat="1" ht="30" x14ac:dyDescent="0.2">
      <c r="A84" s="183">
        <f>'Bieu CKGN (ko in)'!A63</f>
        <v>1</v>
      </c>
      <c r="B84" s="184" t="str">
        <f>'Bieu CKGN (ko in)'!B63</f>
        <v>Xây dựng hạ tầng kỹ thuật và chỉnh trang đô thị, thị trấn Mường Tè, huyện Mường Tè</v>
      </c>
      <c r="C84" s="218" t="s">
        <v>140</v>
      </c>
      <c r="D84" s="184"/>
      <c r="E84" s="219">
        <v>2022</v>
      </c>
      <c r="F84" s="240" t="str">
        <f>'Bieu CKGN (ko in)'!C63</f>
        <v>628-02/4/2021</v>
      </c>
      <c r="G84" s="224">
        <v>28000</v>
      </c>
      <c r="H84" s="224">
        <v>10543</v>
      </c>
      <c r="I84" s="230">
        <f>9819+1000+4300</f>
        <v>15119</v>
      </c>
      <c r="J84" s="185"/>
      <c r="K84" s="276">
        <f>L84</f>
        <v>0</v>
      </c>
      <c r="L84" s="185"/>
      <c r="M84" s="185"/>
      <c r="N84" s="185"/>
      <c r="O84" s="224">
        <v>10543</v>
      </c>
      <c r="P84" s="185"/>
      <c r="Q84" s="185"/>
      <c r="R84" s="230">
        <f>G84-(O84+10000)</f>
        <v>7457</v>
      </c>
      <c r="S84" s="223"/>
      <c r="T84" s="83"/>
      <c r="U84" s="83"/>
      <c r="V84" s="118" t="s">
        <v>122</v>
      </c>
      <c r="W84" s="133" t="s">
        <v>268</v>
      </c>
      <c r="X84" s="146"/>
      <c r="Z84" s="114">
        <f>K84-X84</f>
        <v>0</v>
      </c>
      <c r="AB84" s="103"/>
      <c r="AC84" s="103"/>
      <c r="AD84" s="103"/>
      <c r="AE84" s="103"/>
      <c r="AF84" s="103"/>
      <c r="AG84" s="103"/>
      <c r="AH84" s="365">
        <f>H84-K84</f>
        <v>10543</v>
      </c>
      <c r="AI84" s="365">
        <f>I84-L84</f>
        <v>15119</v>
      </c>
      <c r="AJ84" s="103"/>
      <c r="AK84" s="103"/>
      <c r="AL84" s="103"/>
      <c r="AM84" s="103"/>
      <c r="AN84" s="103"/>
      <c r="AO84" s="103"/>
      <c r="AP84" s="103"/>
      <c r="AQ84" s="103"/>
    </row>
    <row r="85" spans="1:43" s="79" customFormat="1" ht="15" x14ac:dyDescent="0.2">
      <c r="A85" s="345" t="s">
        <v>76</v>
      </c>
      <c r="B85" s="349" t="s">
        <v>456</v>
      </c>
      <c r="C85" s="218"/>
      <c r="D85" s="184"/>
      <c r="E85" s="219"/>
      <c r="F85" s="240"/>
      <c r="G85" s="350">
        <f>G86+G88</f>
        <v>6330</v>
      </c>
      <c r="H85" s="350">
        <f t="shared" ref="H85:R85" si="36">H86+H88</f>
        <v>2257</v>
      </c>
      <c r="I85" s="350">
        <f t="shared" si="36"/>
        <v>3150</v>
      </c>
      <c r="J85" s="350">
        <f t="shared" si="36"/>
        <v>1050</v>
      </c>
      <c r="K85" s="350">
        <f t="shared" si="36"/>
        <v>1200</v>
      </c>
      <c r="L85" s="350">
        <f t="shared" si="36"/>
        <v>1200</v>
      </c>
      <c r="M85" s="350">
        <f t="shared" si="36"/>
        <v>0</v>
      </c>
      <c r="N85" s="350">
        <f t="shared" si="36"/>
        <v>0</v>
      </c>
      <c r="O85" s="350">
        <f t="shared" si="36"/>
        <v>2257</v>
      </c>
      <c r="P85" s="350">
        <f t="shared" si="36"/>
        <v>0</v>
      </c>
      <c r="Q85" s="185"/>
      <c r="R85" s="411">
        <f t="shared" si="36"/>
        <v>1564</v>
      </c>
      <c r="S85" s="223"/>
      <c r="T85" s="83"/>
      <c r="U85" s="83"/>
      <c r="V85" s="118"/>
      <c r="W85" s="133"/>
      <c r="X85" s="146"/>
      <c r="Z85" s="114"/>
      <c r="AB85" s="103"/>
      <c r="AC85" s="103"/>
      <c r="AD85" s="103"/>
      <c r="AE85" s="103"/>
      <c r="AF85" s="103"/>
      <c r="AG85" s="103"/>
      <c r="AH85" s="365"/>
      <c r="AI85" s="365"/>
      <c r="AJ85" s="103"/>
      <c r="AK85" s="103"/>
      <c r="AL85" s="103"/>
      <c r="AM85" s="103"/>
      <c r="AN85" s="103"/>
      <c r="AO85" s="103"/>
      <c r="AP85" s="103"/>
      <c r="AQ85" s="103"/>
    </row>
    <row r="86" spans="1:43" s="105" customFormat="1" ht="15" x14ac:dyDescent="0.2">
      <c r="A86" s="626" t="s">
        <v>28</v>
      </c>
      <c r="B86" s="625" t="s">
        <v>457</v>
      </c>
      <c r="C86" s="210"/>
      <c r="D86" s="351"/>
      <c r="E86" s="352"/>
      <c r="F86" s="211"/>
      <c r="G86" s="353">
        <f>SUM(G87)</f>
        <v>830</v>
      </c>
      <c r="H86" s="353">
        <f t="shared" ref="H86:R86" si="37">SUM(H87)</f>
        <v>57</v>
      </c>
      <c r="I86" s="353">
        <f t="shared" si="37"/>
        <v>0</v>
      </c>
      <c r="J86" s="353">
        <f t="shared" si="37"/>
        <v>0</v>
      </c>
      <c r="K86" s="353">
        <f t="shared" si="37"/>
        <v>0</v>
      </c>
      <c r="L86" s="353">
        <f t="shared" si="37"/>
        <v>0</v>
      </c>
      <c r="M86" s="353">
        <f t="shared" si="37"/>
        <v>0</v>
      </c>
      <c r="N86" s="353">
        <f t="shared" si="37"/>
        <v>0</v>
      </c>
      <c r="O86" s="353">
        <f t="shared" si="37"/>
        <v>57</v>
      </c>
      <c r="P86" s="353">
        <f t="shared" si="37"/>
        <v>0</v>
      </c>
      <c r="Q86" s="354"/>
      <c r="R86" s="353">
        <f t="shared" si="37"/>
        <v>0</v>
      </c>
      <c r="S86" s="355"/>
      <c r="T86" s="83"/>
      <c r="U86" s="83"/>
      <c r="V86" s="118"/>
      <c r="W86" s="133"/>
      <c r="X86" s="146"/>
      <c r="Y86" s="79"/>
      <c r="Z86" s="114"/>
      <c r="AA86" s="79"/>
      <c r="AB86" s="103"/>
      <c r="AC86" s="103"/>
      <c r="AD86" s="103"/>
      <c r="AE86" s="103"/>
      <c r="AF86" s="103"/>
      <c r="AG86" s="103"/>
      <c r="AH86" s="365"/>
      <c r="AI86" s="365"/>
      <c r="AJ86" s="103"/>
      <c r="AK86" s="103"/>
      <c r="AL86" s="103"/>
      <c r="AM86" s="103"/>
      <c r="AN86" s="103"/>
      <c r="AO86" s="103"/>
      <c r="AP86" s="103"/>
      <c r="AQ86" s="103"/>
    </row>
    <row r="87" spans="1:43" s="79" customFormat="1" ht="30" x14ac:dyDescent="0.2">
      <c r="A87" s="627" t="s">
        <v>458</v>
      </c>
      <c r="B87" s="628" t="s">
        <v>459</v>
      </c>
      <c r="C87" s="451" t="s">
        <v>139</v>
      </c>
      <c r="D87" s="184"/>
      <c r="E87" s="219"/>
      <c r="F87" s="451" t="s">
        <v>460</v>
      </c>
      <c r="G87" s="224">
        <v>830</v>
      </c>
      <c r="H87" s="356">
        <v>57</v>
      </c>
      <c r="I87" s="230"/>
      <c r="J87" s="185"/>
      <c r="K87" s="185">
        <f>L87</f>
        <v>0</v>
      </c>
      <c r="L87" s="185"/>
      <c r="M87" s="185"/>
      <c r="N87" s="185"/>
      <c r="O87" s="356">
        <v>57</v>
      </c>
      <c r="P87" s="185"/>
      <c r="Q87" s="185"/>
      <c r="R87" s="185"/>
      <c r="S87" s="223"/>
      <c r="T87" s="83"/>
      <c r="U87" s="83"/>
      <c r="V87" s="118" t="s">
        <v>124</v>
      </c>
      <c r="W87" s="133" t="s">
        <v>404</v>
      </c>
      <c r="X87" s="146"/>
      <c r="Z87" s="114"/>
      <c r="AB87" s="103"/>
      <c r="AC87" s="103"/>
      <c r="AD87" s="103"/>
      <c r="AE87" s="103"/>
      <c r="AF87" s="103"/>
      <c r="AG87" s="103"/>
      <c r="AH87" s="365"/>
      <c r="AI87" s="365"/>
      <c r="AJ87" s="103"/>
      <c r="AK87" s="103"/>
      <c r="AL87" s="103"/>
      <c r="AM87" s="103"/>
      <c r="AN87" s="103"/>
      <c r="AO87" s="103"/>
      <c r="AP87" s="103"/>
      <c r="AQ87" s="103"/>
    </row>
    <row r="88" spans="1:43" s="79" customFormat="1" ht="15" x14ac:dyDescent="0.2">
      <c r="A88" s="626" t="s">
        <v>30</v>
      </c>
      <c r="B88" s="625" t="s">
        <v>37</v>
      </c>
      <c r="C88" s="218"/>
      <c r="D88" s="184"/>
      <c r="E88" s="219"/>
      <c r="F88" s="240"/>
      <c r="G88" s="206">
        <f>SUM(G89:G90)</f>
        <v>5500</v>
      </c>
      <c r="H88" s="206">
        <f t="shared" ref="H88:R88" si="38">SUM(H89:H90)</f>
        <v>2200</v>
      </c>
      <c r="I88" s="206">
        <f t="shared" si="38"/>
        <v>3150</v>
      </c>
      <c r="J88" s="206">
        <f t="shared" si="38"/>
        <v>1050</v>
      </c>
      <c r="K88" s="206">
        <f t="shared" si="38"/>
        <v>1200</v>
      </c>
      <c r="L88" s="206">
        <f t="shared" si="38"/>
        <v>1200</v>
      </c>
      <c r="M88" s="206">
        <f t="shared" si="38"/>
        <v>0</v>
      </c>
      <c r="N88" s="206">
        <f t="shared" si="38"/>
        <v>0</v>
      </c>
      <c r="O88" s="206">
        <f t="shared" si="38"/>
        <v>2200</v>
      </c>
      <c r="P88" s="206">
        <f t="shared" si="38"/>
        <v>0</v>
      </c>
      <c r="Q88" s="185"/>
      <c r="R88" s="206">
        <f t="shared" si="38"/>
        <v>1564</v>
      </c>
      <c r="S88" s="223"/>
      <c r="T88" s="83"/>
      <c r="U88" s="83"/>
      <c r="V88" s="118"/>
      <c r="W88" s="133"/>
      <c r="X88" s="146"/>
      <c r="Z88" s="114"/>
      <c r="AB88" s="103"/>
      <c r="AC88" s="103"/>
      <c r="AD88" s="103"/>
      <c r="AE88" s="103"/>
      <c r="AF88" s="103"/>
      <c r="AG88" s="103"/>
      <c r="AH88" s="365"/>
      <c r="AI88" s="365"/>
      <c r="AJ88" s="103"/>
      <c r="AK88" s="103"/>
      <c r="AL88" s="103"/>
      <c r="AM88" s="103"/>
      <c r="AN88" s="103"/>
      <c r="AO88" s="103"/>
      <c r="AP88" s="103"/>
      <c r="AQ88" s="103"/>
    </row>
    <row r="89" spans="1:43" s="79" customFormat="1" ht="30" x14ac:dyDescent="0.2">
      <c r="A89" s="183">
        <v>1</v>
      </c>
      <c r="B89" s="209" t="s">
        <v>252</v>
      </c>
      <c r="C89" s="218" t="s">
        <v>146</v>
      </c>
      <c r="D89" s="240" t="s">
        <v>261</v>
      </c>
      <c r="E89" s="212" t="s">
        <v>179</v>
      </c>
      <c r="F89" s="212" t="s">
        <v>264</v>
      </c>
      <c r="G89" s="224">
        <v>3000</v>
      </c>
      <c r="H89" s="224">
        <v>1400</v>
      </c>
      <c r="I89" s="224">
        <v>1400</v>
      </c>
      <c r="J89" s="185">
        <v>800</v>
      </c>
      <c r="K89" s="185">
        <v>1200</v>
      </c>
      <c r="L89" s="185">
        <v>1200</v>
      </c>
      <c r="M89" s="185"/>
      <c r="N89" s="185"/>
      <c r="O89" s="224">
        <v>1400</v>
      </c>
      <c r="P89" s="185"/>
      <c r="Q89" s="185"/>
      <c r="R89" s="185">
        <f>G89-(O89+736)</f>
        <v>864</v>
      </c>
      <c r="S89" s="223"/>
      <c r="T89" s="83"/>
      <c r="U89" s="83"/>
      <c r="V89" s="118" t="s">
        <v>122</v>
      </c>
      <c r="W89" s="133" t="s">
        <v>268</v>
      </c>
      <c r="X89" s="146"/>
      <c r="Z89" s="114"/>
      <c r="AB89" s="103"/>
      <c r="AC89" s="103"/>
      <c r="AD89" s="103"/>
      <c r="AE89" s="103"/>
      <c r="AF89" s="103"/>
      <c r="AG89" s="103"/>
      <c r="AH89" s="365"/>
      <c r="AI89" s="365"/>
      <c r="AJ89" s="103"/>
      <c r="AK89" s="103"/>
      <c r="AL89" s="103"/>
      <c r="AM89" s="103"/>
      <c r="AN89" s="103"/>
      <c r="AO89" s="103"/>
      <c r="AP89" s="103"/>
      <c r="AQ89" s="103"/>
    </row>
    <row r="90" spans="1:43" s="79" customFormat="1" ht="30" x14ac:dyDescent="0.2">
      <c r="A90" s="183">
        <v>2</v>
      </c>
      <c r="B90" s="209" t="s">
        <v>253</v>
      </c>
      <c r="C90" s="218" t="s">
        <v>146</v>
      </c>
      <c r="D90" s="240" t="s">
        <v>262</v>
      </c>
      <c r="E90" s="212" t="s">
        <v>179</v>
      </c>
      <c r="F90" s="212" t="s">
        <v>265</v>
      </c>
      <c r="G90" s="224">
        <v>2500</v>
      </c>
      <c r="H90" s="224">
        <v>800</v>
      </c>
      <c r="I90" s="230">
        <f>1500+J90</f>
        <v>1750</v>
      </c>
      <c r="J90" s="185">
        <v>250</v>
      </c>
      <c r="K90" s="185">
        <f t="shared" ref="K90" si="39">L90</f>
        <v>0</v>
      </c>
      <c r="L90" s="185"/>
      <c r="M90" s="185"/>
      <c r="N90" s="185"/>
      <c r="O90" s="224">
        <v>800</v>
      </c>
      <c r="P90" s="185"/>
      <c r="Q90" s="185"/>
      <c r="R90" s="185">
        <f>G90-(O90+1000)</f>
        <v>700</v>
      </c>
      <c r="S90" s="223"/>
      <c r="T90" s="83"/>
      <c r="U90" s="83"/>
      <c r="V90" s="118" t="s">
        <v>122</v>
      </c>
      <c r="W90" s="147" t="s">
        <v>270</v>
      </c>
      <c r="X90" s="146"/>
      <c r="Z90" s="114"/>
      <c r="AB90" s="103"/>
      <c r="AC90" s="103"/>
      <c r="AD90" s="103"/>
      <c r="AE90" s="103"/>
      <c r="AF90" s="103"/>
      <c r="AG90" s="103"/>
      <c r="AH90" s="365"/>
      <c r="AI90" s="365"/>
      <c r="AJ90" s="103"/>
      <c r="AK90" s="103"/>
      <c r="AL90" s="103"/>
      <c r="AM90" s="103"/>
      <c r="AN90" s="103"/>
      <c r="AO90" s="103"/>
      <c r="AP90" s="103"/>
      <c r="AQ90" s="103"/>
    </row>
    <row r="91" spans="1:43" s="79" customFormat="1" ht="15.75" thickBot="1" x14ac:dyDescent="0.25">
      <c r="A91" s="629"/>
      <c r="B91" s="630"/>
      <c r="C91" s="631"/>
      <c r="D91" s="631"/>
      <c r="E91" s="631"/>
      <c r="F91" s="631"/>
      <c r="G91" s="357"/>
      <c r="H91" s="358"/>
      <c r="I91" s="359"/>
      <c r="J91" s="359"/>
      <c r="K91" s="362"/>
      <c r="L91" s="363"/>
      <c r="M91" s="363"/>
      <c r="N91" s="363"/>
      <c r="O91" s="363"/>
      <c r="P91" s="363"/>
      <c r="Q91" s="360"/>
      <c r="R91" s="360"/>
      <c r="S91" s="361"/>
      <c r="T91" s="83"/>
      <c r="U91" s="83"/>
      <c r="V91" s="118"/>
      <c r="W91" s="133"/>
      <c r="X91" s="146"/>
      <c r="Z91" s="114"/>
      <c r="AB91" s="103"/>
      <c r="AC91" s="103"/>
      <c r="AD91" s="103"/>
      <c r="AE91" s="103"/>
      <c r="AF91" s="103"/>
      <c r="AG91" s="103"/>
      <c r="AH91" s="365"/>
      <c r="AI91" s="365"/>
      <c r="AJ91" s="103"/>
      <c r="AK91" s="103"/>
      <c r="AL91" s="103"/>
      <c r="AM91" s="103"/>
      <c r="AN91" s="103"/>
      <c r="AO91" s="103"/>
      <c r="AP91" s="103"/>
      <c r="AQ91" s="103"/>
    </row>
    <row r="92" spans="1:43" ht="13.5" x14ac:dyDescent="0.2">
      <c r="A92" s="896"/>
      <c r="B92" s="896"/>
      <c r="C92" s="174"/>
      <c r="D92" s="174"/>
      <c r="E92" s="174"/>
      <c r="K92" s="76"/>
      <c r="L92" s="76"/>
      <c r="M92" s="76"/>
      <c r="N92" s="76"/>
      <c r="O92" s="76"/>
      <c r="P92" s="76"/>
      <c r="S92" s="83"/>
      <c r="T92" s="83"/>
      <c r="U92" s="83"/>
    </row>
    <row r="93" spans="1:43" x14ac:dyDescent="0.2">
      <c r="A93" s="94"/>
      <c r="B93" s="97" t="s">
        <v>405</v>
      </c>
      <c r="C93" s="97"/>
      <c r="D93" s="97"/>
      <c r="E93" s="97"/>
      <c r="F93" s="97"/>
      <c r="G93" s="96">
        <f>SUM(G94:G111)</f>
        <v>650361</v>
      </c>
      <c r="H93" s="96">
        <f>SUM(H94:H111)</f>
        <v>59685.502</v>
      </c>
      <c r="I93" s="96">
        <f t="shared" ref="I93:K93" si="40">SUM(I94:J111)</f>
        <v>114288.45</v>
      </c>
      <c r="J93" s="96">
        <f t="shared" si="40"/>
        <v>41129.876000000004</v>
      </c>
      <c r="K93" s="96">
        <f t="shared" si="40"/>
        <v>61324.525000000009</v>
      </c>
      <c r="L93" s="96">
        <f>SUM(L94:L111)</f>
        <v>27921.649000000001</v>
      </c>
      <c r="M93" s="96"/>
      <c r="N93" s="96"/>
      <c r="O93" s="96"/>
      <c r="P93" s="96"/>
      <c r="Q93" s="98">
        <f t="shared" ref="Q93:Q111" si="41">K93/H93*100</f>
        <v>102.74609904428718</v>
      </c>
      <c r="R93" s="98"/>
      <c r="S93" s="97"/>
      <c r="T93" s="164"/>
      <c r="U93" s="165"/>
      <c r="V93" s="166"/>
      <c r="W93" s="96">
        <f>SUM(W94:W111)</f>
        <v>49</v>
      </c>
    </row>
    <row r="94" spans="1:43" x14ac:dyDescent="0.2">
      <c r="A94" s="89">
        <v>1</v>
      </c>
      <c r="B94" s="90" t="s">
        <v>268</v>
      </c>
      <c r="C94" s="88"/>
      <c r="D94" s="88"/>
      <c r="E94" s="88"/>
      <c r="F94" s="88"/>
      <c r="G94" s="87">
        <f t="shared" ref="G94:G111" si="42">SUMIF($W$15:$W$91,B94,$G$15:$G$91)</f>
        <v>644981</v>
      </c>
      <c r="H94" s="87">
        <f t="shared" ref="H94:H111" si="43">SUMIF($W$15:$W$91,B94,$H$15:$H$91)</f>
        <v>58448.502</v>
      </c>
      <c r="I94" s="101">
        <f t="shared" ref="I94:I111" si="44">SUMIF($W$15:$W$91,B94,$I$15:$I$91)</f>
        <v>103011.45</v>
      </c>
      <c r="J94" s="87">
        <f t="shared" ref="J94:J111" si="45">SUMIF($W$15:$W$91,B94,$J$15:$J$91)</f>
        <v>7477</v>
      </c>
      <c r="K94" s="87">
        <f t="shared" ref="K94:K111" si="46">SUMIF($W$15:$W$91,B94,$K$15:$K$91)</f>
        <v>33098.995000000003</v>
      </c>
      <c r="L94" s="87">
        <f t="shared" ref="L94:L111" si="47">SUMIF($W$15:$W$91,B94,$L$15:$L$91)</f>
        <v>27617.768</v>
      </c>
      <c r="M94" s="87"/>
      <c r="N94" s="87"/>
      <c r="O94" s="87"/>
      <c r="P94" s="87"/>
      <c r="Q94" s="95">
        <f t="shared" si="41"/>
        <v>56.629329867170938</v>
      </c>
      <c r="R94" s="95"/>
      <c r="S94" s="88"/>
      <c r="T94" s="167"/>
      <c r="V94" s="168"/>
      <c r="W94" s="169">
        <f t="shared" ref="W94:W111" si="48">COUNTIF($W$12:$W$91,B94)</f>
        <v>46</v>
      </c>
    </row>
    <row r="95" spans="1:43" x14ac:dyDescent="0.2">
      <c r="A95" s="89">
        <v>2</v>
      </c>
      <c r="B95" s="88" t="s">
        <v>404</v>
      </c>
      <c r="C95" s="88"/>
      <c r="D95" s="88"/>
      <c r="E95" s="88"/>
      <c r="F95" s="88"/>
      <c r="G95" s="87">
        <f t="shared" si="42"/>
        <v>830</v>
      </c>
      <c r="H95" s="87">
        <f t="shared" si="43"/>
        <v>57</v>
      </c>
      <c r="I95" s="101">
        <f t="shared" si="44"/>
        <v>0</v>
      </c>
      <c r="J95" s="87">
        <f t="shared" si="45"/>
        <v>0</v>
      </c>
      <c r="K95" s="87">
        <f t="shared" si="46"/>
        <v>0</v>
      </c>
      <c r="L95" s="87">
        <f t="shared" si="47"/>
        <v>0</v>
      </c>
      <c r="M95" s="87"/>
      <c r="N95" s="87"/>
      <c r="O95" s="87"/>
      <c r="P95" s="87"/>
      <c r="Q95" s="95">
        <f t="shared" si="41"/>
        <v>0</v>
      </c>
      <c r="R95" s="95"/>
      <c r="S95" s="88"/>
      <c r="T95" s="167"/>
      <c r="V95" s="168"/>
      <c r="W95" s="169">
        <f t="shared" si="48"/>
        <v>1</v>
      </c>
    </row>
    <row r="96" spans="1:43" x14ac:dyDescent="0.2">
      <c r="A96" s="89">
        <v>3</v>
      </c>
      <c r="B96" s="74" t="s">
        <v>403</v>
      </c>
      <c r="C96" s="88"/>
      <c r="D96" s="88"/>
      <c r="E96" s="88"/>
      <c r="F96" s="88"/>
      <c r="G96" s="87">
        <f t="shared" si="42"/>
        <v>2050</v>
      </c>
      <c r="H96" s="87">
        <f t="shared" si="43"/>
        <v>380</v>
      </c>
      <c r="I96" s="101">
        <f t="shared" si="44"/>
        <v>1800</v>
      </c>
      <c r="J96" s="87">
        <f t="shared" si="45"/>
        <v>0</v>
      </c>
      <c r="K96" s="87">
        <f t="shared" si="46"/>
        <v>303.88099999999997</v>
      </c>
      <c r="L96" s="87">
        <f t="shared" si="47"/>
        <v>303.88099999999997</v>
      </c>
      <c r="M96" s="87"/>
      <c r="N96" s="87"/>
      <c r="O96" s="87"/>
      <c r="P96" s="87"/>
      <c r="Q96" s="95">
        <f t="shared" si="41"/>
        <v>79.968684210526305</v>
      </c>
      <c r="R96" s="95"/>
      <c r="S96" s="88"/>
      <c r="T96" s="167"/>
      <c r="V96" s="168"/>
      <c r="W96" s="169">
        <f t="shared" si="48"/>
        <v>1</v>
      </c>
    </row>
    <row r="97" spans="1:49" x14ac:dyDescent="0.2">
      <c r="A97" s="89">
        <v>4</v>
      </c>
      <c r="B97" s="91" t="s">
        <v>353</v>
      </c>
      <c r="C97" s="88"/>
      <c r="D97" s="88"/>
      <c r="E97" s="88"/>
      <c r="F97" s="88"/>
      <c r="G97" s="87">
        <f t="shared" si="42"/>
        <v>0</v>
      </c>
      <c r="H97" s="87">
        <f t="shared" si="43"/>
        <v>0</v>
      </c>
      <c r="I97" s="101">
        <f t="shared" si="44"/>
        <v>0</v>
      </c>
      <c r="J97" s="87">
        <f t="shared" si="45"/>
        <v>0</v>
      </c>
      <c r="K97" s="87">
        <f t="shared" si="46"/>
        <v>0</v>
      </c>
      <c r="L97" s="87">
        <f t="shared" si="47"/>
        <v>0</v>
      </c>
      <c r="M97" s="87"/>
      <c r="N97" s="87"/>
      <c r="O97" s="87"/>
      <c r="P97" s="87"/>
      <c r="Q97" s="95" t="e">
        <f t="shared" si="41"/>
        <v>#DIV/0!</v>
      </c>
      <c r="R97" s="95"/>
      <c r="S97" s="88"/>
      <c r="T97" s="167"/>
      <c r="V97" s="168"/>
      <c r="W97" s="169">
        <f t="shared" si="48"/>
        <v>0</v>
      </c>
    </row>
    <row r="98" spans="1:49" x14ac:dyDescent="0.2">
      <c r="A98" s="89">
        <v>5</v>
      </c>
      <c r="B98" s="92" t="s">
        <v>274</v>
      </c>
      <c r="C98" s="88"/>
      <c r="D98" s="88"/>
      <c r="E98" s="88"/>
      <c r="F98" s="88"/>
      <c r="G98" s="87">
        <f t="shared" si="42"/>
        <v>0</v>
      </c>
      <c r="H98" s="87">
        <f t="shared" si="43"/>
        <v>0</v>
      </c>
      <c r="I98" s="101">
        <f t="shared" si="44"/>
        <v>0</v>
      </c>
      <c r="J98" s="87">
        <f t="shared" si="45"/>
        <v>0</v>
      </c>
      <c r="K98" s="87">
        <f t="shared" si="46"/>
        <v>0</v>
      </c>
      <c r="L98" s="87">
        <f t="shared" si="47"/>
        <v>0</v>
      </c>
      <c r="M98" s="87"/>
      <c r="N98" s="87"/>
      <c r="O98" s="87"/>
      <c r="P98" s="87"/>
      <c r="Q98" s="95" t="e">
        <f t="shared" si="41"/>
        <v>#DIV/0!</v>
      </c>
      <c r="R98" s="95"/>
      <c r="S98" s="88"/>
      <c r="T98" s="167"/>
      <c r="V98" s="168"/>
      <c r="W98" s="169">
        <f t="shared" si="48"/>
        <v>0</v>
      </c>
    </row>
    <row r="99" spans="1:49" s="103" customFormat="1" x14ac:dyDescent="0.2">
      <c r="A99" s="89">
        <v>6</v>
      </c>
      <c r="B99" s="91" t="s">
        <v>279</v>
      </c>
      <c r="C99" s="88"/>
      <c r="D99" s="88"/>
      <c r="E99" s="88"/>
      <c r="F99" s="88"/>
      <c r="G99" s="87">
        <f t="shared" si="42"/>
        <v>0</v>
      </c>
      <c r="H99" s="87">
        <f t="shared" si="43"/>
        <v>0</v>
      </c>
      <c r="I99" s="101">
        <f t="shared" si="44"/>
        <v>0</v>
      </c>
      <c r="J99" s="87">
        <f t="shared" si="45"/>
        <v>0</v>
      </c>
      <c r="K99" s="87">
        <f t="shared" si="46"/>
        <v>0</v>
      </c>
      <c r="L99" s="87">
        <f t="shared" si="47"/>
        <v>0</v>
      </c>
      <c r="M99" s="87"/>
      <c r="N99" s="87"/>
      <c r="O99" s="87"/>
      <c r="P99" s="87"/>
      <c r="Q99" s="95" t="e">
        <f t="shared" si="41"/>
        <v>#DIV/0!</v>
      </c>
      <c r="R99" s="95"/>
      <c r="S99" s="88"/>
      <c r="T99" s="167"/>
      <c r="U99" s="74"/>
      <c r="V99" s="168"/>
      <c r="W99" s="169">
        <f t="shared" si="48"/>
        <v>0</v>
      </c>
      <c r="X99" s="74"/>
      <c r="Y99" s="74"/>
      <c r="Z99" s="74"/>
      <c r="AA99" s="74"/>
      <c r="AR99" s="74"/>
      <c r="AS99" s="74"/>
      <c r="AT99" s="74"/>
      <c r="AU99" s="74"/>
      <c r="AV99" s="74"/>
      <c r="AW99" s="74"/>
    </row>
    <row r="100" spans="1:49" s="103" customFormat="1" x14ac:dyDescent="0.2">
      <c r="A100" s="89">
        <v>7</v>
      </c>
      <c r="B100" s="91" t="s">
        <v>277</v>
      </c>
      <c r="C100" s="88"/>
      <c r="D100" s="88"/>
      <c r="E100" s="88"/>
      <c r="F100" s="88"/>
      <c r="G100" s="87">
        <f t="shared" si="42"/>
        <v>0</v>
      </c>
      <c r="H100" s="87">
        <f t="shared" si="43"/>
        <v>0</v>
      </c>
      <c r="I100" s="101">
        <f t="shared" si="44"/>
        <v>0</v>
      </c>
      <c r="J100" s="87">
        <f t="shared" si="45"/>
        <v>0</v>
      </c>
      <c r="K100" s="87">
        <f t="shared" si="46"/>
        <v>0</v>
      </c>
      <c r="L100" s="87">
        <f t="shared" si="47"/>
        <v>0</v>
      </c>
      <c r="M100" s="87"/>
      <c r="N100" s="87"/>
      <c r="O100" s="87"/>
      <c r="P100" s="87"/>
      <c r="Q100" s="95" t="e">
        <f t="shared" si="41"/>
        <v>#DIV/0!</v>
      </c>
      <c r="R100" s="95"/>
      <c r="S100" s="88"/>
      <c r="T100" s="167"/>
      <c r="U100" s="74"/>
      <c r="V100" s="168"/>
      <c r="W100" s="169">
        <f t="shared" si="48"/>
        <v>0</v>
      </c>
      <c r="X100" s="74"/>
      <c r="Y100" s="74"/>
      <c r="Z100" s="74">
        <v>7</v>
      </c>
      <c r="AA100" s="77">
        <f>H100</f>
        <v>0</v>
      </c>
      <c r="AR100" s="74"/>
      <c r="AS100" s="74"/>
      <c r="AT100" s="74"/>
      <c r="AU100" s="74"/>
      <c r="AV100" s="74"/>
      <c r="AW100" s="74"/>
    </row>
    <row r="101" spans="1:49" s="103" customFormat="1" x14ac:dyDescent="0.2">
      <c r="A101" s="89">
        <v>8</v>
      </c>
      <c r="B101" s="91" t="s">
        <v>270</v>
      </c>
      <c r="C101" s="88"/>
      <c r="D101" s="88"/>
      <c r="E101" s="88"/>
      <c r="F101" s="88"/>
      <c r="G101" s="87">
        <f t="shared" si="42"/>
        <v>2500</v>
      </c>
      <c r="H101" s="87">
        <f t="shared" si="43"/>
        <v>800</v>
      </c>
      <c r="I101" s="101">
        <f t="shared" si="44"/>
        <v>1750</v>
      </c>
      <c r="J101" s="87">
        <f t="shared" si="45"/>
        <v>250</v>
      </c>
      <c r="K101" s="87">
        <f t="shared" si="46"/>
        <v>0</v>
      </c>
      <c r="L101" s="87">
        <f t="shared" si="47"/>
        <v>0</v>
      </c>
      <c r="M101" s="87"/>
      <c r="N101" s="87"/>
      <c r="O101" s="87"/>
      <c r="P101" s="87"/>
      <c r="Q101" s="95">
        <f t="shared" si="41"/>
        <v>0</v>
      </c>
      <c r="R101" s="95"/>
      <c r="S101" s="88"/>
      <c r="T101" s="167"/>
      <c r="U101" s="74"/>
      <c r="V101" s="168"/>
      <c r="W101" s="169">
        <f t="shared" si="48"/>
        <v>1</v>
      </c>
      <c r="X101" s="74"/>
      <c r="Y101" s="74"/>
      <c r="Z101" s="74"/>
      <c r="AA101" s="77"/>
      <c r="AR101" s="74"/>
      <c r="AS101" s="74"/>
      <c r="AT101" s="74"/>
      <c r="AU101" s="74"/>
      <c r="AV101" s="74"/>
      <c r="AW101" s="74"/>
    </row>
    <row r="102" spans="1:49" s="103" customFormat="1" x14ac:dyDescent="0.2">
      <c r="A102" s="89">
        <v>9</v>
      </c>
      <c r="B102" s="93" t="s">
        <v>276</v>
      </c>
      <c r="C102" s="88"/>
      <c r="D102" s="88"/>
      <c r="E102" s="88"/>
      <c r="F102" s="88"/>
      <c r="G102" s="87">
        <f t="shared" si="42"/>
        <v>0</v>
      </c>
      <c r="H102" s="87">
        <f t="shared" si="43"/>
        <v>0</v>
      </c>
      <c r="I102" s="101">
        <f t="shared" si="44"/>
        <v>0</v>
      </c>
      <c r="J102" s="87">
        <f t="shared" si="45"/>
        <v>0</v>
      </c>
      <c r="K102" s="87">
        <f t="shared" si="46"/>
        <v>0</v>
      </c>
      <c r="L102" s="87">
        <f t="shared" si="47"/>
        <v>0</v>
      </c>
      <c r="M102" s="87"/>
      <c r="N102" s="87"/>
      <c r="O102" s="87"/>
      <c r="P102" s="87"/>
      <c r="Q102" s="95" t="e">
        <f t="shared" si="41"/>
        <v>#DIV/0!</v>
      </c>
      <c r="R102" s="95"/>
      <c r="S102" s="88"/>
      <c r="T102" s="167"/>
      <c r="U102" s="74"/>
      <c r="V102" s="168"/>
      <c r="W102" s="169">
        <f t="shared" si="48"/>
        <v>0</v>
      </c>
      <c r="X102" s="74"/>
      <c r="Y102" s="74"/>
      <c r="Z102" s="74"/>
      <c r="AA102" s="74"/>
      <c r="AR102" s="74"/>
      <c r="AS102" s="74"/>
      <c r="AT102" s="74"/>
      <c r="AU102" s="74"/>
      <c r="AV102" s="74"/>
      <c r="AW102" s="74"/>
    </row>
    <row r="103" spans="1:49" s="103" customFormat="1" x14ac:dyDescent="0.2">
      <c r="A103" s="89">
        <v>10</v>
      </c>
      <c r="B103" s="91" t="s">
        <v>352</v>
      </c>
      <c r="C103" s="88"/>
      <c r="D103" s="88"/>
      <c r="E103" s="88"/>
      <c r="F103" s="88"/>
      <c r="G103" s="87">
        <f t="shared" si="42"/>
        <v>0</v>
      </c>
      <c r="H103" s="87">
        <f t="shared" si="43"/>
        <v>0</v>
      </c>
      <c r="I103" s="101">
        <f t="shared" si="44"/>
        <v>0</v>
      </c>
      <c r="J103" s="87">
        <f t="shared" si="45"/>
        <v>0</v>
      </c>
      <c r="K103" s="87">
        <f t="shared" si="46"/>
        <v>0</v>
      </c>
      <c r="L103" s="87">
        <f t="shared" si="47"/>
        <v>0</v>
      </c>
      <c r="M103" s="87"/>
      <c r="N103" s="87"/>
      <c r="O103" s="87"/>
      <c r="P103" s="87"/>
      <c r="Q103" s="95" t="e">
        <f t="shared" si="41"/>
        <v>#DIV/0!</v>
      </c>
      <c r="R103" s="95"/>
      <c r="S103" s="88"/>
      <c r="T103" s="167"/>
      <c r="U103" s="74"/>
      <c r="V103" s="168"/>
      <c r="W103" s="169">
        <f t="shared" si="48"/>
        <v>0</v>
      </c>
      <c r="X103" s="74"/>
      <c r="Y103" s="74"/>
      <c r="Z103" s="74"/>
      <c r="AA103" s="74"/>
      <c r="AR103" s="74"/>
      <c r="AS103" s="74"/>
      <c r="AT103" s="74"/>
      <c r="AU103" s="74"/>
      <c r="AV103" s="74"/>
      <c r="AW103" s="74"/>
    </row>
    <row r="104" spans="1:49" s="103" customFormat="1" x14ac:dyDescent="0.2">
      <c r="A104" s="89">
        <v>11</v>
      </c>
      <c r="B104" s="91" t="s">
        <v>280</v>
      </c>
      <c r="C104" s="88"/>
      <c r="D104" s="88"/>
      <c r="E104" s="88"/>
      <c r="F104" s="88"/>
      <c r="G104" s="87">
        <f t="shared" si="42"/>
        <v>0</v>
      </c>
      <c r="H104" s="87">
        <f t="shared" si="43"/>
        <v>0</v>
      </c>
      <c r="I104" s="101">
        <f t="shared" si="44"/>
        <v>0</v>
      </c>
      <c r="J104" s="87">
        <f t="shared" si="45"/>
        <v>0</v>
      </c>
      <c r="K104" s="87">
        <f t="shared" si="46"/>
        <v>0</v>
      </c>
      <c r="L104" s="87">
        <f t="shared" si="47"/>
        <v>0</v>
      </c>
      <c r="M104" s="87"/>
      <c r="N104" s="87"/>
      <c r="O104" s="87"/>
      <c r="P104" s="87"/>
      <c r="Q104" s="95" t="e">
        <f t="shared" si="41"/>
        <v>#DIV/0!</v>
      </c>
      <c r="R104" s="95"/>
      <c r="S104" s="88"/>
      <c r="T104" s="167"/>
      <c r="U104" s="74"/>
      <c r="V104" s="168"/>
      <c r="W104" s="169">
        <f t="shared" si="48"/>
        <v>0</v>
      </c>
      <c r="X104" s="74"/>
      <c r="Y104" s="74"/>
      <c r="Z104" s="74"/>
      <c r="AA104" s="74"/>
      <c r="AR104" s="74"/>
      <c r="AS104" s="74"/>
      <c r="AT104" s="74"/>
      <c r="AU104" s="74"/>
      <c r="AV104" s="74"/>
      <c r="AW104" s="74"/>
    </row>
    <row r="105" spans="1:49" s="103" customFormat="1" x14ac:dyDescent="0.2">
      <c r="A105" s="89">
        <v>12</v>
      </c>
      <c r="B105" s="91" t="s">
        <v>272</v>
      </c>
      <c r="C105" s="88"/>
      <c r="D105" s="88"/>
      <c r="E105" s="88"/>
      <c r="F105" s="88"/>
      <c r="G105" s="87">
        <f t="shared" si="42"/>
        <v>0</v>
      </c>
      <c r="H105" s="87">
        <f t="shared" si="43"/>
        <v>0</v>
      </c>
      <c r="I105" s="101">
        <f t="shared" si="44"/>
        <v>0</v>
      </c>
      <c r="J105" s="87">
        <f t="shared" si="45"/>
        <v>0</v>
      </c>
      <c r="K105" s="87">
        <f t="shared" si="46"/>
        <v>0</v>
      </c>
      <c r="L105" s="87">
        <f t="shared" si="47"/>
        <v>0</v>
      </c>
      <c r="M105" s="87"/>
      <c r="N105" s="87"/>
      <c r="O105" s="87"/>
      <c r="P105" s="87"/>
      <c r="Q105" s="95" t="e">
        <f t="shared" si="41"/>
        <v>#DIV/0!</v>
      </c>
      <c r="R105" s="95"/>
      <c r="S105" s="88"/>
      <c r="T105" s="167"/>
      <c r="U105" s="74"/>
      <c r="V105" s="168"/>
      <c r="W105" s="169">
        <f t="shared" si="48"/>
        <v>0</v>
      </c>
      <c r="X105" s="74"/>
      <c r="Y105" s="74"/>
      <c r="Z105" s="74">
        <v>3</v>
      </c>
      <c r="AA105" s="77">
        <f>H105</f>
        <v>0</v>
      </c>
      <c r="AR105" s="74"/>
      <c r="AS105" s="74"/>
      <c r="AT105" s="74"/>
      <c r="AU105" s="74"/>
      <c r="AV105" s="74"/>
      <c r="AW105" s="74"/>
    </row>
    <row r="106" spans="1:49" s="103" customFormat="1" x14ac:dyDescent="0.2">
      <c r="A106" s="89">
        <v>13</v>
      </c>
      <c r="B106" s="91" t="s">
        <v>278</v>
      </c>
      <c r="C106" s="88"/>
      <c r="D106" s="88"/>
      <c r="E106" s="88"/>
      <c r="F106" s="88"/>
      <c r="G106" s="87">
        <f t="shared" si="42"/>
        <v>0</v>
      </c>
      <c r="H106" s="87">
        <f t="shared" si="43"/>
        <v>0</v>
      </c>
      <c r="I106" s="101">
        <f t="shared" si="44"/>
        <v>0</v>
      </c>
      <c r="J106" s="87">
        <f t="shared" si="45"/>
        <v>0</v>
      </c>
      <c r="K106" s="87">
        <f t="shared" si="46"/>
        <v>0</v>
      </c>
      <c r="L106" s="87">
        <f t="shared" si="47"/>
        <v>0</v>
      </c>
      <c r="M106" s="87"/>
      <c r="N106" s="87"/>
      <c r="O106" s="87"/>
      <c r="P106" s="87"/>
      <c r="Q106" s="95" t="e">
        <f t="shared" si="41"/>
        <v>#DIV/0!</v>
      </c>
      <c r="R106" s="95"/>
      <c r="S106" s="88"/>
      <c r="T106" s="167"/>
      <c r="U106" s="74"/>
      <c r="V106" s="168"/>
      <c r="W106" s="169">
        <f t="shared" si="48"/>
        <v>0</v>
      </c>
      <c r="X106" s="74"/>
      <c r="Y106" s="74"/>
      <c r="Z106" s="74"/>
      <c r="AA106" s="74"/>
      <c r="AR106" s="74"/>
      <c r="AS106" s="74"/>
      <c r="AT106" s="74"/>
      <c r="AU106" s="74"/>
      <c r="AV106" s="74"/>
      <c r="AW106" s="74"/>
    </row>
    <row r="107" spans="1:49" s="103" customFormat="1" x14ac:dyDescent="0.2">
      <c r="A107" s="89">
        <v>14</v>
      </c>
      <c r="B107" s="91" t="s">
        <v>271</v>
      </c>
      <c r="C107" s="88"/>
      <c r="D107" s="88"/>
      <c r="E107" s="88"/>
      <c r="F107" s="88"/>
      <c r="G107" s="87">
        <f t="shared" si="42"/>
        <v>0</v>
      </c>
      <c r="H107" s="87">
        <f t="shared" si="43"/>
        <v>0</v>
      </c>
      <c r="I107" s="101">
        <f t="shared" si="44"/>
        <v>0</v>
      </c>
      <c r="J107" s="87">
        <f t="shared" si="45"/>
        <v>0</v>
      </c>
      <c r="K107" s="87">
        <f t="shared" si="46"/>
        <v>0</v>
      </c>
      <c r="L107" s="87">
        <f t="shared" si="47"/>
        <v>0</v>
      </c>
      <c r="M107" s="87"/>
      <c r="N107" s="87"/>
      <c r="O107" s="87"/>
      <c r="P107" s="87"/>
      <c r="Q107" s="95" t="e">
        <f t="shared" si="41"/>
        <v>#DIV/0!</v>
      </c>
      <c r="R107" s="95"/>
      <c r="S107" s="88"/>
      <c r="T107" s="167"/>
      <c r="U107" s="74"/>
      <c r="V107" s="168"/>
      <c r="W107" s="169">
        <f t="shared" si="48"/>
        <v>0</v>
      </c>
      <c r="X107" s="74"/>
      <c r="Y107" s="74"/>
      <c r="Z107" s="74">
        <v>5</v>
      </c>
      <c r="AA107" s="77">
        <f>H107</f>
        <v>0</v>
      </c>
      <c r="AR107" s="74"/>
      <c r="AS107" s="74"/>
      <c r="AT107" s="74"/>
      <c r="AU107" s="74"/>
      <c r="AV107" s="74"/>
      <c r="AW107" s="74"/>
    </row>
    <row r="108" spans="1:49" s="103" customFormat="1" x14ac:dyDescent="0.2">
      <c r="A108" s="89">
        <v>15</v>
      </c>
      <c r="B108" s="91" t="s">
        <v>269</v>
      </c>
      <c r="C108" s="88"/>
      <c r="D108" s="88"/>
      <c r="E108" s="88"/>
      <c r="F108" s="88"/>
      <c r="G108" s="87">
        <f t="shared" si="42"/>
        <v>0</v>
      </c>
      <c r="H108" s="87">
        <f t="shared" si="43"/>
        <v>0</v>
      </c>
      <c r="I108" s="101">
        <f t="shared" si="44"/>
        <v>0</v>
      </c>
      <c r="J108" s="87">
        <f t="shared" si="45"/>
        <v>0</v>
      </c>
      <c r="K108" s="87">
        <f t="shared" si="46"/>
        <v>0</v>
      </c>
      <c r="L108" s="87">
        <f t="shared" si="47"/>
        <v>0</v>
      </c>
      <c r="M108" s="87"/>
      <c r="N108" s="87"/>
      <c r="O108" s="87"/>
      <c r="P108" s="87"/>
      <c r="Q108" s="95" t="e">
        <f t="shared" si="41"/>
        <v>#DIV/0!</v>
      </c>
      <c r="R108" s="95"/>
      <c r="S108" s="88"/>
      <c r="T108" s="167"/>
      <c r="U108" s="74"/>
      <c r="V108" s="168"/>
      <c r="W108" s="169">
        <f t="shared" si="48"/>
        <v>0</v>
      </c>
      <c r="X108" s="74"/>
      <c r="Y108" s="74"/>
      <c r="Z108" s="74">
        <v>6</v>
      </c>
      <c r="AA108" s="77">
        <f>H108</f>
        <v>0</v>
      </c>
      <c r="AR108" s="74"/>
      <c r="AS108" s="74"/>
      <c r="AT108" s="74"/>
      <c r="AU108" s="74"/>
      <c r="AV108" s="74"/>
      <c r="AW108" s="74"/>
    </row>
    <row r="109" spans="1:49" s="103" customFormat="1" x14ac:dyDescent="0.2">
      <c r="A109" s="89">
        <v>16</v>
      </c>
      <c r="B109" s="91" t="s">
        <v>275</v>
      </c>
      <c r="C109" s="88"/>
      <c r="D109" s="88"/>
      <c r="E109" s="88"/>
      <c r="F109" s="88"/>
      <c r="G109" s="87">
        <f t="shared" si="42"/>
        <v>0</v>
      </c>
      <c r="H109" s="87">
        <f t="shared" si="43"/>
        <v>0</v>
      </c>
      <c r="I109" s="101">
        <f t="shared" si="44"/>
        <v>0</v>
      </c>
      <c r="J109" s="87">
        <f t="shared" si="45"/>
        <v>0</v>
      </c>
      <c r="K109" s="87">
        <f t="shared" si="46"/>
        <v>0</v>
      </c>
      <c r="L109" s="87">
        <f t="shared" si="47"/>
        <v>0</v>
      </c>
      <c r="M109" s="87"/>
      <c r="N109" s="87"/>
      <c r="O109" s="87"/>
      <c r="P109" s="87"/>
      <c r="Q109" s="95" t="e">
        <f t="shared" si="41"/>
        <v>#DIV/0!</v>
      </c>
      <c r="R109" s="95"/>
      <c r="S109" s="88"/>
      <c r="T109" s="167"/>
      <c r="U109" s="74"/>
      <c r="V109" s="168"/>
      <c r="W109" s="169">
        <f t="shared" si="48"/>
        <v>0</v>
      </c>
      <c r="X109" s="74"/>
      <c r="Y109" s="74"/>
      <c r="Z109" s="74">
        <v>3</v>
      </c>
      <c r="AA109" s="77">
        <f>H109</f>
        <v>0</v>
      </c>
      <c r="AR109" s="74"/>
      <c r="AS109" s="74"/>
      <c r="AT109" s="74"/>
      <c r="AU109" s="74"/>
      <c r="AV109" s="74"/>
      <c r="AW109" s="74"/>
    </row>
    <row r="110" spans="1:49" s="103" customFormat="1" x14ac:dyDescent="0.2">
      <c r="A110" s="89">
        <v>17</v>
      </c>
      <c r="B110" s="91" t="s">
        <v>273</v>
      </c>
      <c r="C110" s="88"/>
      <c r="D110" s="88"/>
      <c r="E110" s="88"/>
      <c r="F110" s="88"/>
      <c r="G110" s="87">
        <f t="shared" si="42"/>
        <v>0</v>
      </c>
      <c r="H110" s="87">
        <f t="shared" si="43"/>
        <v>0</v>
      </c>
      <c r="I110" s="101">
        <f t="shared" si="44"/>
        <v>0</v>
      </c>
      <c r="J110" s="87">
        <f t="shared" si="45"/>
        <v>0</v>
      </c>
      <c r="K110" s="87">
        <f t="shared" si="46"/>
        <v>0</v>
      </c>
      <c r="L110" s="87">
        <f t="shared" si="47"/>
        <v>0</v>
      </c>
      <c r="M110" s="87"/>
      <c r="N110" s="87"/>
      <c r="O110" s="87"/>
      <c r="P110" s="87"/>
      <c r="Q110" s="95" t="e">
        <f t="shared" si="41"/>
        <v>#DIV/0!</v>
      </c>
      <c r="R110" s="95"/>
      <c r="S110" s="88"/>
      <c r="T110" s="167"/>
      <c r="U110" s="74"/>
      <c r="V110" s="168"/>
      <c r="W110" s="169">
        <f t="shared" si="48"/>
        <v>0</v>
      </c>
      <c r="X110" s="74"/>
      <c r="Y110" s="74"/>
      <c r="Z110" s="74">
        <v>4</v>
      </c>
      <c r="AA110" s="77">
        <f>H110</f>
        <v>0</v>
      </c>
      <c r="AR110" s="74"/>
      <c r="AS110" s="74"/>
      <c r="AT110" s="74"/>
      <c r="AU110" s="74"/>
      <c r="AV110" s="74"/>
      <c r="AW110" s="74"/>
    </row>
    <row r="111" spans="1:49" s="103" customFormat="1" x14ac:dyDescent="0.2">
      <c r="A111" s="86"/>
      <c r="B111" s="116" t="s">
        <v>536</v>
      </c>
      <c r="C111" s="74"/>
      <c r="D111" s="74"/>
      <c r="E111" s="74"/>
      <c r="F111" s="74"/>
      <c r="G111" s="87">
        <f t="shared" si="42"/>
        <v>0</v>
      </c>
      <c r="H111" s="87">
        <f t="shared" si="43"/>
        <v>0</v>
      </c>
      <c r="I111" s="101">
        <f t="shared" si="44"/>
        <v>0</v>
      </c>
      <c r="J111" s="87">
        <f t="shared" si="45"/>
        <v>0</v>
      </c>
      <c r="K111" s="87">
        <f t="shared" si="46"/>
        <v>0</v>
      </c>
      <c r="L111" s="87">
        <f t="shared" si="47"/>
        <v>0</v>
      </c>
      <c r="M111" s="87"/>
      <c r="N111" s="87"/>
      <c r="O111" s="87"/>
      <c r="P111" s="87"/>
      <c r="Q111" s="95" t="e">
        <f t="shared" si="41"/>
        <v>#DIV/0!</v>
      </c>
      <c r="R111" s="381"/>
      <c r="S111" s="74"/>
      <c r="T111" s="74"/>
      <c r="U111" s="74"/>
      <c r="V111" s="118"/>
      <c r="W111" s="169">
        <f t="shared" si="48"/>
        <v>0</v>
      </c>
      <c r="X111" s="74"/>
      <c r="Y111" s="74"/>
      <c r="Z111" s="74">
        <f>SUM(Z100:Z110)</f>
        <v>28</v>
      </c>
      <c r="AA111" s="74"/>
      <c r="AR111" s="74"/>
      <c r="AS111" s="74"/>
      <c r="AT111" s="74"/>
      <c r="AU111" s="74"/>
      <c r="AV111" s="74"/>
      <c r="AW111" s="74"/>
    </row>
    <row r="112" spans="1:49" s="103" customFormat="1" x14ac:dyDescent="0.2">
      <c r="A112" s="86"/>
      <c r="B112" s="74"/>
      <c r="C112" s="74"/>
      <c r="D112" s="74"/>
      <c r="E112" s="74"/>
      <c r="F112" s="74"/>
      <c r="G112" s="74"/>
      <c r="H112" s="74"/>
      <c r="I112" s="76"/>
      <c r="J112" s="76"/>
      <c r="K112" s="81"/>
      <c r="L112" s="81"/>
      <c r="M112" s="81"/>
      <c r="N112" s="81"/>
      <c r="O112" s="81"/>
      <c r="P112" s="81"/>
      <c r="Q112" s="76"/>
      <c r="R112" s="76"/>
      <c r="S112" s="74"/>
      <c r="T112" s="74"/>
      <c r="U112" s="74"/>
      <c r="V112" s="118"/>
      <c r="W112" s="74"/>
      <c r="X112" s="74"/>
      <c r="Y112" s="74"/>
      <c r="Z112" s="74"/>
      <c r="AA112" s="74"/>
      <c r="AR112" s="74"/>
      <c r="AS112" s="74"/>
      <c r="AT112" s="74"/>
      <c r="AU112" s="74"/>
      <c r="AV112" s="74"/>
      <c r="AW112" s="74"/>
    </row>
    <row r="117" spans="1:49" s="76" customFormat="1" x14ac:dyDescent="0.2">
      <c r="A117" s="74"/>
      <c r="B117" s="74"/>
      <c r="C117" s="74"/>
      <c r="D117" s="74"/>
      <c r="E117" s="74"/>
      <c r="F117" s="74"/>
      <c r="G117" s="77"/>
      <c r="H117" s="77"/>
      <c r="I117" s="77"/>
      <c r="J117" s="77"/>
      <c r="K117" s="99"/>
      <c r="L117" s="99"/>
      <c r="M117" s="99"/>
      <c r="N117" s="99"/>
      <c r="O117" s="99"/>
      <c r="P117" s="99"/>
      <c r="S117" s="74"/>
      <c r="T117" s="74"/>
      <c r="U117" s="74"/>
      <c r="V117" s="118"/>
      <c r="W117" s="74"/>
      <c r="X117" s="74"/>
      <c r="Y117" s="74"/>
      <c r="Z117" s="74"/>
      <c r="AA117" s="74"/>
      <c r="AB117" s="103"/>
      <c r="AC117" s="103"/>
      <c r="AD117" s="103"/>
      <c r="AE117" s="103"/>
      <c r="AF117" s="103"/>
      <c r="AG117" s="103"/>
      <c r="AH117" s="103"/>
      <c r="AI117" s="103"/>
      <c r="AJ117" s="103"/>
      <c r="AK117" s="103"/>
      <c r="AL117" s="103"/>
      <c r="AM117" s="103"/>
      <c r="AN117" s="103"/>
      <c r="AO117" s="103"/>
      <c r="AP117" s="103"/>
      <c r="AQ117" s="103"/>
      <c r="AR117" s="74"/>
      <c r="AS117" s="74"/>
      <c r="AT117" s="74"/>
      <c r="AU117" s="74"/>
      <c r="AV117" s="74"/>
      <c r="AW117" s="74"/>
    </row>
    <row r="156" spans="1:49" s="76" customFormat="1" x14ac:dyDescent="0.2">
      <c r="A156" s="74"/>
      <c r="B156" s="74"/>
      <c r="C156" s="74"/>
      <c r="D156" s="74"/>
      <c r="E156" s="74"/>
      <c r="F156" s="74"/>
      <c r="G156" s="74"/>
      <c r="H156" s="77" t="e">
        <f>#REF!</f>
        <v>#REF!</v>
      </c>
      <c r="K156" s="81"/>
      <c r="L156" s="81"/>
      <c r="M156" s="81"/>
      <c r="N156" s="81"/>
      <c r="O156" s="81"/>
      <c r="P156" s="81"/>
      <c r="S156" s="74"/>
      <c r="T156" s="74"/>
      <c r="U156" s="74"/>
      <c r="V156" s="118"/>
      <c r="W156" s="74"/>
      <c r="X156" s="74"/>
      <c r="Y156" s="74"/>
      <c r="Z156" s="74"/>
      <c r="AA156" s="74"/>
      <c r="AB156" s="103"/>
      <c r="AC156" s="103"/>
      <c r="AD156" s="103"/>
      <c r="AE156" s="103"/>
      <c r="AF156" s="103"/>
      <c r="AG156" s="103"/>
      <c r="AH156" s="103"/>
      <c r="AI156" s="103"/>
      <c r="AJ156" s="103"/>
      <c r="AK156" s="103"/>
      <c r="AL156" s="103"/>
      <c r="AM156" s="103"/>
      <c r="AN156" s="103"/>
      <c r="AO156" s="103"/>
      <c r="AP156" s="103"/>
      <c r="AQ156" s="103"/>
      <c r="AR156" s="74"/>
      <c r="AS156" s="74"/>
      <c r="AT156" s="74"/>
      <c r="AU156" s="74"/>
      <c r="AV156" s="74"/>
      <c r="AW156" s="74"/>
    </row>
    <row r="157" spans="1:49" s="76" customFormat="1" x14ac:dyDescent="0.2">
      <c r="A157" s="74"/>
      <c r="B157" s="74"/>
      <c r="C157" s="74"/>
      <c r="D157" s="74"/>
      <c r="E157" s="74"/>
      <c r="F157" s="74"/>
      <c r="G157" s="74"/>
      <c r="H157" s="77" t="e">
        <f>#REF!</f>
        <v>#REF!</v>
      </c>
      <c r="K157" s="81"/>
      <c r="L157" s="81"/>
      <c r="M157" s="81"/>
      <c r="N157" s="81"/>
      <c r="O157" s="81"/>
      <c r="P157" s="81"/>
      <c r="S157" s="74"/>
      <c r="T157" s="74"/>
      <c r="U157" s="74"/>
      <c r="V157" s="118"/>
      <c r="W157" s="74"/>
      <c r="X157" s="74"/>
      <c r="Y157" s="74"/>
      <c r="Z157" s="74"/>
      <c r="AA157" s="74"/>
      <c r="AB157" s="103"/>
      <c r="AC157" s="103"/>
      <c r="AD157" s="103"/>
      <c r="AE157" s="103"/>
      <c r="AF157" s="103"/>
      <c r="AG157" s="103"/>
      <c r="AH157" s="103"/>
      <c r="AI157" s="103"/>
      <c r="AJ157" s="103"/>
      <c r="AK157" s="103"/>
      <c r="AL157" s="103"/>
      <c r="AM157" s="103"/>
      <c r="AN157" s="103"/>
      <c r="AO157" s="103"/>
      <c r="AP157" s="103"/>
      <c r="AQ157" s="103"/>
      <c r="AR157" s="74"/>
      <c r="AS157" s="74"/>
      <c r="AT157" s="74"/>
      <c r="AU157" s="74"/>
      <c r="AV157" s="74"/>
      <c r="AW157" s="74"/>
    </row>
    <row r="158" spans="1:49" s="76" customFormat="1" x14ac:dyDescent="0.2">
      <c r="A158" s="74"/>
      <c r="B158" s="74"/>
      <c r="C158" s="74"/>
      <c r="D158" s="74"/>
      <c r="E158" s="74"/>
      <c r="F158" s="74"/>
      <c r="G158" s="74"/>
      <c r="H158" s="77" t="e">
        <f>H157+H156</f>
        <v>#REF!</v>
      </c>
      <c r="I158" s="76" t="e">
        <f>H8-H158</f>
        <v>#REF!</v>
      </c>
      <c r="J158" s="170" t="e">
        <f>I158/H8*100</f>
        <v>#REF!</v>
      </c>
      <c r="K158" s="81">
        <v>41722</v>
      </c>
      <c r="L158" s="171" t="e">
        <f>K158/I158*100</f>
        <v>#REF!</v>
      </c>
      <c r="M158" s="171"/>
      <c r="N158" s="171"/>
      <c r="O158" s="171"/>
      <c r="P158" s="171"/>
      <c r="S158" s="74"/>
      <c r="T158" s="74"/>
      <c r="U158" s="74"/>
      <c r="V158" s="118"/>
      <c r="W158" s="74"/>
      <c r="X158" s="74"/>
      <c r="Y158" s="74"/>
      <c r="Z158" s="74"/>
      <c r="AA158" s="74"/>
      <c r="AB158" s="103"/>
      <c r="AC158" s="103"/>
      <c r="AD158" s="103"/>
      <c r="AE158" s="103"/>
      <c r="AF158" s="103"/>
      <c r="AG158" s="103"/>
      <c r="AH158" s="103"/>
      <c r="AI158" s="103"/>
      <c r="AJ158" s="103"/>
      <c r="AK158" s="103"/>
      <c r="AL158" s="103"/>
      <c r="AM158" s="103"/>
      <c r="AN158" s="103"/>
      <c r="AO158" s="103"/>
      <c r="AP158" s="103"/>
      <c r="AQ158" s="103"/>
      <c r="AR158" s="74"/>
      <c r="AS158" s="74"/>
      <c r="AT158" s="74"/>
      <c r="AU158" s="74"/>
      <c r="AV158" s="74"/>
      <c r="AW158" s="74"/>
    </row>
    <row r="160" spans="1:49" s="76" customFormat="1" x14ac:dyDescent="0.2">
      <c r="A160" s="74"/>
      <c r="B160" s="74"/>
      <c r="C160" s="74"/>
      <c r="D160" s="74"/>
      <c r="E160" s="74"/>
      <c r="F160" s="74"/>
      <c r="G160" s="74"/>
      <c r="H160" s="74"/>
      <c r="I160" s="76" t="e">
        <f>#REF!-H158</f>
        <v>#REF!</v>
      </c>
      <c r="K160" s="81"/>
      <c r="L160" s="81"/>
      <c r="M160" s="81"/>
      <c r="N160" s="81"/>
      <c r="O160" s="81"/>
      <c r="P160" s="81"/>
      <c r="S160" s="74"/>
      <c r="T160" s="74"/>
      <c r="U160" s="74"/>
      <c r="V160" s="118"/>
      <c r="W160" s="74"/>
      <c r="X160" s="74"/>
      <c r="Y160" s="74"/>
      <c r="Z160" s="74"/>
      <c r="AA160" s="74"/>
      <c r="AB160" s="103"/>
      <c r="AC160" s="103"/>
      <c r="AD160" s="103"/>
      <c r="AE160" s="103"/>
      <c r="AF160" s="103"/>
      <c r="AG160" s="103"/>
      <c r="AH160" s="103"/>
      <c r="AI160" s="103"/>
      <c r="AJ160" s="103"/>
      <c r="AK160" s="103"/>
      <c r="AL160" s="103"/>
      <c r="AM160" s="103"/>
      <c r="AN160" s="103"/>
      <c r="AO160" s="103"/>
      <c r="AP160" s="103"/>
      <c r="AQ160" s="103"/>
      <c r="AR160" s="74"/>
      <c r="AS160" s="74"/>
      <c r="AT160" s="74"/>
      <c r="AU160" s="74"/>
      <c r="AV160" s="74"/>
      <c r="AW160" s="74"/>
    </row>
  </sheetData>
  <mergeCells count="23">
    <mergeCell ref="A92:B92"/>
    <mergeCell ref="R5:R7"/>
    <mergeCell ref="S5:S7"/>
    <mergeCell ref="W5:W7"/>
    <mergeCell ref="Y5:Y7"/>
    <mergeCell ref="F6:F7"/>
    <mergeCell ref="G6:G7"/>
    <mergeCell ref="H5:H7"/>
    <mergeCell ref="I5:J6"/>
    <mergeCell ref="K5:L6"/>
    <mergeCell ref="M5:N6"/>
    <mergeCell ref="O5:P6"/>
    <mergeCell ref="Q5:Q7"/>
    <mergeCell ref="A1:S1"/>
    <mergeCell ref="A2:S2"/>
    <mergeCell ref="A3:S3"/>
    <mergeCell ref="P4:S4"/>
    <mergeCell ref="A5:A7"/>
    <mergeCell ref="B5:B7"/>
    <mergeCell ref="C5:C7"/>
    <mergeCell ref="D5:D7"/>
    <mergeCell ref="E5:E7"/>
    <mergeCell ref="F5:G5"/>
  </mergeCells>
  <printOptions horizontalCentered="1"/>
  <pageMargins left="0.19685039370078741" right="0.19685039370078741" top="0.59055118110236227" bottom="0.39370078740157483" header="0.31496062992125984" footer="0.31496062992125984"/>
  <pageSetup paperSize="9" scale="64" orientation="landscape" r:id="rId1"/>
  <headerFooter>
    <oddHeader>Page &amp;P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34"/>
  <sheetViews>
    <sheetView zoomScale="85" zoomScaleNormal="85" zoomScaleSheetLayoutView="130" workbookViewId="0">
      <pane ySplit="7" topLeftCell="A155" activePane="bottomLeft" state="frozen"/>
      <selection pane="bottomLeft" activeCell="H160" sqref="H160"/>
    </sheetView>
  </sheetViews>
  <sheetFormatPr defaultColWidth="9.33203125" defaultRowHeight="12.75" x14ac:dyDescent="0.2"/>
  <cols>
    <col min="1" max="1" width="5.33203125" style="74" customWidth="1"/>
    <col min="2" max="2" width="60" style="74" customWidth="1"/>
    <col min="3" max="3" width="9.33203125" style="74" customWidth="1"/>
    <col min="4" max="4" width="8.6640625" style="74" customWidth="1"/>
    <col min="5" max="5" width="7.83203125" style="74" customWidth="1"/>
    <col min="6" max="6" width="14.5" style="74" customWidth="1"/>
    <col min="7" max="7" width="12.5" style="74" customWidth="1"/>
    <col min="8" max="8" width="11.6640625" style="74" customWidth="1"/>
    <col min="9" max="9" width="13" style="76" customWidth="1"/>
    <col min="10" max="10" width="10.5" style="76" customWidth="1"/>
    <col min="11" max="11" width="11.83203125" style="81" customWidth="1"/>
    <col min="12" max="16" width="12" style="81" customWidth="1"/>
    <col min="17" max="17" width="10.6640625" style="76" customWidth="1"/>
    <col min="18" max="18" width="9.83203125" style="76" customWidth="1"/>
    <col min="19" max="19" width="8.5" style="74" customWidth="1"/>
    <col min="20" max="21" width="6.1640625" style="74" customWidth="1"/>
    <col min="22" max="22" width="8.33203125" style="118" customWidth="1"/>
    <col min="23" max="23" width="17.33203125" style="74" customWidth="1"/>
    <col min="24" max="24" width="10.5" style="74" customWidth="1"/>
    <col min="25" max="25" width="23.5" style="74" customWidth="1"/>
    <col min="26" max="26" width="10.1640625" style="74" customWidth="1"/>
    <col min="27" max="27" width="11.5" style="74" customWidth="1"/>
    <col min="28" max="28" width="11.6640625" style="103" customWidth="1"/>
    <col min="29" max="30" width="9.33203125" style="103" customWidth="1"/>
    <col min="31" max="31" width="9.83203125" style="103" customWidth="1"/>
    <col min="32" max="32" width="9.33203125" style="103" customWidth="1"/>
    <col min="33" max="33" width="9.33203125" style="103"/>
    <col min="34" max="34" width="11.6640625" style="103" bestFit="1" customWidth="1"/>
    <col min="35" max="35" width="12.33203125" style="103" customWidth="1"/>
    <col min="36" max="36" width="11.1640625" style="103" bestFit="1" customWidth="1"/>
    <col min="37" max="43" width="9.33203125" style="103"/>
    <col min="44" max="16384" width="9.33203125" style="74"/>
  </cols>
  <sheetData>
    <row r="1" spans="1:43" ht="15.75" x14ac:dyDescent="0.2">
      <c r="A1" s="903" t="s">
        <v>534</v>
      </c>
      <c r="B1" s="903"/>
      <c r="C1" s="903"/>
      <c r="D1" s="903"/>
      <c r="E1" s="903"/>
      <c r="F1" s="903"/>
      <c r="G1" s="903"/>
      <c r="H1" s="903"/>
      <c r="I1" s="903"/>
      <c r="J1" s="903"/>
      <c r="K1" s="903"/>
      <c r="L1" s="903"/>
      <c r="M1" s="903"/>
      <c r="N1" s="903"/>
      <c r="O1" s="903"/>
      <c r="P1" s="903"/>
      <c r="Q1" s="903"/>
      <c r="R1" s="903"/>
      <c r="S1" s="903"/>
      <c r="T1" s="117"/>
      <c r="U1" s="117"/>
      <c r="Y1" s="77"/>
    </row>
    <row r="2" spans="1:43" ht="18.600000000000001" customHeight="1" x14ac:dyDescent="0.2">
      <c r="A2" s="880" t="s">
        <v>653</v>
      </c>
      <c r="B2" s="880"/>
      <c r="C2" s="880"/>
      <c r="D2" s="880"/>
      <c r="E2" s="880"/>
      <c r="F2" s="880"/>
      <c r="G2" s="880"/>
      <c r="H2" s="880"/>
      <c r="I2" s="880"/>
      <c r="J2" s="880"/>
      <c r="K2" s="880"/>
      <c r="L2" s="880"/>
      <c r="M2" s="880"/>
      <c r="N2" s="880"/>
      <c r="O2" s="880"/>
      <c r="P2" s="880"/>
      <c r="Q2" s="880"/>
      <c r="R2" s="880"/>
      <c r="S2" s="880"/>
      <c r="T2" s="172"/>
      <c r="U2" s="172"/>
    </row>
    <row r="3" spans="1:43" ht="17.25" customHeight="1" x14ac:dyDescent="0.2">
      <c r="A3" s="881" t="s">
        <v>575</v>
      </c>
      <c r="B3" s="881"/>
      <c r="C3" s="881"/>
      <c r="D3" s="881"/>
      <c r="E3" s="881"/>
      <c r="F3" s="881"/>
      <c r="G3" s="881"/>
      <c r="H3" s="881"/>
      <c r="I3" s="881"/>
      <c r="J3" s="881"/>
      <c r="K3" s="881"/>
      <c r="L3" s="881"/>
      <c r="M3" s="881"/>
      <c r="N3" s="881"/>
      <c r="O3" s="881"/>
      <c r="P3" s="881"/>
      <c r="Q3" s="881"/>
      <c r="R3" s="881"/>
      <c r="S3" s="881"/>
      <c r="T3" s="173"/>
      <c r="U3" s="173"/>
      <c r="V3" s="119"/>
    </row>
    <row r="4" spans="1:43" ht="21.75" customHeight="1" thickBot="1" x14ac:dyDescent="0.25">
      <c r="A4" s="78"/>
      <c r="B4" s="78"/>
      <c r="C4" s="78"/>
      <c r="D4" s="78"/>
      <c r="E4" s="78"/>
      <c r="F4" s="78"/>
      <c r="G4" s="78"/>
      <c r="H4" s="78"/>
      <c r="I4" s="80"/>
      <c r="J4" s="100"/>
      <c r="K4" s="382"/>
      <c r="L4" s="382"/>
      <c r="M4" s="382"/>
      <c r="N4" s="382"/>
      <c r="O4" s="382"/>
      <c r="P4" s="890" t="s">
        <v>109</v>
      </c>
      <c r="Q4" s="890"/>
      <c r="R4" s="890"/>
      <c r="S4" s="890"/>
      <c r="T4" s="120"/>
      <c r="U4" s="120"/>
      <c r="V4" s="119"/>
    </row>
    <row r="5" spans="1:43" ht="30.75" customHeight="1" x14ac:dyDescent="0.2">
      <c r="A5" s="875" t="s">
        <v>84</v>
      </c>
      <c r="B5" s="877" t="s">
        <v>85</v>
      </c>
      <c r="C5" s="891" t="s">
        <v>133</v>
      </c>
      <c r="D5" s="891" t="s">
        <v>134</v>
      </c>
      <c r="E5" s="891" t="s">
        <v>135</v>
      </c>
      <c r="F5" s="877" t="s">
        <v>86</v>
      </c>
      <c r="G5" s="877"/>
      <c r="H5" s="877" t="s">
        <v>414</v>
      </c>
      <c r="I5" s="882" t="s">
        <v>107</v>
      </c>
      <c r="J5" s="882"/>
      <c r="K5" s="882" t="s">
        <v>573</v>
      </c>
      <c r="L5" s="882"/>
      <c r="M5" s="882" t="s">
        <v>577</v>
      </c>
      <c r="N5" s="882"/>
      <c r="O5" s="882" t="s">
        <v>578</v>
      </c>
      <c r="P5" s="882"/>
      <c r="Q5" s="882" t="s">
        <v>117</v>
      </c>
      <c r="R5" s="882" t="s">
        <v>579</v>
      </c>
      <c r="S5" s="873" t="s">
        <v>88</v>
      </c>
      <c r="T5" s="121"/>
      <c r="U5" s="121"/>
      <c r="W5" s="898" t="s">
        <v>267</v>
      </c>
      <c r="X5" s="122">
        <f>92/173%</f>
        <v>53.179190751445084</v>
      </c>
      <c r="Y5" s="899" t="s">
        <v>106</v>
      </c>
    </row>
    <row r="6" spans="1:43" ht="18.75" customHeight="1" x14ac:dyDescent="0.2">
      <c r="A6" s="876"/>
      <c r="B6" s="878"/>
      <c r="C6" s="892"/>
      <c r="D6" s="892"/>
      <c r="E6" s="892"/>
      <c r="F6" s="878" t="s">
        <v>89</v>
      </c>
      <c r="G6" s="878" t="s">
        <v>90</v>
      </c>
      <c r="H6" s="878"/>
      <c r="I6" s="883"/>
      <c r="J6" s="883"/>
      <c r="K6" s="883"/>
      <c r="L6" s="883"/>
      <c r="M6" s="883"/>
      <c r="N6" s="883"/>
      <c r="O6" s="883"/>
      <c r="P6" s="883"/>
      <c r="Q6" s="883"/>
      <c r="R6" s="883"/>
      <c r="S6" s="874"/>
      <c r="T6" s="121"/>
      <c r="U6" s="121"/>
      <c r="W6" s="898"/>
      <c r="Y6" s="899"/>
    </row>
    <row r="7" spans="1:43" ht="77.25" customHeight="1" x14ac:dyDescent="0.2">
      <c r="A7" s="876"/>
      <c r="B7" s="878"/>
      <c r="C7" s="892"/>
      <c r="D7" s="892"/>
      <c r="E7" s="892"/>
      <c r="F7" s="878"/>
      <c r="G7" s="878"/>
      <c r="H7" s="878"/>
      <c r="I7" s="291" t="s">
        <v>108</v>
      </c>
      <c r="J7" s="177" t="s">
        <v>415</v>
      </c>
      <c r="K7" s="177" t="s">
        <v>23</v>
      </c>
      <c r="L7" s="177" t="s">
        <v>132</v>
      </c>
      <c r="M7" s="177" t="s">
        <v>23</v>
      </c>
      <c r="N7" s="177" t="s">
        <v>132</v>
      </c>
      <c r="O7" s="177" t="s">
        <v>23</v>
      </c>
      <c r="P7" s="177" t="s">
        <v>132</v>
      </c>
      <c r="Q7" s="883"/>
      <c r="R7" s="883"/>
      <c r="S7" s="874"/>
      <c r="T7" s="121"/>
      <c r="U7" s="121"/>
      <c r="V7" s="123">
        <f>H8+1813</f>
        <v>139452</v>
      </c>
      <c r="W7" s="898"/>
      <c r="Y7" s="899"/>
    </row>
    <row r="8" spans="1:43" ht="16.899999999999999" customHeight="1" x14ac:dyDescent="0.2">
      <c r="A8" s="454"/>
      <c r="B8" s="455" t="s">
        <v>23</v>
      </c>
      <c r="C8" s="455"/>
      <c r="D8" s="455"/>
      <c r="E8" s="455"/>
      <c r="F8" s="456"/>
      <c r="G8" s="457">
        <f>G11</f>
        <v>556992.78799999994</v>
      </c>
      <c r="H8" s="457">
        <f t="shared" ref="H8:R8" si="0">H11</f>
        <v>137639</v>
      </c>
      <c r="I8" s="457">
        <f t="shared" si="0"/>
        <v>129308.2</v>
      </c>
      <c r="J8" s="457">
        <f t="shared" si="0"/>
        <v>62188.2</v>
      </c>
      <c r="K8" s="457">
        <f t="shared" si="0"/>
        <v>30693.183250000002</v>
      </c>
      <c r="L8" s="457">
        <f t="shared" si="0"/>
        <v>26275.224249999999</v>
      </c>
      <c r="M8" s="457">
        <f t="shared" si="0"/>
        <v>4758</v>
      </c>
      <c r="N8" s="457">
        <f t="shared" si="0"/>
        <v>2433</v>
      </c>
      <c r="O8" s="457">
        <f t="shared" si="0"/>
        <v>137639</v>
      </c>
      <c r="P8" s="457">
        <f t="shared" si="0"/>
        <v>20684</v>
      </c>
      <c r="Q8" s="458">
        <f t="shared" ref="Q8:Q10" si="1">K8/H8%</f>
        <v>22.299772048619939</v>
      </c>
      <c r="R8" s="457">
        <f t="shared" si="0"/>
        <v>197616.33799999999</v>
      </c>
      <c r="S8" s="459">
        <f>SUM(S9:S10)</f>
        <v>93</v>
      </c>
      <c r="T8" s="124"/>
      <c r="U8" s="124"/>
      <c r="X8" s="125">
        <f>Q8-31.84</f>
        <v>-9.5402279513800607</v>
      </c>
      <c r="Z8" s="77">
        <f>H8+66627</f>
        <v>204266</v>
      </c>
      <c r="AA8" s="126">
        <f>800+45808+43818</f>
        <v>90426</v>
      </c>
    </row>
    <row r="9" spans="1:43" s="79" customFormat="1" ht="18" hidden="1" customHeight="1" x14ac:dyDescent="0.2">
      <c r="A9" s="460">
        <v>1</v>
      </c>
      <c r="B9" s="461" t="s">
        <v>130</v>
      </c>
      <c r="C9" s="461"/>
      <c r="D9" s="461"/>
      <c r="E9" s="461"/>
      <c r="F9" s="461"/>
      <c r="G9" s="462">
        <f>SUMIF($V$11:$V$160,V9,$G$11:$G$160)</f>
        <v>356105</v>
      </c>
      <c r="H9" s="462">
        <f>SUMIF($V$11:$V$160,V9,$H$11:$H$160)</f>
        <v>97388</v>
      </c>
      <c r="I9" s="463">
        <f>SUMIF($V$11:$V$160,V9,$I$11:$I$160)</f>
        <v>124589</v>
      </c>
      <c r="J9" s="462">
        <f>SUMIF($V$11:$V$160,V9,$J$11:$J$160)</f>
        <v>57469</v>
      </c>
      <c r="K9" s="462">
        <f>SUMIF($V$11:$V$160,V9,$K$11:$K$160)</f>
        <v>25681.592249999998</v>
      </c>
      <c r="L9" s="462">
        <f t="shared" ref="L9:P10" si="2">SUMIF($V$11:$V$160,V9,$L$11:$L$160)</f>
        <v>23789.633249999999</v>
      </c>
      <c r="M9" s="462">
        <f t="shared" si="2"/>
        <v>0</v>
      </c>
      <c r="N9" s="462">
        <f t="shared" si="2"/>
        <v>0</v>
      </c>
      <c r="O9" s="462">
        <f t="shared" si="2"/>
        <v>0</v>
      </c>
      <c r="P9" s="462">
        <f t="shared" si="2"/>
        <v>0</v>
      </c>
      <c r="Q9" s="464">
        <f t="shared" si="1"/>
        <v>26.370386751961224</v>
      </c>
      <c r="R9" s="464"/>
      <c r="S9" s="465">
        <f>COUNTIF($V$11:$V$160,V9)</f>
        <v>71</v>
      </c>
      <c r="T9" s="127"/>
      <c r="U9" s="127"/>
      <c r="V9" s="118" t="s">
        <v>122</v>
      </c>
      <c r="AB9" s="103"/>
      <c r="AC9" s="103"/>
      <c r="AD9" s="103"/>
      <c r="AE9" s="103"/>
      <c r="AF9" s="103"/>
      <c r="AG9" s="103"/>
      <c r="AH9" s="103"/>
      <c r="AI9" s="103"/>
      <c r="AJ9" s="103"/>
      <c r="AK9" s="103"/>
      <c r="AL9" s="103"/>
      <c r="AM9" s="103"/>
      <c r="AN9" s="103"/>
      <c r="AO9" s="103"/>
      <c r="AP9" s="103"/>
      <c r="AQ9" s="103"/>
    </row>
    <row r="10" spans="1:43" s="79" customFormat="1" ht="18" hidden="1" customHeight="1" x14ac:dyDescent="0.2">
      <c r="A10" s="460">
        <v>2</v>
      </c>
      <c r="B10" s="461" t="s">
        <v>131</v>
      </c>
      <c r="C10" s="461"/>
      <c r="D10" s="461"/>
      <c r="E10" s="461"/>
      <c r="F10" s="461"/>
      <c r="G10" s="462">
        <f>SUMIF($V$11:$V$160,V10,$G$11:$G$160)</f>
        <v>101192</v>
      </c>
      <c r="H10" s="462">
        <f>SUMIF($V$11:$V$160,V10,$H$11:$H$160)</f>
        <v>40251</v>
      </c>
      <c r="I10" s="463">
        <f>SUMIF($V$11:$V$160,V10,$I$11:$I$160)</f>
        <v>4719.2</v>
      </c>
      <c r="J10" s="462">
        <f>SUMIF($V$11:$V$160,V10,$J$11:$J$160)</f>
        <v>4719.2</v>
      </c>
      <c r="K10" s="462">
        <f>SUMIF($V$11:$V$160,V10,$K$11:$K$160)</f>
        <v>5011.5910000000003</v>
      </c>
      <c r="L10" s="462">
        <f t="shared" si="2"/>
        <v>2485.5910000000003</v>
      </c>
      <c r="M10" s="462">
        <f t="shared" si="2"/>
        <v>0</v>
      </c>
      <c r="N10" s="462">
        <f t="shared" si="2"/>
        <v>0</v>
      </c>
      <c r="O10" s="462">
        <f t="shared" si="2"/>
        <v>0</v>
      </c>
      <c r="P10" s="462">
        <f t="shared" si="2"/>
        <v>0</v>
      </c>
      <c r="Q10" s="464">
        <f t="shared" si="1"/>
        <v>12.450848426126059</v>
      </c>
      <c r="R10" s="464"/>
      <c r="S10" s="465">
        <f>COUNTIF($V$11:$V$160,V10)</f>
        <v>22</v>
      </c>
      <c r="T10" s="127"/>
      <c r="U10" s="127"/>
      <c r="V10" s="118" t="s">
        <v>123</v>
      </c>
      <c r="AB10" s="103"/>
      <c r="AC10" s="103"/>
      <c r="AD10" s="103"/>
      <c r="AE10" s="103"/>
      <c r="AF10" s="103"/>
      <c r="AG10" s="103"/>
      <c r="AH10" s="103"/>
      <c r="AI10" s="103"/>
      <c r="AJ10" s="103"/>
      <c r="AK10" s="103"/>
      <c r="AL10" s="103"/>
      <c r="AM10" s="103"/>
      <c r="AN10" s="103"/>
      <c r="AO10" s="103"/>
      <c r="AP10" s="103"/>
      <c r="AQ10" s="103"/>
    </row>
    <row r="11" spans="1:43" s="106" customFormat="1" ht="15" x14ac:dyDescent="0.2">
      <c r="A11" s="466"/>
      <c r="B11" s="467" t="s">
        <v>164</v>
      </c>
      <c r="C11" s="467"/>
      <c r="D11" s="467"/>
      <c r="E11" s="467"/>
      <c r="F11" s="468"/>
      <c r="G11" s="469">
        <f t="shared" ref="G11:P11" si="3">G12+G35+G64</f>
        <v>556992.78799999994</v>
      </c>
      <c r="H11" s="469">
        <f t="shared" si="3"/>
        <v>137639</v>
      </c>
      <c r="I11" s="469">
        <f t="shared" si="3"/>
        <v>129308.2</v>
      </c>
      <c r="J11" s="469">
        <f t="shared" si="3"/>
        <v>62188.2</v>
      </c>
      <c r="K11" s="469">
        <f t="shared" si="3"/>
        <v>30693.183250000002</v>
      </c>
      <c r="L11" s="469">
        <f t="shared" si="3"/>
        <v>26275.224249999999</v>
      </c>
      <c r="M11" s="469">
        <f t="shared" si="3"/>
        <v>4758</v>
      </c>
      <c r="N11" s="469">
        <f t="shared" si="3"/>
        <v>2433</v>
      </c>
      <c r="O11" s="469">
        <f t="shared" si="3"/>
        <v>137639</v>
      </c>
      <c r="P11" s="469">
        <f t="shared" si="3"/>
        <v>20684</v>
      </c>
      <c r="Q11" s="470">
        <f>K11/H11*100</f>
        <v>22.299772048619943</v>
      </c>
      <c r="R11" s="469">
        <f>R12+R35+R64</f>
        <v>197616.33799999999</v>
      </c>
      <c r="S11" s="471"/>
      <c r="T11" s="83"/>
      <c r="U11" s="83">
        <f>K11/H11%</f>
        <v>22.299772048619939</v>
      </c>
      <c r="V11" s="142"/>
      <c r="W11" s="74"/>
      <c r="X11" s="148"/>
      <c r="Y11" s="74"/>
      <c r="Z11" s="125"/>
      <c r="AA11" s="74"/>
      <c r="AB11" s="103"/>
      <c r="AC11" s="103"/>
      <c r="AD11" s="103"/>
      <c r="AE11" s="103"/>
      <c r="AF11" s="103"/>
      <c r="AG11" s="103"/>
      <c r="AH11" s="365"/>
      <c r="AI11" s="365"/>
      <c r="AJ11" s="103"/>
      <c r="AK11" s="103"/>
      <c r="AL11" s="103"/>
      <c r="AM11" s="103"/>
      <c r="AN11" s="103"/>
      <c r="AO11" s="103"/>
      <c r="AP11" s="103"/>
      <c r="AQ11" s="103"/>
    </row>
    <row r="12" spans="1:43" s="79" customFormat="1" ht="20.25" customHeight="1" x14ac:dyDescent="0.2">
      <c r="A12" s="472" t="s">
        <v>15</v>
      </c>
      <c r="B12" s="473" t="s">
        <v>165</v>
      </c>
      <c r="C12" s="474"/>
      <c r="D12" s="473"/>
      <c r="E12" s="475"/>
      <c r="F12" s="475"/>
      <c r="G12" s="476">
        <f t="shared" ref="G12:P12" si="4">G13+G29+G33</f>
        <v>26713.788</v>
      </c>
      <c r="H12" s="476">
        <f t="shared" si="4"/>
        <v>2433</v>
      </c>
      <c r="I12" s="476">
        <f t="shared" si="4"/>
        <v>1480</v>
      </c>
      <c r="J12" s="476">
        <f t="shared" si="4"/>
        <v>640</v>
      </c>
      <c r="K12" s="476">
        <f t="shared" si="4"/>
        <v>779.33299999999997</v>
      </c>
      <c r="L12" s="476">
        <f t="shared" si="4"/>
        <v>149.333</v>
      </c>
      <c r="M12" s="476">
        <f t="shared" si="4"/>
        <v>4758</v>
      </c>
      <c r="N12" s="476">
        <f t="shared" si="4"/>
        <v>2433</v>
      </c>
      <c r="O12" s="476">
        <f t="shared" si="4"/>
        <v>2433</v>
      </c>
      <c r="P12" s="476">
        <f t="shared" si="4"/>
        <v>2433</v>
      </c>
      <c r="Q12" s="477">
        <f>K12/H12*100</f>
        <v>32.031771475544595</v>
      </c>
      <c r="R12" s="476">
        <f>R13+R29+R33</f>
        <v>5213.2880000000005</v>
      </c>
      <c r="S12" s="478"/>
      <c r="T12" s="149"/>
      <c r="U12" s="149"/>
      <c r="V12" s="118"/>
      <c r="X12" s="146"/>
      <c r="Z12" s="114"/>
      <c r="AB12" s="103"/>
      <c r="AC12" s="103"/>
      <c r="AD12" s="103"/>
      <c r="AE12" s="103"/>
      <c r="AF12" s="103"/>
      <c r="AG12" s="103"/>
      <c r="AH12" s="365"/>
      <c r="AI12" s="365"/>
      <c r="AJ12" s="103"/>
      <c r="AK12" s="103"/>
      <c r="AL12" s="103"/>
      <c r="AM12" s="103"/>
      <c r="AN12" s="103"/>
      <c r="AO12" s="103"/>
      <c r="AP12" s="103"/>
      <c r="AQ12" s="103"/>
    </row>
    <row r="13" spans="1:43" s="84" customFormat="1" ht="15" x14ac:dyDescent="0.2">
      <c r="A13" s="479" t="s">
        <v>28</v>
      </c>
      <c r="B13" s="480" t="s">
        <v>462</v>
      </c>
      <c r="C13" s="481"/>
      <c r="D13" s="480"/>
      <c r="E13" s="482"/>
      <c r="F13" s="483"/>
      <c r="G13" s="484">
        <f>SUM(G14:G28)</f>
        <v>21073.788</v>
      </c>
      <c r="H13" s="484">
        <f t="shared" ref="H13:R13" si="5">SUM(H14:H28)</f>
        <v>511</v>
      </c>
      <c r="I13" s="484">
        <f t="shared" si="5"/>
        <v>1140</v>
      </c>
      <c r="J13" s="484">
        <f t="shared" si="5"/>
        <v>300</v>
      </c>
      <c r="K13" s="484">
        <f t="shared" si="5"/>
        <v>0</v>
      </c>
      <c r="L13" s="484">
        <f t="shared" si="5"/>
        <v>0</v>
      </c>
      <c r="M13" s="484">
        <f t="shared" si="5"/>
        <v>1885</v>
      </c>
      <c r="N13" s="484">
        <f t="shared" si="5"/>
        <v>511</v>
      </c>
      <c r="O13" s="484">
        <f t="shared" si="5"/>
        <v>511</v>
      </c>
      <c r="P13" s="484">
        <f t="shared" si="5"/>
        <v>511</v>
      </c>
      <c r="Q13" s="485"/>
      <c r="R13" s="484">
        <f t="shared" si="5"/>
        <v>2526.7880000000005</v>
      </c>
      <c r="S13" s="486"/>
      <c r="T13" s="132"/>
      <c r="U13" s="132"/>
      <c r="V13" s="119"/>
      <c r="X13" s="150"/>
      <c r="Z13" s="151"/>
      <c r="AB13" s="112"/>
      <c r="AC13" s="112"/>
      <c r="AD13" s="112"/>
      <c r="AE13" s="112"/>
      <c r="AF13" s="112"/>
      <c r="AG13" s="112"/>
      <c r="AH13" s="365"/>
      <c r="AI13" s="365"/>
      <c r="AJ13" s="112"/>
      <c r="AK13" s="112"/>
      <c r="AL13" s="112"/>
      <c r="AM13" s="112"/>
      <c r="AN13" s="112"/>
      <c r="AO13" s="112"/>
      <c r="AP13" s="112"/>
      <c r="AQ13" s="112"/>
    </row>
    <row r="14" spans="1:43" s="79" customFormat="1" ht="90" x14ac:dyDescent="0.2">
      <c r="A14" s="487">
        <v>1</v>
      </c>
      <c r="B14" s="488" t="s">
        <v>254</v>
      </c>
      <c r="C14" s="489" t="s">
        <v>143</v>
      </c>
      <c r="D14" s="490" t="s">
        <v>263</v>
      </c>
      <c r="E14" s="491" t="s">
        <v>167</v>
      </c>
      <c r="F14" s="491" t="s">
        <v>266</v>
      </c>
      <c r="G14" s="492">
        <v>2800</v>
      </c>
      <c r="H14" s="493">
        <v>511</v>
      </c>
      <c r="I14" s="463">
        <f>840+J14</f>
        <v>1140</v>
      </c>
      <c r="J14" s="494">
        <v>300</v>
      </c>
      <c r="K14" s="495">
        <f t="shared" ref="K14" si="6">L14</f>
        <v>0</v>
      </c>
      <c r="L14" s="462"/>
      <c r="M14" s="462">
        <v>1885</v>
      </c>
      <c r="N14" s="462">
        <v>511</v>
      </c>
      <c r="O14" s="462">
        <f>P14</f>
        <v>511</v>
      </c>
      <c r="P14" s="462">
        <v>511</v>
      </c>
      <c r="Q14" s="462"/>
      <c r="R14" s="462">
        <f>G14-(O14+2100)</f>
        <v>189</v>
      </c>
      <c r="S14" s="496"/>
      <c r="T14" s="83"/>
      <c r="U14" s="83"/>
      <c r="V14" s="118" t="s">
        <v>122</v>
      </c>
      <c r="W14" s="147" t="s">
        <v>273</v>
      </c>
      <c r="X14" s="146"/>
      <c r="Z14" s="114"/>
      <c r="AB14" s="103"/>
      <c r="AC14" s="103"/>
      <c r="AD14" s="103"/>
      <c r="AE14" s="103"/>
      <c r="AF14" s="103"/>
      <c r="AG14" s="103"/>
      <c r="AH14" s="365">
        <f>H14-K14</f>
        <v>511</v>
      </c>
      <c r="AI14" s="365">
        <f>I14-L14</f>
        <v>1140</v>
      </c>
      <c r="AJ14" s="103"/>
      <c r="AK14" s="103"/>
      <c r="AL14" s="103"/>
      <c r="AM14" s="103"/>
      <c r="AN14" s="103"/>
      <c r="AO14" s="103"/>
      <c r="AP14" s="103"/>
      <c r="AQ14" s="103"/>
    </row>
    <row r="15" spans="1:43" s="442" customFormat="1" ht="60" x14ac:dyDescent="0.2">
      <c r="A15" s="487">
        <v>2</v>
      </c>
      <c r="B15" s="488" t="s">
        <v>606</v>
      </c>
      <c r="C15" s="489" t="s">
        <v>166</v>
      </c>
      <c r="D15" s="490" t="s">
        <v>613</v>
      </c>
      <c r="E15" s="491" t="s">
        <v>167</v>
      </c>
      <c r="F15" s="491" t="s">
        <v>243</v>
      </c>
      <c r="G15" s="492">
        <v>1000</v>
      </c>
      <c r="H15" s="493"/>
      <c r="I15" s="463"/>
      <c r="J15" s="494"/>
      <c r="K15" s="495"/>
      <c r="L15" s="462"/>
      <c r="M15" s="462"/>
      <c r="N15" s="462"/>
      <c r="O15" s="462"/>
      <c r="P15" s="462"/>
      <c r="Q15" s="462"/>
      <c r="R15" s="462">
        <f>G15-800</f>
        <v>200</v>
      </c>
      <c r="S15" s="496"/>
      <c r="T15" s="384"/>
      <c r="U15" s="384"/>
      <c r="V15" s="398"/>
      <c r="W15" s="440"/>
      <c r="X15" s="441"/>
      <c r="Z15" s="443"/>
      <c r="AH15" s="444"/>
      <c r="AI15" s="444"/>
    </row>
    <row r="16" spans="1:43" s="442" customFormat="1" ht="30" x14ac:dyDescent="0.2">
      <c r="A16" s="487">
        <v>3</v>
      </c>
      <c r="B16" s="488" t="s">
        <v>538</v>
      </c>
      <c r="C16" s="489" t="s">
        <v>144</v>
      </c>
      <c r="D16" s="490" t="s">
        <v>560</v>
      </c>
      <c r="E16" s="491" t="s">
        <v>167</v>
      </c>
      <c r="F16" s="491" t="s">
        <v>548</v>
      </c>
      <c r="G16" s="492">
        <v>950</v>
      </c>
      <c r="H16" s="493"/>
      <c r="I16" s="463"/>
      <c r="J16" s="494"/>
      <c r="K16" s="495"/>
      <c r="L16" s="462"/>
      <c r="M16" s="462"/>
      <c r="N16" s="462"/>
      <c r="O16" s="462"/>
      <c r="P16" s="462"/>
      <c r="Q16" s="462"/>
      <c r="R16" s="462">
        <f>G16-850</f>
        <v>100</v>
      </c>
      <c r="S16" s="496"/>
      <c r="T16" s="384"/>
      <c r="U16" s="384"/>
      <c r="V16" s="398"/>
      <c r="W16" s="440"/>
      <c r="X16" s="441"/>
      <c r="Z16" s="443"/>
      <c r="AH16" s="444"/>
      <c r="AI16" s="444"/>
    </row>
    <row r="17" spans="1:43" s="442" customFormat="1" ht="30" x14ac:dyDescent="0.2">
      <c r="A17" s="487">
        <v>4</v>
      </c>
      <c r="B17" s="488" t="s">
        <v>607</v>
      </c>
      <c r="C17" s="489" t="s">
        <v>144</v>
      </c>
      <c r="D17" s="490" t="s">
        <v>614</v>
      </c>
      <c r="E17" s="491" t="s">
        <v>167</v>
      </c>
      <c r="F17" s="491" t="s">
        <v>610</v>
      </c>
      <c r="G17" s="492">
        <v>926</v>
      </c>
      <c r="H17" s="493"/>
      <c r="I17" s="463"/>
      <c r="J17" s="494"/>
      <c r="K17" s="495"/>
      <c r="L17" s="462"/>
      <c r="M17" s="462"/>
      <c r="N17" s="462"/>
      <c r="O17" s="462"/>
      <c r="P17" s="462"/>
      <c r="Q17" s="462"/>
      <c r="R17" s="462">
        <f>G17-800</f>
        <v>126</v>
      </c>
      <c r="S17" s="496"/>
      <c r="T17" s="384"/>
      <c r="U17" s="384"/>
      <c r="V17" s="398"/>
      <c r="W17" s="440"/>
      <c r="X17" s="441"/>
      <c r="Z17" s="443"/>
      <c r="AH17" s="444"/>
      <c r="AI17" s="444"/>
    </row>
    <row r="18" spans="1:43" s="442" customFormat="1" ht="120" x14ac:dyDescent="0.2">
      <c r="A18" s="487">
        <v>5</v>
      </c>
      <c r="B18" s="488" t="s">
        <v>539</v>
      </c>
      <c r="C18" s="489" t="s">
        <v>141</v>
      </c>
      <c r="D18" s="490" t="s">
        <v>561</v>
      </c>
      <c r="E18" s="491" t="s">
        <v>167</v>
      </c>
      <c r="F18" s="491" t="s">
        <v>549</v>
      </c>
      <c r="G18" s="492">
        <v>1800</v>
      </c>
      <c r="H18" s="493"/>
      <c r="I18" s="463"/>
      <c r="J18" s="494"/>
      <c r="K18" s="495"/>
      <c r="L18" s="462"/>
      <c r="M18" s="462"/>
      <c r="N18" s="462"/>
      <c r="O18" s="462"/>
      <c r="P18" s="462"/>
      <c r="Q18" s="462"/>
      <c r="R18" s="462">
        <f>G18-1650</f>
        <v>150</v>
      </c>
      <c r="S18" s="496"/>
      <c r="T18" s="384"/>
      <c r="U18" s="384"/>
      <c r="V18" s="398"/>
      <c r="W18" s="440"/>
      <c r="X18" s="441"/>
      <c r="Z18" s="443"/>
      <c r="AH18" s="444"/>
      <c r="AI18" s="444"/>
    </row>
    <row r="19" spans="1:43" s="442" customFormat="1" ht="120" x14ac:dyDescent="0.2">
      <c r="A19" s="487">
        <v>6</v>
      </c>
      <c r="B19" s="488" t="s">
        <v>540</v>
      </c>
      <c r="C19" s="489" t="s">
        <v>148</v>
      </c>
      <c r="D19" s="490" t="s">
        <v>561</v>
      </c>
      <c r="E19" s="491" t="s">
        <v>167</v>
      </c>
      <c r="F19" s="491" t="s">
        <v>550</v>
      </c>
      <c r="G19" s="492">
        <v>1786</v>
      </c>
      <c r="H19" s="493"/>
      <c r="I19" s="463"/>
      <c r="J19" s="494"/>
      <c r="K19" s="495"/>
      <c r="L19" s="462"/>
      <c r="M19" s="462"/>
      <c r="N19" s="462"/>
      <c r="O19" s="462"/>
      <c r="P19" s="462"/>
      <c r="Q19" s="462"/>
      <c r="R19" s="462">
        <f>G19-1600</f>
        <v>186</v>
      </c>
      <c r="S19" s="496"/>
      <c r="T19" s="384"/>
      <c r="U19" s="384"/>
      <c r="V19" s="398"/>
      <c r="W19" s="440"/>
      <c r="X19" s="441"/>
      <c r="Z19" s="443"/>
      <c r="AH19" s="444"/>
      <c r="AI19" s="444"/>
    </row>
    <row r="20" spans="1:43" s="442" customFormat="1" ht="75" x14ac:dyDescent="0.2">
      <c r="A20" s="487">
        <v>7</v>
      </c>
      <c r="B20" s="488" t="s">
        <v>608</v>
      </c>
      <c r="C20" s="489" t="s">
        <v>147</v>
      </c>
      <c r="D20" s="490" t="s">
        <v>615</v>
      </c>
      <c r="E20" s="491" t="s">
        <v>167</v>
      </c>
      <c r="F20" s="491" t="s">
        <v>611</v>
      </c>
      <c r="G20" s="492">
        <v>765.23699999999997</v>
      </c>
      <c r="H20" s="493"/>
      <c r="I20" s="463"/>
      <c r="J20" s="494"/>
      <c r="K20" s="495"/>
      <c r="L20" s="462"/>
      <c r="M20" s="462"/>
      <c r="N20" s="462"/>
      <c r="O20" s="462"/>
      <c r="P20" s="462"/>
      <c r="Q20" s="462"/>
      <c r="R20" s="462">
        <f>G20-600</f>
        <v>165.23699999999997</v>
      </c>
      <c r="S20" s="496"/>
      <c r="T20" s="384"/>
      <c r="U20" s="384"/>
      <c r="V20" s="398"/>
      <c r="W20" s="440"/>
      <c r="X20" s="441"/>
      <c r="Z20" s="443"/>
      <c r="AH20" s="444"/>
      <c r="AI20" s="444"/>
    </row>
    <row r="21" spans="1:43" s="442" customFormat="1" ht="30" x14ac:dyDescent="0.2">
      <c r="A21" s="487">
        <v>8</v>
      </c>
      <c r="B21" s="488" t="s">
        <v>541</v>
      </c>
      <c r="C21" s="489" t="s">
        <v>659</v>
      </c>
      <c r="D21" s="490" t="s">
        <v>562</v>
      </c>
      <c r="E21" s="491" t="s">
        <v>167</v>
      </c>
      <c r="F21" s="491" t="s">
        <v>551</v>
      </c>
      <c r="G21" s="492">
        <v>1300</v>
      </c>
      <c r="H21" s="493"/>
      <c r="I21" s="463"/>
      <c r="J21" s="494"/>
      <c r="K21" s="495"/>
      <c r="L21" s="462"/>
      <c r="M21" s="462"/>
      <c r="N21" s="462"/>
      <c r="O21" s="462"/>
      <c r="P21" s="462"/>
      <c r="Q21" s="462"/>
      <c r="R21" s="462">
        <f>G21-1150</f>
        <v>150</v>
      </c>
      <c r="S21" s="496"/>
      <c r="T21" s="384"/>
      <c r="U21" s="384"/>
      <c r="V21" s="398"/>
      <c r="W21" s="440"/>
      <c r="X21" s="441"/>
      <c r="Z21" s="443"/>
      <c r="AH21" s="444"/>
      <c r="AI21" s="444"/>
    </row>
    <row r="22" spans="1:43" s="442" customFormat="1" ht="60" x14ac:dyDescent="0.2">
      <c r="A22" s="487">
        <v>9</v>
      </c>
      <c r="B22" s="488" t="s">
        <v>609</v>
      </c>
      <c r="C22" s="489" t="s">
        <v>149</v>
      </c>
      <c r="D22" s="490" t="s">
        <v>616</v>
      </c>
      <c r="E22" s="491" t="s">
        <v>167</v>
      </c>
      <c r="F22" s="491" t="s">
        <v>612</v>
      </c>
      <c r="G22" s="492">
        <v>636.59199999999998</v>
      </c>
      <c r="H22" s="493"/>
      <c r="I22" s="463"/>
      <c r="J22" s="494"/>
      <c r="K22" s="495"/>
      <c r="L22" s="462"/>
      <c r="M22" s="462"/>
      <c r="N22" s="462"/>
      <c r="O22" s="462"/>
      <c r="P22" s="462"/>
      <c r="Q22" s="462"/>
      <c r="R22" s="462">
        <f>G22-496</f>
        <v>140.59199999999998</v>
      </c>
      <c r="S22" s="496"/>
      <c r="T22" s="384"/>
      <c r="U22" s="384"/>
      <c r="V22" s="398"/>
      <c r="W22" s="440"/>
      <c r="X22" s="441"/>
      <c r="Z22" s="443"/>
      <c r="AH22" s="444"/>
      <c r="AI22" s="444"/>
    </row>
    <row r="23" spans="1:43" s="442" customFormat="1" ht="30" x14ac:dyDescent="0.2">
      <c r="A23" s="487">
        <v>10</v>
      </c>
      <c r="B23" s="488" t="s">
        <v>542</v>
      </c>
      <c r="C23" s="489" t="s">
        <v>145</v>
      </c>
      <c r="D23" s="490" t="s">
        <v>563</v>
      </c>
      <c r="E23" s="491" t="s">
        <v>167</v>
      </c>
      <c r="F23" s="491" t="s">
        <v>552</v>
      </c>
      <c r="G23" s="492">
        <v>1800</v>
      </c>
      <c r="H23" s="493"/>
      <c r="I23" s="463"/>
      <c r="J23" s="494"/>
      <c r="K23" s="495"/>
      <c r="L23" s="462"/>
      <c r="M23" s="462"/>
      <c r="N23" s="462"/>
      <c r="O23" s="462"/>
      <c r="P23" s="462"/>
      <c r="Q23" s="462"/>
      <c r="R23" s="462">
        <f>G23-1650</f>
        <v>150</v>
      </c>
      <c r="S23" s="496"/>
      <c r="T23" s="384"/>
      <c r="U23" s="384"/>
      <c r="V23" s="398"/>
      <c r="W23" s="440"/>
      <c r="X23" s="441"/>
      <c r="Z23" s="443"/>
      <c r="AH23" s="444"/>
      <c r="AI23" s="444"/>
    </row>
    <row r="24" spans="1:43" s="442" customFormat="1" ht="30" x14ac:dyDescent="0.2">
      <c r="A24" s="487">
        <v>11</v>
      </c>
      <c r="B24" s="488" t="s">
        <v>543</v>
      </c>
      <c r="C24" s="489" t="s">
        <v>658</v>
      </c>
      <c r="D24" s="490" t="s">
        <v>564</v>
      </c>
      <c r="E24" s="491" t="s">
        <v>167</v>
      </c>
      <c r="F24" s="491" t="s">
        <v>553</v>
      </c>
      <c r="G24" s="492">
        <v>934.18600000000004</v>
      </c>
      <c r="H24" s="493"/>
      <c r="I24" s="463"/>
      <c r="J24" s="494"/>
      <c r="K24" s="495"/>
      <c r="L24" s="462"/>
      <c r="M24" s="462"/>
      <c r="N24" s="462"/>
      <c r="O24" s="462"/>
      <c r="P24" s="462"/>
      <c r="Q24" s="462"/>
      <c r="R24" s="462">
        <f>G24-820</f>
        <v>114.18600000000004</v>
      </c>
      <c r="S24" s="496"/>
      <c r="T24" s="384"/>
      <c r="U24" s="384"/>
      <c r="V24" s="398"/>
      <c r="W24" s="440"/>
      <c r="X24" s="441"/>
      <c r="Z24" s="443"/>
      <c r="AH24" s="444"/>
      <c r="AI24" s="444"/>
    </row>
    <row r="25" spans="1:43" s="442" customFormat="1" ht="30" x14ac:dyDescent="0.2">
      <c r="A25" s="487">
        <v>12</v>
      </c>
      <c r="B25" s="488" t="s">
        <v>544</v>
      </c>
      <c r="C25" s="489" t="s">
        <v>658</v>
      </c>
      <c r="D25" s="490" t="s">
        <v>565</v>
      </c>
      <c r="E25" s="491" t="s">
        <v>167</v>
      </c>
      <c r="F25" s="491" t="s">
        <v>554</v>
      </c>
      <c r="G25" s="492">
        <v>981.91300000000001</v>
      </c>
      <c r="H25" s="493"/>
      <c r="I25" s="463"/>
      <c r="J25" s="494"/>
      <c r="K25" s="495"/>
      <c r="L25" s="462"/>
      <c r="M25" s="462"/>
      <c r="N25" s="462"/>
      <c r="O25" s="462"/>
      <c r="P25" s="462"/>
      <c r="Q25" s="462"/>
      <c r="R25" s="462">
        <f>G25-820</f>
        <v>161.91300000000001</v>
      </c>
      <c r="S25" s="496"/>
      <c r="T25" s="384"/>
      <c r="U25" s="384"/>
      <c r="V25" s="398"/>
      <c r="W25" s="440"/>
      <c r="X25" s="441"/>
      <c r="Z25" s="443"/>
      <c r="AH25" s="444"/>
      <c r="AI25" s="444"/>
    </row>
    <row r="26" spans="1:43" s="442" customFormat="1" ht="75" x14ac:dyDescent="0.2">
      <c r="A26" s="487">
        <v>13</v>
      </c>
      <c r="B26" s="488" t="s">
        <v>545</v>
      </c>
      <c r="C26" s="489" t="s">
        <v>139</v>
      </c>
      <c r="D26" s="490" t="s">
        <v>566</v>
      </c>
      <c r="E26" s="491" t="s">
        <v>167</v>
      </c>
      <c r="F26" s="491" t="s">
        <v>555</v>
      </c>
      <c r="G26" s="492">
        <v>1650</v>
      </c>
      <c r="H26" s="493"/>
      <c r="I26" s="463"/>
      <c r="J26" s="494"/>
      <c r="K26" s="495"/>
      <c r="L26" s="462"/>
      <c r="M26" s="462"/>
      <c r="N26" s="462"/>
      <c r="O26" s="462"/>
      <c r="P26" s="462"/>
      <c r="Q26" s="462"/>
      <c r="R26" s="462">
        <f>G26-1500</f>
        <v>150</v>
      </c>
      <c r="S26" s="496"/>
      <c r="T26" s="384"/>
      <c r="U26" s="384"/>
      <c r="V26" s="398"/>
      <c r="W26" s="440"/>
      <c r="X26" s="441"/>
      <c r="Z26" s="443"/>
      <c r="AH26" s="444"/>
      <c r="AI26" s="444"/>
    </row>
    <row r="27" spans="1:43" s="442" customFormat="1" ht="105" x14ac:dyDescent="0.2">
      <c r="A27" s="487">
        <v>14</v>
      </c>
      <c r="B27" s="488" t="s">
        <v>546</v>
      </c>
      <c r="C27" s="489" t="s">
        <v>226</v>
      </c>
      <c r="D27" s="490" t="s">
        <v>567</v>
      </c>
      <c r="E27" s="491" t="s">
        <v>167</v>
      </c>
      <c r="F27" s="491" t="s">
        <v>556</v>
      </c>
      <c r="G27" s="492">
        <v>1843.86</v>
      </c>
      <c r="H27" s="493"/>
      <c r="I27" s="463"/>
      <c r="J27" s="494"/>
      <c r="K27" s="495"/>
      <c r="L27" s="462"/>
      <c r="M27" s="462"/>
      <c r="N27" s="462"/>
      <c r="O27" s="462"/>
      <c r="P27" s="462"/>
      <c r="Q27" s="462"/>
      <c r="R27" s="462">
        <f>G27-1600</f>
        <v>243.8599999999999</v>
      </c>
      <c r="S27" s="496"/>
      <c r="T27" s="384"/>
      <c r="U27" s="384"/>
      <c r="V27" s="398"/>
      <c r="W27" s="440"/>
      <c r="X27" s="441"/>
      <c r="Z27" s="443"/>
      <c r="AH27" s="444"/>
      <c r="AI27" s="444"/>
    </row>
    <row r="28" spans="1:43" s="442" customFormat="1" ht="90" x14ac:dyDescent="0.2">
      <c r="A28" s="487">
        <v>15</v>
      </c>
      <c r="B28" s="488" t="s">
        <v>547</v>
      </c>
      <c r="C28" s="489" t="s">
        <v>568</v>
      </c>
      <c r="D28" s="490" t="s">
        <v>569</v>
      </c>
      <c r="E28" s="491" t="s">
        <v>167</v>
      </c>
      <c r="F28" s="491" t="s">
        <v>557</v>
      </c>
      <c r="G28" s="492">
        <v>1900</v>
      </c>
      <c r="H28" s="493"/>
      <c r="I28" s="463"/>
      <c r="J28" s="494"/>
      <c r="K28" s="495"/>
      <c r="L28" s="462"/>
      <c r="M28" s="462"/>
      <c r="N28" s="462"/>
      <c r="O28" s="462"/>
      <c r="P28" s="462"/>
      <c r="Q28" s="462"/>
      <c r="R28" s="462">
        <f>G28-1600</f>
        <v>300</v>
      </c>
      <c r="S28" s="496"/>
      <c r="T28" s="384"/>
      <c r="U28" s="384"/>
      <c r="V28" s="398"/>
      <c r="W28" s="440"/>
      <c r="X28" s="441"/>
      <c r="Z28" s="443"/>
      <c r="AH28" s="444"/>
      <c r="AI28" s="444"/>
    </row>
    <row r="29" spans="1:43" s="79" customFormat="1" ht="15" x14ac:dyDescent="0.2">
      <c r="A29" s="497" t="s">
        <v>30</v>
      </c>
      <c r="B29" s="498" t="s">
        <v>463</v>
      </c>
      <c r="C29" s="489"/>
      <c r="D29" s="490"/>
      <c r="E29" s="491"/>
      <c r="F29" s="491"/>
      <c r="G29" s="499">
        <f>SUM(G30:G32)</f>
        <v>4790</v>
      </c>
      <c r="H29" s="499">
        <f t="shared" ref="H29:R29" si="7">SUM(H30:H32)</f>
        <v>1922</v>
      </c>
      <c r="I29" s="499">
        <f t="shared" si="7"/>
        <v>340</v>
      </c>
      <c r="J29" s="499">
        <f t="shared" si="7"/>
        <v>340</v>
      </c>
      <c r="K29" s="499">
        <f t="shared" si="7"/>
        <v>779.33299999999997</v>
      </c>
      <c r="L29" s="499">
        <f t="shared" si="7"/>
        <v>149.333</v>
      </c>
      <c r="M29" s="499">
        <f t="shared" si="7"/>
        <v>2873</v>
      </c>
      <c r="N29" s="499">
        <f t="shared" si="7"/>
        <v>1922</v>
      </c>
      <c r="O29" s="499">
        <f t="shared" si="7"/>
        <v>1922</v>
      </c>
      <c r="P29" s="499">
        <f t="shared" si="7"/>
        <v>1922</v>
      </c>
      <c r="Q29" s="462"/>
      <c r="R29" s="499">
        <f t="shared" si="7"/>
        <v>2389</v>
      </c>
      <c r="S29" s="496"/>
      <c r="T29" s="83"/>
      <c r="U29" s="83"/>
      <c r="V29" s="118"/>
      <c r="W29" s="147"/>
      <c r="X29" s="146"/>
      <c r="Z29" s="114"/>
      <c r="AB29" s="103"/>
      <c r="AC29" s="103"/>
      <c r="AD29" s="103"/>
      <c r="AE29" s="103"/>
      <c r="AF29" s="103"/>
      <c r="AG29" s="103"/>
      <c r="AH29" s="365"/>
      <c r="AI29" s="365"/>
      <c r="AJ29" s="103"/>
      <c r="AK29" s="103"/>
      <c r="AL29" s="103"/>
      <c r="AM29" s="103"/>
      <c r="AN29" s="103"/>
      <c r="AO29" s="103"/>
      <c r="AP29" s="103"/>
      <c r="AQ29" s="103"/>
    </row>
    <row r="30" spans="1:43" s="79" customFormat="1" ht="90" x14ac:dyDescent="0.2">
      <c r="A30" s="487" t="s">
        <v>458</v>
      </c>
      <c r="B30" s="488" t="s">
        <v>464</v>
      </c>
      <c r="C30" s="489" t="s">
        <v>143</v>
      </c>
      <c r="D30" s="490" t="s">
        <v>465</v>
      </c>
      <c r="E30" s="491" t="s">
        <v>466</v>
      </c>
      <c r="F30" s="491" t="s">
        <v>467</v>
      </c>
      <c r="G30" s="492">
        <v>670</v>
      </c>
      <c r="H30" s="493">
        <v>300</v>
      </c>
      <c r="I30" s="494">
        <f>30+25</f>
        <v>55</v>
      </c>
      <c r="J30" s="494">
        <f>30+25</f>
        <v>55</v>
      </c>
      <c r="K30" s="495">
        <f>L30</f>
        <v>0</v>
      </c>
      <c r="L30" s="462"/>
      <c r="M30" s="462">
        <v>525</v>
      </c>
      <c r="N30" s="462">
        <v>300</v>
      </c>
      <c r="O30" s="462">
        <v>300</v>
      </c>
      <c r="P30" s="462">
        <v>300</v>
      </c>
      <c r="Q30" s="462"/>
      <c r="R30" s="462">
        <f>G30*90%-O30</f>
        <v>303</v>
      </c>
      <c r="S30" s="496"/>
      <c r="T30" s="83"/>
      <c r="U30" s="83"/>
      <c r="V30" s="118" t="s">
        <v>123</v>
      </c>
      <c r="W30" s="147" t="s">
        <v>273</v>
      </c>
      <c r="X30" s="146"/>
      <c r="Z30" s="114"/>
      <c r="AB30" s="103"/>
      <c r="AC30" s="103"/>
      <c r="AD30" s="103"/>
      <c r="AE30" s="103"/>
      <c r="AF30" s="103"/>
      <c r="AG30" s="103"/>
      <c r="AH30" s="365"/>
      <c r="AI30" s="365"/>
      <c r="AJ30" s="103"/>
      <c r="AK30" s="103"/>
      <c r="AL30" s="103"/>
      <c r="AM30" s="103"/>
      <c r="AN30" s="103"/>
      <c r="AO30" s="103"/>
      <c r="AP30" s="103"/>
      <c r="AQ30" s="103"/>
    </row>
    <row r="31" spans="1:43" s="79" customFormat="1" ht="60" x14ac:dyDescent="0.2">
      <c r="A31" s="487" t="s">
        <v>468</v>
      </c>
      <c r="B31" s="488" t="s">
        <v>469</v>
      </c>
      <c r="C31" s="489" t="s">
        <v>147</v>
      </c>
      <c r="D31" s="490" t="s">
        <v>470</v>
      </c>
      <c r="E31" s="491" t="s">
        <v>466</v>
      </c>
      <c r="F31" s="491" t="s">
        <v>471</v>
      </c>
      <c r="G31" s="492">
        <v>2500</v>
      </c>
      <c r="H31" s="493">
        <v>811</v>
      </c>
      <c r="I31" s="500">
        <v>230</v>
      </c>
      <c r="J31" s="501">
        <v>230</v>
      </c>
      <c r="K31" s="495">
        <v>779.33299999999997</v>
      </c>
      <c r="L31" s="462">
        <v>149.333</v>
      </c>
      <c r="M31" s="462">
        <v>1230</v>
      </c>
      <c r="N31" s="462">
        <v>811</v>
      </c>
      <c r="O31" s="462">
        <v>811</v>
      </c>
      <c r="P31" s="462">
        <v>811</v>
      </c>
      <c r="Q31" s="462"/>
      <c r="R31" s="462">
        <f>G31*90%-O31</f>
        <v>1439</v>
      </c>
      <c r="S31" s="496"/>
      <c r="T31" s="83"/>
      <c r="U31" s="83"/>
      <c r="V31" s="118" t="s">
        <v>123</v>
      </c>
      <c r="W31" s="133" t="s">
        <v>268</v>
      </c>
      <c r="X31" s="146"/>
      <c r="Z31" s="114"/>
      <c r="AB31" s="103"/>
      <c r="AC31" s="103"/>
      <c r="AD31" s="103"/>
      <c r="AE31" s="103"/>
      <c r="AF31" s="103"/>
      <c r="AG31" s="103"/>
      <c r="AH31" s="365"/>
      <c r="AI31" s="365"/>
      <c r="AJ31" s="103"/>
      <c r="AK31" s="103"/>
      <c r="AL31" s="103"/>
      <c r="AM31" s="103"/>
      <c r="AN31" s="103"/>
      <c r="AO31" s="103"/>
      <c r="AP31" s="103"/>
      <c r="AQ31" s="103"/>
    </row>
    <row r="32" spans="1:43" s="79" customFormat="1" ht="30" x14ac:dyDescent="0.2">
      <c r="A32" s="487" t="s">
        <v>472</v>
      </c>
      <c r="B32" s="488" t="s">
        <v>473</v>
      </c>
      <c r="C32" s="489" t="s">
        <v>139</v>
      </c>
      <c r="D32" s="490" t="s">
        <v>474</v>
      </c>
      <c r="E32" s="491" t="s">
        <v>466</v>
      </c>
      <c r="F32" s="491" t="s">
        <v>475</v>
      </c>
      <c r="G32" s="492">
        <v>1620</v>
      </c>
      <c r="H32" s="493">
        <v>811</v>
      </c>
      <c r="I32" s="494">
        <f>30+25</f>
        <v>55</v>
      </c>
      <c r="J32" s="494">
        <f>30+25</f>
        <v>55</v>
      </c>
      <c r="K32" s="495">
        <f t="shared" ref="K32" si="8">L32</f>
        <v>0</v>
      </c>
      <c r="L32" s="462"/>
      <c r="M32" s="462">
        <v>1118</v>
      </c>
      <c r="N32" s="462">
        <v>811</v>
      </c>
      <c r="O32" s="462">
        <v>811</v>
      </c>
      <c r="P32" s="462">
        <v>811</v>
      </c>
      <c r="Q32" s="462"/>
      <c r="R32" s="462">
        <f>G32*90%-O32</f>
        <v>647</v>
      </c>
      <c r="S32" s="496"/>
      <c r="T32" s="83"/>
      <c r="U32" s="83"/>
      <c r="V32" s="118" t="s">
        <v>123</v>
      </c>
      <c r="W32" s="152" t="s">
        <v>278</v>
      </c>
      <c r="X32" s="146"/>
      <c r="Z32" s="114"/>
      <c r="AB32" s="103"/>
      <c r="AC32" s="103"/>
      <c r="AD32" s="103"/>
      <c r="AE32" s="103"/>
      <c r="AF32" s="103"/>
      <c r="AG32" s="103"/>
      <c r="AH32" s="365"/>
      <c r="AI32" s="365"/>
      <c r="AJ32" s="103"/>
      <c r="AK32" s="103"/>
      <c r="AL32" s="103"/>
      <c r="AM32" s="103"/>
      <c r="AN32" s="103"/>
      <c r="AO32" s="103"/>
      <c r="AP32" s="103"/>
      <c r="AQ32" s="103"/>
    </row>
    <row r="33" spans="1:43" s="79" customFormat="1" ht="15" x14ac:dyDescent="0.2">
      <c r="A33" s="497" t="s">
        <v>32</v>
      </c>
      <c r="B33" s="498" t="s">
        <v>583</v>
      </c>
      <c r="C33" s="489"/>
      <c r="D33" s="490"/>
      <c r="E33" s="491"/>
      <c r="F33" s="491"/>
      <c r="G33" s="499">
        <f>SUM(G34)</f>
        <v>850</v>
      </c>
      <c r="H33" s="499">
        <f t="shared" ref="H33:R33" si="9">SUM(H34)</f>
        <v>0</v>
      </c>
      <c r="I33" s="499">
        <f t="shared" si="9"/>
        <v>0</v>
      </c>
      <c r="J33" s="499">
        <f t="shared" si="9"/>
        <v>0</v>
      </c>
      <c r="K33" s="499">
        <f t="shared" si="9"/>
        <v>0</v>
      </c>
      <c r="L33" s="499">
        <f t="shared" si="9"/>
        <v>0</v>
      </c>
      <c r="M33" s="499">
        <f t="shared" si="9"/>
        <v>0</v>
      </c>
      <c r="N33" s="499">
        <f t="shared" si="9"/>
        <v>0</v>
      </c>
      <c r="O33" s="499">
        <f t="shared" si="9"/>
        <v>0</v>
      </c>
      <c r="P33" s="499">
        <f t="shared" si="9"/>
        <v>0</v>
      </c>
      <c r="Q33" s="462"/>
      <c r="R33" s="499">
        <f t="shared" si="9"/>
        <v>297.5</v>
      </c>
      <c r="S33" s="496"/>
      <c r="T33" s="83"/>
      <c r="U33" s="83"/>
      <c r="V33" s="118"/>
      <c r="W33" s="152"/>
      <c r="X33" s="146"/>
      <c r="Z33" s="114"/>
      <c r="AB33" s="103"/>
      <c r="AC33" s="103"/>
      <c r="AD33" s="103"/>
      <c r="AE33" s="103"/>
      <c r="AF33" s="103"/>
      <c r="AG33" s="103"/>
      <c r="AH33" s="365"/>
      <c r="AI33" s="365"/>
      <c r="AJ33" s="103"/>
      <c r="AK33" s="103"/>
      <c r="AL33" s="103"/>
      <c r="AM33" s="103"/>
      <c r="AN33" s="103"/>
      <c r="AO33" s="103"/>
      <c r="AP33" s="103"/>
      <c r="AQ33" s="103"/>
    </row>
    <row r="34" spans="1:43" s="79" customFormat="1" ht="51" x14ac:dyDescent="0.2">
      <c r="A34" s="487">
        <v>1</v>
      </c>
      <c r="B34" s="502" t="s">
        <v>604</v>
      </c>
      <c r="C34" s="503" t="s">
        <v>166</v>
      </c>
      <c r="D34" s="503" t="s">
        <v>470</v>
      </c>
      <c r="E34" s="491" t="s">
        <v>605</v>
      </c>
      <c r="F34" s="491"/>
      <c r="G34" s="492">
        <v>850</v>
      </c>
      <c r="H34" s="493"/>
      <c r="I34" s="463"/>
      <c r="J34" s="494"/>
      <c r="K34" s="495"/>
      <c r="L34" s="462"/>
      <c r="M34" s="462"/>
      <c r="N34" s="462"/>
      <c r="O34" s="462"/>
      <c r="P34" s="462"/>
      <c r="Q34" s="462"/>
      <c r="R34" s="462">
        <f>G34*35%</f>
        <v>297.5</v>
      </c>
      <c r="S34" s="496"/>
      <c r="T34" s="83"/>
      <c r="U34" s="83"/>
      <c r="V34" s="118"/>
      <c r="W34" s="152"/>
      <c r="X34" s="146"/>
      <c r="Z34" s="114"/>
      <c r="AB34" s="103"/>
      <c r="AC34" s="103"/>
      <c r="AD34" s="103"/>
      <c r="AE34" s="103"/>
      <c r="AF34" s="103"/>
      <c r="AG34" s="103"/>
      <c r="AH34" s="365"/>
      <c r="AI34" s="365"/>
      <c r="AJ34" s="103"/>
      <c r="AK34" s="103"/>
      <c r="AL34" s="103"/>
      <c r="AM34" s="103"/>
      <c r="AN34" s="103"/>
      <c r="AO34" s="103"/>
      <c r="AP34" s="103"/>
      <c r="AQ34" s="103"/>
    </row>
    <row r="35" spans="1:43" s="79" customFormat="1" ht="14.25" x14ac:dyDescent="0.2">
      <c r="A35" s="472" t="s">
        <v>25</v>
      </c>
      <c r="B35" s="473" t="s">
        <v>402</v>
      </c>
      <c r="C35" s="474"/>
      <c r="D35" s="473"/>
      <c r="E35" s="475"/>
      <c r="F35" s="475"/>
      <c r="G35" s="476">
        <f>G36+G59+G61</f>
        <v>205447</v>
      </c>
      <c r="H35" s="476">
        <f t="shared" ref="H35:R35" si="10">H36+H59+H61</f>
        <v>43931</v>
      </c>
      <c r="I35" s="476">
        <f t="shared" si="10"/>
        <v>55582</v>
      </c>
      <c r="J35" s="476">
        <f t="shared" si="10"/>
        <v>25211</v>
      </c>
      <c r="K35" s="476">
        <f t="shared" si="10"/>
        <v>11529.518</v>
      </c>
      <c r="L35" s="476">
        <f t="shared" si="10"/>
        <v>11247.559000000001</v>
      </c>
      <c r="M35" s="476">
        <f t="shared" si="10"/>
        <v>0</v>
      </c>
      <c r="N35" s="476">
        <f t="shared" si="10"/>
        <v>0</v>
      </c>
      <c r="O35" s="476">
        <f t="shared" si="10"/>
        <v>43931</v>
      </c>
      <c r="P35" s="476">
        <f t="shared" si="10"/>
        <v>18251</v>
      </c>
      <c r="Q35" s="477">
        <f>K35/H35*100</f>
        <v>26.244606314447655</v>
      </c>
      <c r="R35" s="476">
        <f t="shared" si="10"/>
        <v>85313</v>
      </c>
      <c r="S35" s="478"/>
      <c r="T35" s="149"/>
      <c r="U35" s="149"/>
      <c r="V35" s="118"/>
      <c r="X35" s="146"/>
      <c r="Z35" s="114"/>
      <c r="AB35" s="103"/>
      <c r="AC35" s="103"/>
      <c r="AD35" s="103"/>
      <c r="AE35" s="103"/>
      <c r="AF35" s="103"/>
      <c r="AG35" s="103"/>
      <c r="AH35" s="365"/>
      <c r="AI35" s="365"/>
      <c r="AJ35" s="103"/>
      <c r="AK35" s="103"/>
      <c r="AL35" s="103"/>
      <c r="AM35" s="103"/>
      <c r="AN35" s="103"/>
      <c r="AO35" s="103"/>
      <c r="AP35" s="103"/>
      <c r="AQ35" s="103"/>
    </row>
    <row r="36" spans="1:43" s="84" customFormat="1" ht="15" x14ac:dyDescent="0.2">
      <c r="A36" s="479"/>
      <c r="B36" s="480" t="s">
        <v>462</v>
      </c>
      <c r="C36" s="481"/>
      <c r="D36" s="480"/>
      <c r="E36" s="482"/>
      <c r="F36" s="483"/>
      <c r="G36" s="484">
        <f>SUM(G37:G58)</f>
        <v>194447</v>
      </c>
      <c r="H36" s="484">
        <f>SUM(H37:H58)</f>
        <v>43731</v>
      </c>
      <c r="I36" s="504">
        <f t="shared" ref="I36:R36" si="11">SUM(I37:I58)</f>
        <v>55562</v>
      </c>
      <c r="J36" s="484">
        <f t="shared" si="11"/>
        <v>25191</v>
      </c>
      <c r="K36" s="505">
        <f t="shared" si="11"/>
        <v>11529.518</v>
      </c>
      <c r="L36" s="505">
        <f t="shared" si="11"/>
        <v>11247.559000000001</v>
      </c>
      <c r="M36" s="505">
        <f t="shared" si="11"/>
        <v>0</v>
      </c>
      <c r="N36" s="505">
        <f t="shared" si="11"/>
        <v>0</v>
      </c>
      <c r="O36" s="505">
        <f t="shared" si="11"/>
        <v>43731</v>
      </c>
      <c r="P36" s="505">
        <f t="shared" si="11"/>
        <v>18251</v>
      </c>
      <c r="Q36" s="485"/>
      <c r="R36" s="484">
        <f t="shared" si="11"/>
        <v>81613</v>
      </c>
      <c r="S36" s="486"/>
      <c r="T36" s="132"/>
      <c r="U36" s="132"/>
      <c r="V36" s="119"/>
      <c r="X36" s="150"/>
      <c r="Z36" s="151"/>
      <c r="AB36" s="112"/>
      <c r="AC36" s="112"/>
      <c r="AD36" s="112"/>
      <c r="AE36" s="112"/>
      <c r="AF36" s="112"/>
      <c r="AG36" s="112"/>
      <c r="AH36" s="365"/>
      <c r="AI36" s="365"/>
      <c r="AJ36" s="112"/>
      <c r="AK36" s="112"/>
      <c r="AL36" s="112"/>
      <c r="AM36" s="112"/>
      <c r="AN36" s="112"/>
      <c r="AO36" s="112"/>
      <c r="AP36" s="112"/>
      <c r="AQ36" s="112"/>
    </row>
    <row r="37" spans="1:43" s="79" customFormat="1" ht="30" x14ac:dyDescent="0.2">
      <c r="A37" s="487">
        <v>1</v>
      </c>
      <c r="B37" s="488" t="s">
        <v>168</v>
      </c>
      <c r="C37" s="489" t="s">
        <v>144</v>
      </c>
      <c r="D37" s="461"/>
      <c r="E37" s="506" t="s">
        <v>179</v>
      </c>
      <c r="F37" s="491" t="s">
        <v>184</v>
      </c>
      <c r="G37" s="492">
        <v>20000</v>
      </c>
      <c r="H37" s="507">
        <v>4000</v>
      </c>
      <c r="I37" s="463">
        <v>5470</v>
      </c>
      <c r="J37" s="508">
        <v>3500</v>
      </c>
      <c r="K37" s="509">
        <v>1756.7949999999998</v>
      </c>
      <c r="L37" s="508">
        <v>1756.7949999999998</v>
      </c>
      <c r="M37" s="508"/>
      <c r="N37" s="508"/>
      <c r="O37" s="508">
        <v>4000</v>
      </c>
      <c r="P37" s="508">
        <v>4000</v>
      </c>
      <c r="Q37" s="462"/>
      <c r="R37" s="462">
        <f>G37-(O37+8000)</f>
        <v>8000</v>
      </c>
      <c r="S37" s="496"/>
      <c r="T37" s="83"/>
      <c r="U37" s="83"/>
      <c r="V37" s="118" t="s">
        <v>122</v>
      </c>
      <c r="W37" s="133" t="s">
        <v>268</v>
      </c>
      <c r="X37" s="146"/>
      <c r="Z37" s="114"/>
      <c r="AB37" s="103"/>
      <c r="AC37" s="103"/>
      <c r="AD37" s="103"/>
      <c r="AE37" s="103"/>
      <c r="AF37" s="103"/>
      <c r="AG37" s="103"/>
      <c r="AH37" s="365">
        <f t="shared" ref="AH37:AI58" si="12">H37-K37</f>
        <v>2243.2049999999999</v>
      </c>
      <c r="AI37" s="365">
        <f t="shared" si="12"/>
        <v>3713.2049999999999</v>
      </c>
      <c r="AJ37" s="103"/>
      <c r="AK37" s="103"/>
      <c r="AL37" s="103"/>
      <c r="AM37" s="103"/>
      <c r="AN37" s="103"/>
      <c r="AO37" s="103"/>
      <c r="AP37" s="103"/>
      <c r="AQ37" s="103"/>
    </row>
    <row r="38" spans="1:43" s="79" customFormat="1" ht="90" x14ac:dyDescent="0.2">
      <c r="A38" s="487">
        <v>2</v>
      </c>
      <c r="B38" s="488" t="s">
        <v>169</v>
      </c>
      <c r="C38" s="489" t="s">
        <v>180</v>
      </c>
      <c r="D38" s="461"/>
      <c r="E38" s="506" t="s">
        <v>179</v>
      </c>
      <c r="F38" s="491" t="s">
        <v>185</v>
      </c>
      <c r="G38" s="492">
        <v>35000</v>
      </c>
      <c r="H38" s="507">
        <v>6251</v>
      </c>
      <c r="I38" s="463">
        <v>5000</v>
      </c>
      <c r="J38" s="508">
        <v>3000</v>
      </c>
      <c r="K38" s="509">
        <v>65</v>
      </c>
      <c r="L38" s="508"/>
      <c r="M38" s="508"/>
      <c r="N38" s="507"/>
      <c r="O38" s="508">
        <v>6251</v>
      </c>
      <c r="P38" s="507">
        <v>6251</v>
      </c>
      <c r="Q38" s="462"/>
      <c r="R38" s="462">
        <f>G38-(O38+9612)</f>
        <v>19137</v>
      </c>
      <c r="S38" s="496"/>
      <c r="T38" s="83"/>
      <c r="U38" s="83"/>
      <c r="V38" s="118" t="s">
        <v>122</v>
      </c>
      <c r="W38" s="133" t="s">
        <v>268</v>
      </c>
      <c r="X38" s="146"/>
      <c r="Z38" s="114"/>
      <c r="AB38" s="103"/>
      <c r="AC38" s="103"/>
      <c r="AD38" s="103"/>
      <c r="AE38" s="103"/>
      <c r="AF38" s="103"/>
      <c r="AG38" s="103"/>
      <c r="AH38" s="365">
        <f t="shared" si="12"/>
        <v>6186</v>
      </c>
      <c r="AI38" s="365">
        <f t="shared" si="12"/>
        <v>5000</v>
      </c>
      <c r="AJ38" s="103"/>
      <c r="AK38" s="103"/>
      <c r="AL38" s="103"/>
      <c r="AM38" s="103"/>
      <c r="AN38" s="103"/>
      <c r="AO38" s="103"/>
      <c r="AP38" s="103"/>
      <c r="AQ38" s="103"/>
    </row>
    <row r="39" spans="1:43" s="79" customFormat="1" ht="45" x14ac:dyDescent="0.2">
      <c r="A39" s="487">
        <v>3</v>
      </c>
      <c r="B39" s="488" t="s">
        <v>170</v>
      </c>
      <c r="C39" s="489" t="s">
        <v>181</v>
      </c>
      <c r="D39" s="461"/>
      <c r="E39" s="506" t="s">
        <v>179</v>
      </c>
      <c r="F39" s="491" t="s">
        <v>186</v>
      </c>
      <c r="G39" s="492">
        <v>35000</v>
      </c>
      <c r="H39" s="507">
        <v>8000</v>
      </c>
      <c r="I39" s="463">
        <v>3461</v>
      </c>
      <c r="J39" s="508">
        <v>530</v>
      </c>
      <c r="K39" s="509">
        <f t="shared" ref="K39:K58" si="13">L39</f>
        <v>0</v>
      </c>
      <c r="L39" s="500"/>
      <c r="M39" s="510"/>
      <c r="N39" s="500"/>
      <c r="O39" s="500">
        <v>8000</v>
      </c>
      <c r="P39" s="500">
        <v>8000</v>
      </c>
      <c r="Q39" s="462"/>
      <c r="R39" s="462">
        <f>G39-(O39+9613)</f>
        <v>17387</v>
      </c>
      <c r="S39" s="496"/>
      <c r="T39" s="83"/>
      <c r="U39" s="83"/>
      <c r="V39" s="118" t="s">
        <v>122</v>
      </c>
      <c r="W39" s="133" t="s">
        <v>268</v>
      </c>
      <c r="X39" s="146"/>
      <c r="Z39" s="114"/>
      <c r="AB39" s="103"/>
      <c r="AC39" s="103"/>
      <c r="AD39" s="103"/>
      <c r="AE39" s="103"/>
      <c r="AF39" s="103"/>
      <c r="AG39" s="103"/>
      <c r="AH39" s="365">
        <f t="shared" si="12"/>
        <v>8000</v>
      </c>
      <c r="AI39" s="365">
        <f t="shared" si="12"/>
        <v>3461</v>
      </c>
      <c r="AJ39" s="103"/>
      <c r="AK39" s="103"/>
      <c r="AL39" s="103"/>
      <c r="AM39" s="103"/>
      <c r="AN39" s="103"/>
      <c r="AO39" s="103"/>
      <c r="AP39" s="103"/>
      <c r="AQ39" s="103"/>
    </row>
    <row r="40" spans="1:43" s="79" customFormat="1" ht="45" x14ac:dyDescent="0.2">
      <c r="A40" s="487">
        <v>4</v>
      </c>
      <c r="B40" s="488" t="s">
        <v>171</v>
      </c>
      <c r="C40" s="489" t="s">
        <v>182</v>
      </c>
      <c r="D40" s="461"/>
      <c r="E40" s="506" t="s">
        <v>179</v>
      </c>
      <c r="F40" s="491" t="s">
        <v>187</v>
      </c>
      <c r="G40" s="492">
        <v>4556</v>
      </c>
      <c r="H40" s="507">
        <v>1300</v>
      </c>
      <c r="I40" s="463">
        <v>2034</v>
      </c>
      <c r="J40" s="508">
        <v>534</v>
      </c>
      <c r="K40" s="509">
        <v>668.40000000000009</v>
      </c>
      <c r="L40" s="509">
        <v>668.40000000000009</v>
      </c>
      <c r="M40" s="509"/>
      <c r="N40" s="507"/>
      <c r="O40" s="509">
        <v>1300</v>
      </c>
      <c r="P40" s="509"/>
      <c r="Q40" s="462"/>
      <c r="R40" s="462">
        <f>G40-(O40+1823)</f>
        <v>1433</v>
      </c>
      <c r="S40" s="496"/>
      <c r="T40" s="83"/>
      <c r="U40" s="83"/>
      <c r="V40" s="118" t="s">
        <v>122</v>
      </c>
      <c r="W40" s="133" t="s">
        <v>268</v>
      </c>
      <c r="X40" s="146"/>
      <c r="Z40" s="114"/>
      <c r="AB40" s="103"/>
      <c r="AC40" s="103"/>
      <c r="AD40" s="103"/>
      <c r="AE40" s="103"/>
      <c r="AF40" s="103"/>
      <c r="AG40" s="103"/>
      <c r="AH40" s="365">
        <f t="shared" si="12"/>
        <v>631.59999999999991</v>
      </c>
      <c r="AI40" s="365">
        <f t="shared" si="12"/>
        <v>1365.6</v>
      </c>
      <c r="AJ40" s="103"/>
      <c r="AK40" s="103"/>
      <c r="AL40" s="103"/>
      <c r="AM40" s="103"/>
      <c r="AN40" s="103"/>
      <c r="AO40" s="103"/>
      <c r="AP40" s="103"/>
      <c r="AQ40" s="103"/>
    </row>
    <row r="41" spans="1:43" s="79" customFormat="1" ht="45" x14ac:dyDescent="0.2">
      <c r="A41" s="487">
        <v>5</v>
      </c>
      <c r="B41" s="488" t="s">
        <v>172</v>
      </c>
      <c r="C41" s="489" t="s">
        <v>182</v>
      </c>
      <c r="D41" s="461"/>
      <c r="E41" s="506" t="s">
        <v>179</v>
      </c>
      <c r="F41" s="491" t="s">
        <v>188</v>
      </c>
      <c r="G41" s="492">
        <v>4000</v>
      </c>
      <c r="H41" s="507">
        <v>1200</v>
      </c>
      <c r="I41" s="463">
        <f>900+J41</f>
        <v>3280</v>
      </c>
      <c r="J41" s="508">
        <f>1440+940</f>
        <v>2380</v>
      </c>
      <c r="K41" s="509">
        <v>299.976</v>
      </c>
      <c r="L41" s="500">
        <v>299.976</v>
      </c>
      <c r="M41" s="500"/>
      <c r="N41" s="500"/>
      <c r="O41" s="500">
        <v>1200</v>
      </c>
      <c r="P41" s="500"/>
      <c r="Q41" s="462"/>
      <c r="R41" s="462">
        <f>G41-(O41+1600)</f>
        <v>1200</v>
      </c>
      <c r="S41" s="496"/>
      <c r="T41" s="83"/>
      <c r="U41" s="83"/>
      <c r="V41" s="118" t="s">
        <v>122</v>
      </c>
      <c r="W41" s="133" t="s">
        <v>268</v>
      </c>
      <c r="X41" s="146"/>
      <c r="Z41" s="114"/>
      <c r="AB41" s="103"/>
      <c r="AC41" s="103"/>
      <c r="AD41" s="103"/>
      <c r="AE41" s="103"/>
      <c r="AF41" s="103"/>
      <c r="AG41" s="103"/>
      <c r="AH41" s="365">
        <f t="shared" si="12"/>
        <v>900.024</v>
      </c>
      <c r="AI41" s="365">
        <f t="shared" si="12"/>
        <v>2980.0239999999999</v>
      </c>
      <c r="AJ41" s="103"/>
      <c r="AK41" s="103"/>
      <c r="AL41" s="103"/>
      <c r="AM41" s="103"/>
      <c r="AN41" s="103"/>
      <c r="AO41" s="103"/>
      <c r="AP41" s="103"/>
      <c r="AQ41" s="103"/>
    </row>
    <row r="42" spans="1:43" s="79" customFormat="1" ht="30" x14ac:dyDescent="0.2">
      <c r="A42" s="487">
        <v>6</v>
      </c>
      <c r="B42" s="488" t="s">
        <v>173</v>
      </c>
      <c r="C42" s="489" t="s">
        <v>143</v>
      </c>
      <c r="D42" s="461"/>
      <c r="E42" s="506" t="s">
        <v>179</v>
      </c>
      <c r="F42" s="491" t="s">
        <v>189</v>
      </c>
      <c r="G42" s="492">
        <v>5400</v>
      </c>
      <c r="H42" s="507">
        <v>1600</v>
      </c>
      <c r="I42" s="463">
        <v>4215</v>
      </c>
      <c r="J42" s="508">
        <v>2815</v>
      </c>
      <c r="K42" s="509">
        <v>1513.722</v>
      </c>
      <c r="L42" s="500">
        <v>1415.1669999999999</v>
      </c>
      <c r="M42" s="500"/>
      <c r="N42" s="500"/>
      <c r="O42" s="500">
        <v>1600</v>
      </c>
      <c r="P42" s="500"/>
      <c r="Q42" s="462"/>
      <c r="R42" s="462">
        <f>G42-(O42+2160)</f>
        <v>1640</v>
      </c>
      <c r="S42" s="496"/>
      <c r="T42" s="83"/>
      <c r="U42" s="83"/>
      <c r="V42" s="118" t="s">
        <v>122</v>
      </c>
      <c r="W42" s="133" t="s">
        <v>268</v>
      </c>
      <c r="X42" s="146"/>
      <c r="Z42" s="114"/>
      <c r="AB42" s="103"/>
      <c r="AC42" s="103"/>
      <c r="AD42" s="103"/>
      <c r="AE42" s="103"/>
      <c r="AF42" s="103"/>
      <c r="AG42" s="103"/>
      <c r="AH42" s="365">
        <f t="shared" si="12"/>
        <v>86.27800000000002</v>
      </c>
      <c r="AI42" s="365">
        <f t="shared" si="12"/>
        <v>2799.8330000000001</v>
      </c>
      <c r="AJ42" s="103"/>
      <c r="AK42" s="103"/>
      <c r="AL42" s="103"/>
      <c r="AM42" s="103"/>
      <c r="AN42" s="103"/>
      <c r="AO42" s="103"/>
      <c r="AP42" s="103"/>
      <c r="AQ42" s="103"/>
    </row>
    <row r="43" spans="1:43" s="79" customFormat="1" ht="45" x14ac:dyDescent="0.2">
      <c r="A43" s="487">
        <v>7</v>
      </c>
      <c r="B43" s="488" t="s">
        <v>174</v>
      </c>
      <c r="C43" s="489" t="s">
        <v>182</v>
      </c>
      <c r="D43" s="461"/>
      <c r="E43" s="506" t="s">
        <v>179</v>
      </c>
      <c r="F43" s="491" t="s">
        <v>190</v>
      </c>
      <c r="G43" s="492">
        <v>5000</v>
      </c>
      <c r="H43" s="507">
        <v>1500</v>
      </c>
      <c r="I43" s="463">
        <v>2686</v>
      </c>
      <c r="J43" s="508">
        <v>1886</v>
      </c>
      <c r="K43" s="509">
        <v>562.00099999999998</v>
      </c>
      <c r="L43" s="500">
        <v>562.00099999999998</v>
      </c>
      <c r="M43" s="500"/>
      <c r="N43" s="500"/>
      <c r="O43" s="500">
        <v>1500</v>
      </c>
      <c r="P43" s="500"/>
      <c r="Q43" s="462"/>
      <c r="R43" s="462">
        <f>G43-(O43+2000)</f>
        <v>1500</v>
      </c>
      <c r="S43" s="496"/>
      <c r="T43" s="83"/>
      <c r="U43" s="83"/>
      <c r="V43" s="118" t="s">
        <v>122</v>
      </c>
      <c r="W43" s="133" t="s">
        <v>268</v>
      </c>
      <c r="X43" s="146"/>
      <c r="Z43" s="114"/>
      <c r="AB43" s="103"/>
      <c r="AC43" s="103"/>
      <c r="AD43" s="103"/>
      <c r="AE43" s="103"/>
      <c r="AF43" s="103"/>
      <c r="AG43" s="103"/>
      <c r="AH43" s="365">
        <f t="shared" si="12"/>
        <v>937.99900000000002</v>
      </c>
      <c r="AI43" s="365">
        <f t="shared" si="12"/>
        <v>2123.9989999999998</v>
      </c>
      <c r="AJ43" s="103"/>
      <c r="AK43" s="103"/>
      <c r="AL43" s="103"/>
      <c r="AM43" s="103"/>
      <c r="AN43" s="103"/>
      <c r="AO43" s="103"/>
      <c r="AP43" s="103"/>
      <c r="AQ43" s="103"/>
    </row>
    <row r="44" spans="1:43" s="79" customFormat="1" ht="45" x14ac:dyDescent="0.2">
      <c r="A44" s="487">
        <v>8</v>
      </c>
      <c r="B44" s="488" t="s">
        <v>175</v>
      </c>
      <c r="C44" s="489" t="s">
        <v>182</v>
      </c>
      <c r="D44" s="461"/>
      <c r="E44" s="506" t="s">
        <v>179</v>
      </c>
      <c r="F44" s="491" t="s">
        <v>191</v>
      </c>
      <c r="G44" s="492">
        <v>4500</v>
      </c>
      <c r="H44" s="507">
        <v>1350</v>
      </c>
      <c r="I44" s="463">
        <v>1750</v>
      </c>
      <c r="J44" s="508">
        <v>250</v>
      </c>
      <c r="K44" s="509">
        <v>1012.5980000000001</v>
      </c>
      <c r="L44" s="500">
        <v>1012.5980000000001</v>
      </c>
      <c r="M44" s="500"/>
      <c r="N44" s="500"/>
      <c r="O44" s="500">
        <v>1350</v>
      </c>
      <c r="P44" s="500"/>
      <c r="Q44" s="462"/>
      <c r="R44" s="462">
        <f>G44-(O44+1800)</f>
        <v>1350</v>
      </c>
      <c r="S44" s="496"/>
      <c r="T44" s="83"/>
      <c r="U44" s="83"/>
      <c r="V44" s="118" t="s">
        <v>122</v>
      </c>
      <c r="W44" s="133" t="s">
        <v>268</v>
      </c>
      <c r="X44" s="146"/>
      <c r="Z44" s="114"/>
      <c r="AB44" s="103"/>
      <c r="AC44" s="103"/>
      <c r="AD44" s="103"/>
      <c r="AE44" s="103"/>
      <c r="AF44" s="103"/>
      <c r="AG44" s="103"/>
      <c r="AH44" s="365">
        <f t="shared" si="12"/>
        <v>337.40199999999993</v>
      </c>
      <c r="AI44" s="365">
        <f t="shared" si="12"/>
        <v>737.40199999999993</v>
      </c>
      <c r="AJ44" s="103"/>
      <c r="AK44" s="103"/>
      <c r="AL44" s="103"/>
      <c r="AM44" s="103"/>
      <c r="AN44" s="103"/>
      <c r="AO44" s="103"/>
      <c r="AP44" s="103"/>
      <c r="AQ44" s="103"/>
    </row>
    <row r="45" spans="1:43" s="79" customFormat="1" ht="75" x14ac:dyDescent="0.2">
      <c r="A45" s="487">
        <v>9</v>
      </c>
      <c r="B45" s="488" t="s">
        <v>176</v>
      </c>
      <c r="C45" s="489" t="s">
        <v>183</v>
      </c>
      <c r="D45" s="461"/>
      <c r="E45" s="506" t="s">
        <v>179</v>
      </c>
      <c r="F45" s="491" t="s">
        <v>192</v>
      </c>
      <c r="G45" s="492">
        <v>24841</v>
      </c>
      <c r="H45" s="507">
        <v>5000</v>
      </c>
      <c r="I45" s="463">
        <v>6000</v>
      </c>
      <c r="J45" s="508">
        <v>2900</v>
      </c>
      <c r="K45" s="509">
        <v>40</v>
      </c>
      <c r="L45" s="500"/>
      <c r="M45" s="500"/>
      <c r="N45" s="500"/>
      <c r="O45" s="500">
        <v>5000</v>
      </c>
      <c r="P45" s="500"/>
      <c r="Q45" s="462"/>
      <c r="R45" s="462">
        <f>G45-(O45+7000)</f>
        <v>12841</v>
      </c>
      <c r="S45" s="496"/>
      <c r="T45" s="83"/>
      <c r="U45" s="83"/>
      <c r="V45" s="118" t="s">
        <v>122</v>
      </c>
      <c r="W45" s="133" t="s">
        <v>268</v>
      </c>
      <c r="X45" s="146"/>
      <c r="Z45" s="114"/>
      <c r="AB45" s="103"/>
      <c r="AC45" s="103"/>
      <c r="AD45" s="103"/>
      <c r="AE45" s="103"/>
      <c r="AF45" s="103"/>
      <c r="AG45" s="103"/>
      <c r="AH45" s="365">
        <f t="shared" si="12"/>
        <v>4960</v>
      </c>
      <c r="AI45" s="365">
        <f t="shared" si="12"/>
        <v>6000</v>
      </c>
      <c r="AJ45" s="103"/>
      <c r="AK45" s="103"/>
      <c r="AL45" s="103"/>
      <c r="AM45" s="103"/>
      <c r="AN45" s="103"/>
      <c r="AO45" s="103"/>
      <c r="AP45" s="103"/>
      <c r="AQ45" s="103"/>
    </row>
    <row r="46" spans="1:43" s="79" customFormat="1" ht="30" x14ac:dyDescent="0.2">
      <c r="A46" s="487">
        <v>10</v>
      </c>
      <c r="B46" s="488" t="s">
        <v>177</v>
      </c>
      <c r="C46" s="489" t="s">
        <v>143</v>
      </c>
      <c r="D46" s="461"/>
      <c r="E46" s="506" t="s">
        <v>179</v>
      </c>
      <c r="F46" s="491" t="s">
        <v>193</v>
      </c>
      <c r="G46" s="492">
        <v>4000</v>
      </c>
      <c r="H46" s="507">
        <v>1200</v>
      </c>
      <c r="I46" s="463">
        <v>3196</v>
      </c>
      <c r="J46" s="508">
        <v>2486</v>
      </c>
      <c r="K46" s="509">
        <v>1139.165</v>
      </c>
      <c r="L46" s="500">
        <v>1060.761</v>
      </c>
      <c r="M46" s="500"/>
      <c r="N46" s="500"/>
      <c r="O46" s="500">
        <v>1200</v>
      </c>
      <c r="P46" s="500"/>
      <c r="Q46" s="462"/>
      <c r="R46" s="462">
        <f>G46-(O46+1600)</f>
        <v>1200</v>
      </c>
      <c r="S46" s="496"/>
      <c r="T46" s="83"/>
      <c r="U46" s="83"/>
      <c r="V46" s="118" t="s">
        <v>122</v>
      </c>
      <c r="W46" s="133" t="s">
        <v>268</v>
      </c>
      <c r="X46" s="146"/>
      <c r="Z46" s="114"/>
      <c r="AB46" s="103"/>
      <c r="AC46" s="103"/>
      <c r="AD46" s="103"/>
      <c r="AE46" s="103"/>
      <c r="AF46" s="103"/>
      <c r="AG46" s="103"/>
      <c r="AH46" s="365">
        <f t="shared" si="12"/>
        <v>60.835000000000036</v>
      </c>
      <c r="AI46" s="365">
        <f t="shared" si="12"/>
        <v>2135.239</v>
      </c>
      <c r="AJ46" s="103"/>
      <c r="AK46" s="103"/>
      <c r="AL46" s="103"/>
      <c r="AM46" s="103"/>
      <c r="AN46" s="103"/>
      <c r="AO46" s="103"/>
      <c r="AP46" s="103"/>
      <c r="AQ46" s="103"/>
    </row>
    <row r="47" spans="1:43" s="79" customFormat="1" ht="45" x14ac:dyDescent="0.2">
      <c r="A47" s="487">
        <v>11</v>
      </c>
      <c r="B47" s="488" t="s">
        <v>178</v>
      </c>
      <c r="C47" s="489" t="s">
        <v>182</v>
      </c>
      <c r="D47" s="461"/>
      <c r="E47" s="506" t="s">
        <v>179</v>
      </c>
      <c r="F47" s="491" t="s">
        <v>194</v>
      </c>
      <c r="G47" s="492">
        <v>1500</v>
      </c>
      <c r="H47" s="507">
        <v>800</v>
      </c>
      <c r="I47" s="463">
        <f>300+J47</f>
        <v>410</v>
      </c>
      <c r="J47" s="508">
        <v>110</v>
      </c>
      <c r="K47" s="509">
        <f t="shared" si="13"/>
        <v>0</v>
      </c>
      <c r="L47" s="500"/>
      <c r="M47" s="500"/>
      <c r="N47" s="500"/>
      <c r="O47" s="500">
        <v>800</v>
      </c>
      <c r="P47" s="500"/>
      <c r="Q47" s="462"/>
      <c r="R47" s="462">
        <f>G47-(O47+600)</f>
        <v>100</v>
      </c>
      <c r="S47" s="496"/>
      <c r="T47" s="83"/>
      <c r="U47" s="83"/>
      <c r="V47" s="118" t="s">
        <v>122</v>
      </c>
      <c r="W47" s="133" t="s">
        <v>268</v>
      </c>
      <c r="X47" s="146"/>
      <c r="Z47" s="114"/>
      <c r="AB47" s="103"/>
      <c r="AC47" s="103"/>
      <c r="AD47" s="103"/>
      <c r="AE47" s="103"/>
      <c r="AF47" s="103"/>
      <c r="AG47" s="103"/>
      <c r="AH47" s="365">
        <f t="shared" si="12"/>
        <v>800</v>
      </c>
      <c r="AI47" s="365">
        <f t="shared" si="12"/>
        <v>410</v>
      </c>
      <c r="AJ47" s="103"/>
      <c r="AK47" s="103"/>
      <c r="AL47" s="103"/>
      <c r="AM47" s="103"/>
      <c r="AN47" s="103"/>
      <c r="AO47" s="103"/>
      <c r="AP47" s="103"/>
      <c r="AQ47" s="103"/>
    </row>
    <row r="48" spans="1:43" s="79" customFormat="1" ht="30" x14ac:dyDescent="0.2">
      <c r="A48" s="487">
        <v>12</v>
      </c>
      <c r="B48" s="511" t="s">
        <v>281</v>
      </c>
      <c r="C48" s="491" t="s">
        <v>292</v>
      </c>
      <c r="D48" s="491" t="s">
        <v>295</v>
      </c>
      <c r="E48" s="506" t="s">
        <v>179</v>
      </c>
      <c r="F48" s="491" t="s">
        <v>306</v>
      </c>
      <c r="G48" s="492">
        <v>6000</v>
      </c>
      <c r="H48" s="507">
        <v>1800</v>
      </c>
      <c r="I48" s="463">
        <v>770</v>
      </c>
      <c r="J48" s="508">
        <v>350</v>
      </c>
      <c r="K48" s="509">
        <f t="shared" si="13"/>
        <v>0</v>
      </c>
      <c r="L48" s="500"/>
      <c r="M48" s="500"/>
      <c r="N48" s="500"/>
      <c r="O48" s="500">
        <v>1800</v>
      </c>
      <c r="P48" s="500"/>
      <c r="Q48" s="462"/>
      <c r="R48" s="462">
        <f>G48-(O48+2400)</f>
        <v>1800</v>
      </c>
      <c r="S48" s="496"/>
      <c r="T48" s="83"/>
      <c r="U48" s="83"/>
      <c r="V48" s="118" t="s">
        <v>122</v>
      </c>
      <c r="W48" s="133" t="s">
        <v>268</v>
      </c>
      <c r="X48" s="153" t="s">
        <v>318</v>
      </c>
      <c r="Z48" s="114"/>
      <c r="AB48" s="103"/>
      <c r="AC48" s="103"/>
      <c r="AD48" s="103"/>
      <c r="AE48" s="103"/>
      <c r="AF48" s="103"/>
      <c r="AG48" s="103"/>
      <c r="AH48" s="365">
        <f t="shared" si="12"/>
        <v>1800</v>
      </c>
      <c r="AI48" s="365">
        <f t="shared" si="12"/>
        <v>770</v>
      </c>
      <c r="AJ48" s="103"/>
      <c r="AK48" s="103"/>
      <c r="AL48" s="103"/>
      <c r="AM48" s="103"/>
      <c r="AN48" s="103"/>
      <c r="AO48" s="103"/>
      <c r="AP48" s="103"/>
      <c r="AQ48" s="103"/>
    </row>
    <row r="49" spans="1:43" s="79" customFormat="1" ht="90" x14ac:dyDescent="0.2">
      <c r="A49" s="487">
        <v>13</v>
      </c>
      <c r="B49" s="511" t="s">
        <v>282</v>
      </c>
      <c r="C49" s="491" t="s">
        <v>292</v>
      </c>
      <c r="D49" s="512" t="s">
        <v>296</v>
      </c>
      <c r="E49" s="506" t="s">
        <v>179</v>
      </c>
      <c r="F49" s="491" t="s">
        <v>307</v>
      </c>
      <c r="G49" s="492">
        <v>4000</v>
      </c>
      <c r="H49" s="507">
        <v>1200</v>
      </c>
      <c r="I49" s="463">
        <v>1280</v>
      </c>
      <c r="J49" s="508">
        <v>700</v>
      </c>
      <c r="K49" s="509">
        <v>475.327</v>
      </c>
      <c r="L49" s="500">
        <v>475.327</v>
      </c>
      <c r="M49" s="500"/>
      <c r="N49" s="500"/>
      <c r="O49" s="500">
        <v>1200</v>
      </c>
      <c r="P49" s="500"/>
      <c r="Q49" s="462"/>
      <c r="R49" s="462">
        <f>G49-(O49+1600)</f>
        <v>1200</v>
      </c>
      <c r="S49" s="496"/>
      <c r="T49" s="83"/>
      <c r="U49" s="83"/>
      <c r="V49" s="118" t="s">
        <v>122</v>
      </c>
      <c r="W49" s="133" t="s">
        <v>268</v>
      </c>
      <c r="X49" s="153" t="s">
        <v>318</v>
      </c>
      <c r="Z49" s="114"/>
      <c r="AB49" s="103"/>
      <c r="AC49" s="103"/>
      <c r="AD49" s="103"/>
      <c r="AE49" s="103"/>
      <c r="AF49" s="103"/>
      <c r="AG49" s="103"/>
      <c r="AH49" s="365">
        <f t="shared" si="12"/>
        <v>724.673</v>
      </c>
      <c r="AI49" s="365">
        <f t="shared" si="12"/>
        <v>804.673</v>
      </c>
      <c r="AJ49" s="103"/>
      <c r="AK49" s="103"/>
      <c r="AL49" s="103"/>
      <c r="AM49" s="103"/>
      <c r="AN49" s="103"/>
      <c r="AO49" s="103"/>
      <c r="AP49" s="103"/>
      <c r="AQ49" s="103"/>
    </row>
    <row r="50" spans="1:43" s="79" customFormat="1" ht="120" x14ac:dyDescent="0.2">
      <c r="A50" s="487">
        <v>14</v>
      </c>
      <c r="B50" s="511" t="s">
        <v>283</v>
      </c>
      <c r="C50" s="512" t="s">
        <v>142</v>
      </c>
      <c r="D50" s="512" t="s">
        <v>297</v>
      </c>
      <c r="E50" s="506" t="s">
        <v>179</v>
      </c>
      <c r="F50" s="491" t="s">
        <v>308</v>
      </c>
      <c r="G50" s="492">
        <v>7000</v>
      </c>
      <c r="H50" s="507">
        <v>2100</v>
      </c>
      <c r="I50" s="463">
        <v>2200</v>
      </c>
      <c r="J50" s="508">
        <v>600</v>
      </c>
      <c r="K50" s="509">
        <v>696.53399999999999</v>
      </c>
      <c r="L50" s="500">
        <v>696.53399999999999</v>
      </c>
      <c r="M50" s="500"/>
      <c r="N50" s="500"/>
      <c r="O50" s="500">
        <v>2100</v>
      </c>
      <c r="P50" s="500"/>
      <c r="Q50" s="462"/>
      <c r="R50" s="462">
        <f>G50-(O50+2800)</f>
        <v>2100</v>
      </c>
      <c r="S50" s="496"/>
      <c r="T50" s="83"/>
      <c r="U50" s="83"/>
      <c r="V50" s="118" t="s">
        <v>122</v>
      </c>
      <c r="W50" s="133" t="s">
        <v>268</v>
      </c>
      <c r="X50" s="153" t="s">
        <v>318</v>
      </c>
      <c r="Z50" s="114"/>
      <c r="AB50" s="103"/>
      <c r="AC50" s="103"/>
      <c r="AD50" s="103"/>
      <c r="AE50" s="103"/>
      <c r="AF50" s="103"/>
      <c r="AG50" s="103"/>
      <c r="AH50" s="365">
        <f t="shared" si="12"/>
        <v>1403.4659999999999</v>
      </c>
      <c r="AI50" s="365">
        <f t="shared" si="12"/>
        <v>1503.4659999999999</v>
      </c>
      <c r="AJ50" s="103"/>
      <c r="AK50" s="103"/>
      <c r="AL50" s="103"/>
      <c r="AM50" s="103"/>
      <c r="AN50" s="103"/>
      <c r="AO50" s="103"/>
      <c r="AP50" s="103"/>
      <c r="AQ50" s="103"/>
    </row>
    <row r="51" spans="1:43" s="79" customFormat="1" ht="75" x14ac:dyDescent="0.2">
      <c r="A51" s="487">
        <v>15</v>
      </c>
      <c r="B51" s="511" t="s">
        <v>284</v>
      </c>
      <c r="C51" s="512" t="s">
        <v>142</v>
      </c>
      <c r="D51" s="512" t="s">
        <v>298</v>
      </c>
      <c r="E51" s="506" t="s">
        <v>179</v>
      </c>
      <c r="F51" s="491" t="s">
        <v>309</v>
      </c>
      <c r="G51" s="492">
        <v>6000</v>
      </c>
      <c r="H51" s="507">
        <v>1800</v>
      </c>
      <c r="I51" s="463">
        <v>2200</v>
      </c>
      <c r="J51" s="508">
        <v>600</v>
      </c>
      <c r="K51" s="509">
        <v>1800</v>
      </c>
      <c r="L51" s="463">
        <v>1800</v>
      </c>
      <c r="M51" s="463"/>
      <c r="N51" s="463"/>
      <c r="O51" s="463">
        <v>1800</v>
      </c>
      <c r="P51" s="463"/>
      <c r="Q51" s="462"/>
      <c r="R51" s="462">
        <f>G51-(O51+2400)</f>
        <v>1800</v>
      </c>
      <c r="S51" s="496"/>
      <c r="T51" s="83"/>
      <c r="U51" s="83"/>
      <c r="V51" s="118" t="s">
        <v>122</v>
      </c>
      <c r="W51" s="133" t="s">
        <v>268</v>
      </c>
      <c r="X51" s="153" t="s">
        <v>318</v>
      </c>
      <c r="Z51" s="114"/>
      <c r="AB51" s="103"/>
      <c r="AC51" s="103"/>
      <c r="AD51" s="103"/>
      <c r="AE51" s="103"/>
      <c r="AF51" s="103"/>
      <c r="AG51" s="103"/>
      <c r="AH51" s="365">
        <f t="shared" si="12"/>
        <v>0</v>
      </c>
      <c r="AI51" s="365">
        <f t="shared" si="12"/>
        <v>400</v>
      </c>
      <c r="AJ51" s="103"/>
      <c r="AK51" s="103"/>
      <c r="AL51" s="103"/>
      <c r="AM51" s="103"/>
      <c r="AN51" s="103"/>
      <c r="AO51" s="103"/>
      <c r="AP51" s="103"/>
      <c r="AQ51" s="103"/>
    </row>
    <row r="52" spans="1:43" s="79" customFormat="1" ht="120" x14ac:dyDescent="0.2">
      <c r="A52" s="487">
        <v>16</v>
      </c>
      <c r="B52" s="513" t="s">
        <v>285</v>
      </c>
      <c r="C52" s="491" t="s">
        <v>142</v>
      </c>
      <c r="D52" s="491" t="s">
        <v>299</v>
      </c>
      <c r="E52" s="506" t="s">
        <v>179</v>
      </c>
      <c r="F52" s="491" t="s">
        <v>310</v>
      </c>
      <c r="G52" s="492">
        <v>7000</v>
      </c>
      <c r="H52" s="507">
        <v>1500</v>
      </c>
      <c r="I52" s="463">
        <v>2350</v>
      </c>
      <c r="J52" s="508">
        <v>850</v>
      </c>
      <c r="K52" s="509">
        <v>1500</v>
      </c>
      <c r="L52" s="500">
        <v>1500</v>
      </c>
      <c r="M52" s="500"/>
      <c r="N52" s="500"/>
      <c r="O52" s="500">
        <v>1500</v>
      </c>
      <c r="P52" s="500"/>
      <c r="Q52" s="462"/>
      <c r="R52" s="462">
        <f>G52-(O52+2800)</f>
        <v>2700</v>
      </c>
      <c r="S52" s="496"/>
      <c r="T52" s="83"/>
      <c r="U52" s="83"/>
      <c r="V52" s="118" t="s">
        <v>122</v>
      </c>
      <c r="W52" s="133" t="s">
        <v>268</v>
      </c>
      <c r="X52" s="153" t="s">
        <v>318</v>
      </c>
      <c r="Z52" s="114"/>
      <c r="AB52" s="103"/>
      <c r="AC52" s="103"/>
      <c r="AD52" s="103"/>
      <c r="AE52" s="103"/>
      <c r="AF52" s="103"/>
      <c r="AG52" s="103"/>
      <c r="AH52" s="365">
        <f t="shared" si="12"/>
        <v>0</v>
      </c>
      <c r="AI52" s="365">
        <f t="shared" si="12"/>
        <v>850</v>
      </c>
      <c r="AJ52" s="103"/>
      <c r="AK52" s="103"/>
      <c r="AL52" s="103"/>
      <c r="AM52" s="103"/>
      <c r="AN52" s="103"/>
      <c r="AO52" s="103"/>
      <c r="AP52" s="103"/>
      <c r="AQ52" s="103"/>
    </row>
    <row r="53" spans="1:43" s="79" customFormat="1" ht="45" x14ac:dyDescent="0.2">
      <c r="A53" s="487">
        <v>17</v>
      </c>
      <c r="B53" s="513" t="s">
        <v>286</v>
      </c>
      <c r="C53" s="491" t="s">
        <v>293</v>
      </c>
      <c r="D53" s="491" t="s">
        <v>300</v>
      </c>
      <c r="E53" s="506" t="s">
        <v>179</v>
      </c>
      <c r="F53" s="514" t="s">
        <v>311</v>
      </c>
      <c r="G53" s="492">
        <v>3150</v>
      </c>
      <c r="H53" s="507">
        <v>400</v>
      </c>
      <c r="I53" s="463">
        <v>1145</v>
      </c>
      <c r="J53" s="508">
        <v>200</v>
      </c>
      <c r="K53" s="509">
        <f t="shared" si="13"/>
        <v>0</v>
      </c>
      <c r="L53" s="463"/>
      <c r="M53" s="463"/>
      <c r="N53" s="463"/>
      <c r="O53" s="463">
        <v>400</v>
      </c>
      <c r="P53" s="463"/>
      <c r="Q53" s="462"/>
      <c r="R53" s="462">
        <f>G53-(O53+1800)</f>
        <v>950</v>
      </c>
      <c r="S53" s="496"/>
      <c r="T53" s="83"/>
      <c r="U53" s="83"/>
      <c r="V53" s="118" t="s">
        <v>122</v>
      </c>
      <c r="W53" s="152" t="s">
        <v>274</v>
      </c>
      <c r="X53" s="146"/>
      <c r="Z53" s="114"/>
      <c r="AB53" s="103"/>
      <c r="AC53" s="103"/>
      <c r="AD53" s="103"/>
      <c r="AE53" s="103"/>
      <c r="AF53" s="103"/>
      <c r="AG53" s="103"/>
      <c r="AH53" s="365">
        <f t="shared" si="12"/>
        <v>400</v>
      </c>
      <c r="AI53" s="365">
        <f t="shared" si="12"/>
        <v>1145</v>
      </c>
      <c r="AJ53" s="103"/>
      <c r="AK53" s="103"/>
      <c r="AL53" s="103"/>
      <c r="AM53" s="103"/>
      <c r="AN53" s="103"/>
      <c r="AO53" s="103"/>
      <c r="AP53" s="103"/>
      <c r="AQ53" s="103"/>
    </row>
    <row r="54" spans="1:43" s="79" customFormat="1" ht="105" x14ac:dyDescent="0.2">
      <c r="A54" s="487">
        <v>18</v>
      </c>
      <c r="B54" s="515" t="s">
        <v>287</v>
      </c>
      <c r="C54" s="514" t="s">
        <v>294</v>
      </c>
      <c r="D54" s="514" t="s">
        <v>301</v>
      </c>
      <c r="E54" s="506" t="s">
        <v>179</v>
      </c>
      <c r="F54" s="514" t="s">
        <v>312</v>
      </c>
      <c r="G54" s="492">
        <v>2000</v>
      </c>
      <c r="H54" s="507">
        <v>400</v>
      </c>
      <c r="I54" s="463">
        <f>515+J54</f>
        <v>615</v>
      </c>
      <c r="J54" s="508">
        <v>100</v>
      </c>
      <c r="K54" s="509">
        <f t="shared" si="13"/>
        <v>0</v>
      </c>
      <c r="L54" s="463"/>
      <c r="M54" s="463"/>
      <c r="N54" s="463"/>
      <c r="O54" s="463">
        <v>400</v>
      </c>
      <c r="P54" s="463"/>
      <c r="Q54" s="462"/>
      <c r="R54" s="462">
        <f>G54-(O54+1000)</f>
        <v>600</v>
      </c>
      <c r="S54" s="496"/>
      <c r="T54" s="83"/>
      <c r="U54" s="83"/>
      <c r="V54" s="118" t="s">
        <v>122</v>
      </c>
      <c r="W54" s="154" t="s">
        <v>274</v>
      </c>
      <c r="X54" s="146"/>
      <c r="Z54" s="114"/>
      <c r="AB54" s="103"/>
      <c r="AC54" s="103"/>
      <c r="AD54" s="103"/>
      <c r="AE54" s="103"/>
      <c r="AF54" s="103"/>
      <c r="AG54" s="103"/>
      <c r="AH54" s="365">
        <f t="shared" si="12"/>
        <v>400</v>
      </c>
      <c r="AI54" s="365">
        <f t="shared" si="12"/>
        <v>615</v>
      </c>
      <c r="AJ54" s="103"/>
      <c r="AK54" s="103"/>
      <c r="AL54" s="103"/>
      <c r="AM54" s="103"/>
      <c r="AN54" s="103"/>
      <c r="AO54" s="103"/>
      <c r="AP54" s="103"/>
      <c r="AQ54" s="103"/>
    </row>
    <row r="55" spans="1:43" s="79" customFormat="1" ht="105" x14ac:dyDescent="0.2">
      <c r="A55" s="487">
        <v>19</v>
      </c>
      <c r="B55" s="511" t="s">
        <v>288</v>
      </c>
      <c r="C55" s="491" t="s">
        <v>182</v>
      </c>
      <c r="D55" s="512" t="s">
        <v>302</v>
      </c>
      <c r="E55" s="506" t="s">
        <v>179</v>
      </c>
      <c r="F55" s="491" t="s">
        <v>313</v>
      </c>
      <c r="G55" s="492">
        <v>4000</v>
      </c>
      <c r="H55" s="507">
        <v>580</v>
      </c>
      <c r="I55" s="463">
        <f>2500+J55</f>
        <v>2900</v>
      </c>
      <c r="J55" s="508">
        <v>400</v>
      </c>
      <c r="K55" s="509">
        <f t="shared" si="13"/>
        <v>0</v>
      </c>
      <c r="L55" s="463"/>
      <c r="M55" s="463"/>
      <c r="N55" s="463"/>
      <c r="O55" s="463">
        <v>580</v>
      </c>
      <c r="P55" s="463"/>
      <c r="Q55" s="462"/>
      <c r="R55" s="462">
        <f>G55-(O55+2215)</f>
        <v>1205</v>
      </c>
      <c r="S55" s="496"/>
      <c r="T55" s="83"/>
      <c r="U55" s="83"/>
      <c r="V55" s="118" t="s">
        <v>122</v>
      </c>
      <c r="W55" s="152" t="s">
        <v>278</v>
      </c>
      <c r="X55" s="146"/>
      <c r="Z55" s="114"/>
      <c r="AB55" s="103"/>
      <c r="AC55" s="103"/>
      <c r="AD55" s="103"/>
      <c r="AE55" s="103"/>
      <c r="AF55" s="103"/>
      <c r="AG55" s="103"/>
      <c r="AH55" s="365">
        <f t="shared" si="12"/>
        <v>580</v>
      </c>
      <c r="AI55" s="365">
        <f t="shared" si="12"/>
        <v>2900</v>
      </c>
      <c r="AJ55" s="103"/>
      <c r="AK55" s="103"/>
      <c r="AL55" s="103"/>
      <c r="AM55" s="103"/>
      <c r="AN55" s="103"/>
      <c r="AO55" s="103"/>
      <c r="AP55" s="103"/>
      <c r="AQ55" s="103"/>
    </row>
    <row r="56" spans="1:43" s="79" customFormat="1" ht="105" x14ac:dyDescent="0.2">
      <c r="A56" s="487">
        <v>20</v>
      </c>
      <c r="B56" s="511" t="s">
        <v>289</v>
      </c>
      <c r="C56" s="491" t="s">
        <v>182</v>
      </c>
      <c r="D56" s="512" t="s">
        <v>303</v>
      </c>
      <c r="E56" s="506" t="s">
        <v>179</v>
      </c>
      <c r="F56" s="491" t="s">
        <v>314</v>
      </c>
      <c r="G56" s="492">
        <v>5000</v>
      </c>
      <c r="H56" s="507">
        <v>500</v>
      </c>
      <c r="I56" s="463">
        <f>1500+J56</f>
        <v>1950</v>
      </c>
      <c r="J56" s="508">
        <v>450</v>
      </c>
      <c r="K56" s="509">
        <f t="shared" si="13"/>
        <v>0</v>
      </c>
      <c r="L56" s="463"/>
      <c r="M56" s="463"/>
      <c r="N56" s="463"/>
      <c r="O56" s="463">
        <v>500</v>
      </c>
      <c r="P56" s="463"/>
      <c r="Q56" s="462"/>
      <c r="R56" s="462">
        <f>G56-(O56+2980)</f>
        <v>1520</v>
      </c>
      <c r="S56" s="496"/>
      <c r="T56" s="83"/>
      <c r="U56" s="83"/>
      <c r="V56" s="118" t="s">
        <v>122</v>
      </c>
      <c r="W56" s="152" t="s">
        <v>278</v>
      </c>
      <c r="X56" s="146"/>
      <c r="Z56" s="114"/>
      <c r="AB56" s="103"/>
      <c r="AC56" s="103"/>
      <c r="AD56" s="103"/>
      <c r="AE56" s="103"/>
      <c r="AF56" s="103"/>
      <c r="AG56" s="103"/>
      <c r="AH56" s="365">
        <f t="shared" si="12"/>
        <v>500</v>
      </c>
      <c r="AI56" s="365">
        <f t="shared" si="12"/>
        <v>1950</v>
      </c>
      <c r="AJ56" s="103"/>
      <c r="AK56" s="103"/>
      <c r="AL56" s="103"/>
      <c r="AM56" s="103"/>
      <c r="AN56" s="103"/>
      <c r="AO56" s="103"/>
      <c r="AP56" s="103"/>
      <c r="AQ56" s="103"/>
    </row>
    <row r="57" spans="1:43" s="79" customFormat="1" ht="33" customHeight="1" x14ac:dyDescent="0.2">
      <c r="A57" s="487">
        <v>21</v>
      </c>
      <c r="B57" s="511" t="s">
        <v>290</v>
      </c>
      <c r="C57" s="491" t="s">
        <v>259</v>
      </c>
      <c r="D57" s="512" t="s">
        <v>304</v>
      </c>
      <c r="E57" s="506" t="s">
        <v>179</v>
      </c>
      <c r="F57" s="491" t="s">
        <v>315</v>
      </c>
      <c r="G57" s="492">
        <v>4500</v>
      </c>
      <c r="H57" s="507">
        <v>650</v>
      </c>
      <c r="I57" s="463">
        <f>1500+J57</f>
        <v>1750</v>
      </c>
      <c r="J57" s="508">
        <v>250</v>
      </c>
      <c r="K57" s="509">
        <f t="shared" si="13"/>
        <v>0</v>
      </c>
      <c r="L57" s="463"/>
      <c r="M57" s="463"/>
      <c r="N57" s="463"/>
      <c r="O57" s="463">
        <v>650</v>
      </c>
      <c r="P57" s="463"/>
      <c r="Q57" s="462"/>
      <c r="R57" s="462">
        <f>G57-(O57+2500)</f>
        <v>1350</v>
      </c>
      <c r="S57" s="496"/>
      <c r="T57" s="83"/>
      <c r="U57" s="83"/>
      <c r="V57" s="118" t="s">
        <v>122</v>
      </c>
      <c r="W57" s="152" t="s">
        <v>273</v>
      </c>
      <c r="X57" s="146"/>
      <c r="Z57" s="114"/>
      <c r="AB57" s="103"/>
      <c r="AC57" s="103"/>
      <c r="AD57" s="103"/>
      <c r="AE57" s="103"/>
      <c r="AF57" s="103"/>
      <c r="AG57" s="103"/>
      <c r="AH57" s="365">
        <f t="shared" si="12"/>
        <v>650</v>
      </c>
      <c r="AI57" s="365">
        <f t="shared" si="12"/>
        <v>1750</v>
      </c>
      <c r="AJ57" s="103"/>
      <c r="AK57" s="103"/>
      <c r="AL57" s="103"/>
      <c r="AM57" s="103"/>
      <c r="AN57" s="103"/>
      <c r="AO57" s="103"/>
      <c r="AP57" s="103"/>
      <c r="AQ57" s="103"/>
    </row>
    <row r="58" spans="1:43" s="79" customFormat="1" ht="90" x14ac:dyDescent="0.2">
      <c r="A58" s="487">
        <v>22</v>
      </c>
      <c r="B58" s="511" t="s">
        <v>291</v>
      </c>
      <c r="C58" s="491" t="s">
        <v>259</v>
      </c>
      <c r="D58" s="512" t="s">
        <v>305</v>
      </c>
      <c r="E58" s="506" t="s">
        <v>179</v>
      </c>
      <c r="F58" s="491" t="s">
        <v>316</v>
      </c>
      <c r="G58" s="492">
        <v>2000</v>
      </c>
      <c r="H58" s="507">
        <v>600</v>
      </c>
      <c r="I58" s="463">
        <f>600+J58</f>
        <v>900</v>
      </c>
      <c r="J58" s="508">
        <v>300</v>
      </c>
      <c r="K58" s="509">
        <f t="shared" si="13"/>
        <v>0</v>
      </c>
      <c r="L58" s="463"/>
      <c r="M58" s="463"/>
      <c r="N58" s="463"/>
      <c r="O58" s="463">
        <v>600</v>
      </c>
      <c r="P58" s="463"/>
      <c r="Q58" s="462"/>
      <c r="R58" s="462">
        <f>G58-(O58+800)</f>
        <v>600</v>
      </c>
      <c r="S58" s="496"/>
      <c r="T58" s="83"/>
      <c r="U58" s="83"/>
      <c r="V58" s="118" t="s">
        <v>122</v>
      </c>
      <c r="W58" s="152" t="s">
        <v>273</v>
      </c>
      <c r="X58" s="146"/>
      <c r="Z58" s="114"/>
      <c r="AB58" s="103"/>
      <c r="AC58" s="103"/>
      <c r="AD58" s="103"/>
      <c r="AE58" s="103"/>
      <c r="AF58" s="103"/>
      <c r="AG58" s="103"/>
      <c r="AH58" s="365">
        <f t="shared" si="12"/>
        <v>600</v>
      </c>
      <c r="AI58" s="365">
        <f t="shared" si="12"/>
        <v>900</v>
      </c>
      <c r="AJ58" s="103"/>
      <c r="AK58" s="103"/>
      <c r="AL58" s="103"/>
      <c r="AM58" s="103"/>
      <c r="AN58" s="103"/>
      <c r="AO58" s="103"/>
      <c r="AP58" s="103"/>
      <c r="AQ58" s="103"/>
    </row>
    <row r="59" spans="1:43" s="111" customFormat="1" ht="15" x14ac:dyDescent="0.2">
      <c r="A59" s="516" t="s">
        <v>30</v>
      </c>
      <c r="B59" s="498" t="s">
        <v>463</v>
      </c>
      <c r="C59" s="517"/>
      <c r="D59" s="518"/>
      <c r="E59" s="482"/>
      <c r="F59" s="517"/>
      <c r="G59" s="499">
        <f>SUM(G60)</f>
        <v>1000</v>
      </c>
      <c r="H59" s="499">
        <f t="shared" ref="H59:R59" si="14">SUM(H60)</f>
        <v>200</v>
      </c>
      <c r="I59" s="499">
        <f t="shared" si="14"/>
        <v>20</v>
      </c>
      <c r="J59" s="499">
        <f t="shared" si="14"/>
        <v>20</v>
      </c>
      <c r="K59" s="499">
        <f t="shared" si="14"/>
        <v>0</v>
      </c>
      <c r="L59" s="499">
        <f t="shared" si="14"/>
        <v>0</v>
      </c>
      <c r="M59" s="499">
        <f t="shared" si="14"/>
        <v>0</v>
      </c>
      <c r="N59" s="499">
        <f t="shared" si="14"/>
        <v>0</v>
      </c>
      <c r="O59" s="499">
        <f t="shared" si="14"/>
        <v>200</v>
      </c>
      <c r="P59" s="499">
        <f t="shared" si="14"/>
        <v>0</v>
      </c>
      <c r="Q59" s="485"/>
      <c r="R59" s="499">
        <f t="shared" si="14"/>
        <v>700</v>
      </c>
      <c r="S59" s="486"/>
      <c r="T59" s="132"/>
      <c r="U59" s="132"/>
      <c r="V59" s="155"/>
      <c r="W59" s="156"/>
      <c r="X59" s="157"/>
      <c r="Z59" s="158"/>
      <c r="AB59" s="113"/>
      <c r="AC59" s="113"/>
      <c r="AD59" s="113"/>
      <c r="AE59" s="113"/>
      <c r="AF59" s="113"/>
      <c r="AG59" s="113"/>
      <c r="AH59" s="376"/>
      <c r="AI59" s="376"/>
      <c r="AJ59" s="113"/>
      <c r="AK59" s="113"/>
      <c r="AL59" s="113"/>
      <c r="AM59" s="113"/>
      <c r="AN59" s="113"/>
      <c r="AO59" s="113"/>
      <c r="AP59" s="113"/>
      <c r="AQ59" s="113"/>
    </row>
    <row r="60" spans="1:43" s="79" customFormat="1" ht="90" x14ac:dyDescent="0.2">
      <c r="A60" s="487">
        <v>1</v>
      </c>
      <c r="B60" s="511" t="s">
        <v>476</v>
      </c>
      <c r="C60" s="491" t="s">
        <v>259</v>
      </c>
      <c r="D60" s="512" t="s">
        <v>477</v>
      </c>
      <c r="E60" s="506" t="s">
        <v>478</v>
      </c>
      <c r="F60" s="491" t="s">
        <v>479</v>
      </c>
      <c r="G60" s="492">
        <v>1000</v>
      </c>
      <c r="H60" s="492">
        <v>200</v>
      </c>
      <c r="I60" s="463">
        <f>J60</f>
        <v>20</v>
      </c>
      <c r="J60" s="508">
        <v>20</v>
      </c>
      <c r="K60" s="495">
        <f>L60</f>
        <v>0</v>
      </c>
      <c r="L60" s="463"/>
      <c r="M60" s="463"/>
      <c r="N60" s="463"/>
      <c r="O60" s="463">
        <v>200</v>
      </c>
      <c r="P60" s="463"/>
      <c r="Q60" s="462"/>
      <c r="R60" s="462">
        <f>G60*90%-O60</f>
        <v>700</v>
      </c>
      <c r="S60" s="496"/>
      <c r="T60" s="83"/>
      <c r="U60" s="83"/>
      <c r="V60" s="118" t="s">
        <v>123</v>
      </c>
      <c r="W60" s="152" t="s">
        <v>273</v>
      </c>
      <c r="X60" s="146"/>
      <c r="Z60" s="114"/>
      <c r="AB60" s="103"/>
      <c r="AC60" s="103"/>
      <c r="AD60" s="103"/>
      <c r="AE60" s="103"/>
      <c r="AF60" s="103"/>
      <c r="AG60" s="103"/>
      <c r="AH60" s="365"/>
      <c r="AI60" s="365"/>
      <c r="AJ60" s="103"/>
      <c r="AK60" s="103"/>
      <c r="AL60" s="103"/>
      <c r="AM60" s="103"/>
      <c r="AN60" s="103"/>
      <c r="AO60" s="365"/>
      <c r="AP60" s="103"/>
      <c r="AQ60" s="103"/>
    </row>
    <row r="61" spans="1:43" s="79" customFormat="1" ht="15" x14ac:dyDescent="0.2">
      <c r="A61" s="516" t="s">
        <v>32</v>
      </c>
      <c r="B61" s="498" t="s">
        <v>583</v>
      </c>
      <c r="C61" s="491"/>
      <c r="D61" s="512"/>
      <c r="E61" s="506"/>
      <c r="F61" s="491"/>
      <c r="G61" s="499">
        <f>SUM(G62:G63)</f>
        <v>10000</v>
      </c>
      <c r="H61" s="499">
        <f t="shared" ref="H61:R61" si="15">SUM(H62:H63)</f>
        <v>0</v>
      </c>
      <c r="I61" s="499">
        <f t="shared" si="15"/>
        <v>0</v>
      </c>
      <c r="J61" s="499">
        <f t="shared" si="15"/>
        <v>0</v>
      </c>
      <c r="K61" s="499">
        <f t="shared" si="15"/>
        <v>0</v>
      </c>
      <c r="L61" s="499">
        <f t="shared" si="15"/>
        <v>0</v>
      </c>
      <c r="M61" s="499">
        <f t="shared" si="15"/>
        <v>0</v>
      </c>
      <c r="N61" s="499">
        <f t="shared" si="15"/>
        <v>0</v>
      </c>
      <c r="O61" s="499">
        <f t="shared" si="15"/>
        <v>0</v>
      </c>
      <c r="P61" s="499">
        <f t="shared" si="15"/>
        <v>0</v>
      </c>
      <c r="Q61" s="462"/>
      <c r="R61" s="499">
        <f t="shared" si="15"/>
        <v>3000</v>
      </c>
      <c r="S61" s="496"/>
      <c r="T61" s="83"/>
      <c r="U61" s="83"/>
      <c r="V61" s="118"/>
      <c r="W61" s="152"/>
      <c r="X61" s="146"/>
      <c r="Z61" s="114"/>
      <c r="AB61" s="103"/>
      <c r="AC61" s="103"/>
      <c r="AD61" s="103"/>
      <c r="AE61" s="103"/>
      <c r="AF61" s="103"/>
      <c r="AG61" s="103"/>
      <c r="AH61" s="365"/>
      <c r="AI61" s="365"/>
      <c r="AJ61" s="103"/>
      <c r="AK61" s="103"/>
      <c r="AL61" s="103"/>
      <c r="AM61" s="103"/>
      <c r="AN61" s="103"/>
      <c r="AO61" s="365"/>
      <c r="AP61" s="103"/>
      <c r="AQ61" s="103"/>
    </row>
    <row r="62" spans="1:43" s="79" customFormat="1" ht="25.5" x14ac:dyDescent="0.2">
      <c r="A62" s="487">
        <v>1</v>
      </c>
      <c r="B62" s="519" t="s">
        <v>617</v>
      </c>
      <c r="C62" s="520" t="s">
        <v>143</v>
      </c>
      <c r="D62" s="520" t="s">
        <v>619</v>
      </c>
      <c r="E62" s="506" t="s">
        <v>605</v>
      </c>
      <c r="F62" s="491"/>
      <c r="G62" s="492">
        <v>5000</v>
      </c>
      <c r="H62" s="492"/>
      <c r="I62" s="463"/>
      <c r="J62" s="508"/>
      <c r="K62" s="495"/>
      <c r="L62" s="463"/>
      <c r="M62" s="463"/>
      <c r="N62" s="463"/>
      <c r="O62" s="463"/>
      <c r="P62" s="463"/>
      <c r="Q62" s="462"/>
      <c r="R62" s="462">
        <f>G62*30%</f>
        <v>1500</v>
      </c>
      <c r="S62" s="496"/>
      <c r="T62" s="83"/>
      <c r="U62" s="83"/>
      <c r="V62" s="118"/>
      <c r="W62" s="152"/>
      <c r="X62" s="146"/>
      <c r="Z62" s="114"/>
      <c r="AB62" s="103"/>
      <c r="AC62" s="103"/>
      <c r="AD62" s="103"/>
      <c r="AE62" s="103"/>
      <c r="AF62" s="103"/>
      <c r="AG62" s="103"/>
      <c r="AH62" s="365"/>
      <c r="AI62" s="365"/>
      <c r="AJ62" s="103"/>
      <c r="AK62" s="103"/>
      <c r="AL62" s="103"/>
      <c r="AM62" s="103"/>
      <c r="AN62" s="103"/>
      <c r="AO62" s="365"/>
      <c r="AP62" s="103"/>
      <c r="AQ62" s="103"/>
    </row>
    <row r="63" spans="1:43" s="79" customFormat="1" ht="25.5" x14ac:dyDescent="0.2">
      <c r="A63" s="487">
        <v>2</v>
      </c>
      <c r="B63" s="519" t="s">
        <v>618</v>
      </c>
      <c r="C63" s="520" t="s">
        <v>147</v>
      </c>
      <c r="D63" s="520" t="s">
        <v>620</v>
      </c>
      <c r="E63" s="506" t="s">
        <v>605</v>
      </c>
      <c r="F63" s="491"/>
      <c r="G63" s="492">
        <v>5000</v>
      </c>
      <c r="H63" s="492"/>
      <c r="I63" s="463"/>
      <c r="J63" s="508"/>
      <c r="K63" s="495"/>
      <c r="L63" s="463"/>
      <c r="M63" s="463"/>
      <c r="N63" s="463"/>
      <c r="O63" s="463"/>
      <c r="P63" s="463"/>
      <c r="Q63" s="462"/>
      <c r="R63" s="462">
        <f>G63*30%</f>
        <v>1500</v>
      </c>
      <c r="S63" s="496"/>
      <c r="T63" s="83"/>
      <c r="U63" s="83"/>
      <c r="V63" s="118"/>
      <c r="W63" s="152"/>
      <c r="X63" s="146"/>
      <c r="Z63" s="114"/>
      <c r="AB63" s="103"/>
      <c r="AC63" s="103"/>
      <c r="AD63" s="103"/>
      <c r="AE63" s="103"/>
      <c r="AF63" s="103"/>
      <c r="AG63" s="103"/>
      <c r="AH63" s="365"/>
      <c r="AI63" s="365"/>
      <c r="AJ63" s="103"/>
      <c r="AK63" s="103"/>
      <c r="AL63" s="103"/>
      <c r="AM63" s="103"/>
      <c r="AN63" s="103"/>
      <c r="AO63" s="365"/>
      <c r="AP63" s="103"/>
      <c r="AQ63" s="103"/>
    </row>
    <row r="64" spans="1:43" s="79" customFormat="1" ht="28.5" x14ac:dyDescent="0.2">
      <c r="A64" s="472" t="s">
        <v>25</v>
      </c>
      <c r="B64" s="473" t="s">
        <v>195</v>
      </c>
      <c r="C64" s="474"/>
      <c r="D64" s="473"/>
      <c r="E64" s="475"/>
      <c r="F64" s="475"/>
      <c r="G64" s="476">
        <f t="shared" ref="G64:P64" si="16">G65+G72+G76++G78+G110+G120+G147</f>
        <v>324832</v>
      </c>
      <c r="H64" s="476">
        <f t="shared" si="16"/>
        <v>91275</v>
      </c>
      <c r="I64" s="476">
        <f t="shared" si="16"/>
        <v>72246.2</v>
      </c>
      <c r="J64" s="476">
        <f t="shared" si="16"/>
        <v>36337.199999999997</v>
      </c>
      <c r="K64" s="476">
        <f t="shared" si="16"/>
        <v>18384.332249999999</v>
      </c>
      <c r="L64" s="476">
        <f t="shared" si="16"/>
        <v>14878.332249999999</v>
      </c>
      <c r="M64" s="476">
        <f t="shared" si="16"/>
        <v>0</v>
      </c>
      <c r="N64" s="476">
        <f t="shared" si="16"/>
        <v>0</v>
      </c>
      <c r="O64" s="476">
        <f t="shared" si="16"/>
        <v>91275</v>
      </c>
      <c r="P64" s="476">
        <f t="shared" si="16"/>
        <v>0</v>
      </c>
      <c r="Q64" s="477">
        <f>K64/H64*100</f>
        <v>20.141695152013149</v>
      </c>
      <c r="R64" s="476">
        <f>R65+R72+R76++R78+R110+R120+R147</f>
        <v>107090.05</v>
      </c>
      <c r="S64" s="478"/>
      <c r="T64" s="149"/>
      <c r="U64" s="149"/>
      <c r="V64" s="118"/>
      <c r="X64" s="146"/>
      <c r="Z64" s="114"/>
      <c r="AB64" s="103"/>
      <c r="AC64" s="103"/>
      <c r="AD64" s="103"/>
      <c r="AE64" s="103"/>
      <c r="AF64" s="103"/>
      <c r="AG64" s="103"/>
      <c r="AH64" s="365"/>
      <c r="AI64" s="365"/>
      <c r="AJ64" s="103"/>
      <c r="AK64" s="103"/>
      <c r="AL64" s="103"/>
      <c r="AM64" s="103"/>
      <c r="AN64" s="103"/>
      <c r="AO64" s="103"/>
      <c r="AP64" s="103"/>
      <c r="AQ64" s="103"/>
    </row>
    <row r="65" spans="1:43" s="82" customFormat="1" ht="30" x14ac:dyDescent="0.2">
      <c r="A65" s="521"/>
      <c r="B65" s="522" t="s">
        <v>196</v>
      </c>
      <c r="C65" s="523"/>
      <c r="D65" s="524"/>
      <c r="E65" s="525"/>
      <c r="F65" s="525"/>
      <c r="G65" s="526">
        <f>G66+G69</f>
        <v>10784</v>
      </c>
      <c r="H65" s="526">
        <f t="shared" ref="H65:R65" si="17">H66+H69</f>
        <v>5020</v>
      </c>
      <c r="I65" s="526">
        <f t="shared" si="17"/>
        <v>6067</v>
      </c>
      <c r="J65" s="526">
        <f t="shared" si="17"/>
        <v>1987</v>
      </c>
      <c r="K65" s="526">
        <f t="shared" si="17"/>
        <v>131.749</v>
      </c>
      <c r="L65" s="526">
        <f t="shared" si="17"/>
        <v>131.749</v>
      </c>
      <c r="M65" s="526">
        <f t="shared" si="17"/>
        <v>0</v>
      </c>
      <c r="N65" s="526">
        <f t="shared" si="17"/>
        <v>0</v>
      </c>
      <c r="O65" s="526">
        <f t="shared" si="17"/>
        <v>5020</v>
      </c>
      <c r="P65" s="526">
        <f t="shared" si="17"/>
        <v>0</v>
      </c>
      <c r="Q65" s="527">
        <f>K65/H65*100</f>
        <v>2.6244820717131474</v>
      </c>
      <c r="R65" s="526">
        <f t="shared" si="17"/>
        <v>1082.3499999999999</v>
      </c>
      <c r="S65" s="528"/>
      <c r="T65" s="129"/>
      <c r="U65" s="129"/>
      <c r="V65" s="159"/>
      <c r="X65" s="160"/>
      <c r="Z65" s="161"/>
      <c r="AB65" s="112"/>
      <c r="AC65" s="112"/>
      <c r="AD65" s="112"/>
      <c r="AE65" s="112"/>
      <c r="AF65" s="112"/>
      <c r="AG65" s="112"/>
      <c r="AH65" s="365"/>
      <c r="AI65" s="365"/>
      <c r="AJ65" s="112"/>
      <c r="AK65" s="112"/>
      <c r="AL65" s="112"/>
      <c r="AM65" s="112"/>
      <c r="AN65" s="112"/>
      <c r="AO65" s="112"/>
      <c r="AP65" s="112"/>
      <c r="AQ65" s="112"/>
    </row>
    <row r="66" spans="1:43" s="82" customFormat="1" ht="15" x14ac:dyDescent="0.2">
      <c r="A66" s="529"/>
      <c r="B66" s="480" t="s">
        <v>462</v>
      </c>
      <c r="C66" s="530"/>
      <c r="D66" s="531"/>
      <c r="E66" s="532"/>
      <c r="F66" s="532"/>
      <c r="G66" s="504">
        <f>SUM(G67:G68)</f>
        <v>5811</v>
      </c>
      <c r="H66" s="504">
        <f t="shared" ref="H66:R66" si="18">SUM(H67:H68)</f>
        <v>1280</v>
      </c>
      <c r="I66" s="504">
        <f t="shared" si="18"/>
        <v>5650</v>
      </c>
      <c r="J66" s="504">
        <f t="shared" si="18"/>
        <v>1570</v>
      </c>
      <c r="K66" s="504">
        <f t="shared" si="18"/>
        <v>0</v>
      </c>
      <c r="L66" s="504">
        <f t="shared" si="18"/>
        <v>0</v>
      </c>
      <c r="M66" s="504">
        <f t="shared" si="18"/>
        <v>0</v>
      </c>
      <c r="N66" s="504">
        <f t="shared" si="18"/>
        <v>0</v>
      </c>
      <c r="O66" s="504">
        <f t="shared" si="18"/>
        <v>1280</v>
      </c>
      <c r="P66" s="504">
        <f t="shared" si="18"/>
        <v>0</v>
      </c>
      <c r="Q66" s="533"/>
      <c r="R66" s="504">
        <f t="shared" si="18"/>
        <v>98</v>
      </c>
      <c r="S66" s="534"/>
      <c r="T66" s="129"/>
      <c r="U66" s="129"/>
      <c r="V66" s="159"/>
      <c r="X66" s="160"/>
      <c r="Z66" s="161"/>
      <c r="AB66" s="112"/>
      <c r="AC66" s="112"/>
      <c r="AD66" s="112"/>
      <c r="AE66" s="112"/>
      <c r="AF66" s="112"/>
      <c r="AG66" s="112"/>
      <c r="AH66" s="365"/>
      <c r="AI66" s="365"/>
      <c r="AJ66" s="112"/>
      <c r="AK66" s="112"/>
      <c r="AL66" s="112"/>
      <c r="AM66" s="112"/>
      <c r="AN66" s="112"/>
      <c r="AO66" s="112"/>
      <c r="AP66" s="112"/>
      <c r="AQ66" s="112"/>
    </row>
    <row r="67" spans="1:43" s="79" customFormat="1" ht="30" x14ac:dyDescent="0.2">
      <c r="A67" s="487">
        <v>1</v>
      </c>
      <c r="B67" s="488" t="s">
        <v>197</v>
      </c>
      <c r="C67" s="489" t="s">
        <v>145</v>
      </c>
      <c r="D67" s="461"/>
      <c r="E67" s="506" t="s">
        <v>179</v>
      </c>
      <c r="F67" s="535" t="s">
        <v>199</v>
      </c>
      <c r="G67" s="507">
        <v>2905</v>
      </c>
      <c r="H67" s="507">
        <v>600</v>
      </c>
      <c r="I67" s="463">
        <v>2747</v>
      </c>
      <c r="J67" s="463">
        <v>567</v>
      </c>
      <c r="K67" s="500">
        <f>L67</f>
        <v>0</v>
      </c>
      <c r="L67" s="500"/>
      <c r="M67" s="500"/>
      <c r="N67" s="500"/>
      <c r="O67" s="500">
        <v>600</v>
      </c>
      <c r="P67" s="500"/>
      <c r="Q67" s="462"/>
      <c r="R67" s="462">
        <f>G67-(O67+2250)</f>
        <v>55</v>
      </c>
      <c r="S67" s="496"/>
      <c r="T67" s="83"/>
      <c r="U67" s="83"/>
      <c r="V67" s="118" t="s">
        <v>122</v>
      </c>
      <c r="W67" s="133" t="s">
        <v>268</v>
      </c>
      <c r="X67" s="146"/>
      <c r="Z67" s="114"/>
      <c r="AB67" s="103"/>
      <c r="AC67" s="103"/>
      <c r="AD67" s="103"/>
      <c r="AE67" s="103"/>
      <c r="AF67" s="103"/>
      <c r="AG67" s="103"/>
      <c r="AH67" s="365">
        <f>H67-K67</f>
        <v>600</v>
      </c>
      <c r="AI67" s="365">
        <f>I67-L67</f>
        <v>2747</v>
      </c>
      <c r="AJ67" s="103"/>
      <c r="AK67" s="103"/>
      <c r="AL67" s="103"/>
      <c r="AM67" s="103"/>
      <c r="AN67" s="103"/>
      <c r="AO67" s="103"/>
      <c r="AP67" s="103"/>
      <c r="AQ67" s="103"/>
    </row>
    <row r="68" spans="1:43" s="79" customFormat="1" ht="30" x14ac:dyDescent="0.2">
      <c r="A68" s="460">
        <v>2</v>
      </c>
      <c r="B68" s="488" t="s">
        <v>198</v>
      </c>
      <c r="C68" s="489" t="s">
        <v>145</v>
      </c>
      <c r="D68" s="461"/>
      <c r="E68" s="506" t="s">
        <v>179</v>
      </c>
      <c r="F68" s="535" t="s">
        <v>200</v>
      </c>
      <c r="G68" s="507">
        <v>2906</v>
      </c>
      <c r="H68" s="507">
        <v>680</v>
      </c>
      <c r="I68" s="463">
        <v>2903</v>
      </c>
      <c r="J68" s="463">
        <v>1003</v>
      </c>
      <c r="K68" s="500">
        <f>L68</f>
        <v>0</v>
      </c>
      <c r="L68" s="500"/>
      <c r="M68" s="500"/>
      <c r="N68" s="500"/>
      <c r="O68" s="500">
        <v>680</v>
      </c>
      <c r="P68" s="500"/>
      <c r="Q68" s="462"/>
      <c r="R68" s="462">
        <f>G68-(O68+2183)</f>
        <v>43</v>
      </c>
      <c r="S68" s="496"/>
      <c r="T68" s="83"/>
      <c r="U68" s="83"/>
      <c r="V68" s="118" t="s">
        <v>122</v>
      </c>
      <c r="W68" s="133" t="s">
        <v>268</v>
      </c>
      <c r="X68" s="146"/>
      <c r="Z68" s="114"/>
      <c r="AB68" s="103"/>
      <c r="AC68" s="103"/>
      <c r="AD68" s="103"/>
      <c r="AE68" s="103"/>
      <c r="AF68" s="103"/>
      <c r="AG68" s="103"/>
      <c r="AH68" s="365">
        <f>H68-K68</f>
        <v>680</v>
      </c>
      <c r="AI68" s="365">
        <f>I68-L68</f>
        <v>2903</v>
      </c>
      <c r="AJ68" s="103"/>
      <c r="AK68" s="103"/>
      <c r="AL68" s="103"/>
      <c r="AM68" s="103"/>
      <c r="AN68" s="103"/>
      <c r="AO68" s="103"/>
      <c r="AP68" s="103"/>
      <c r="AQ68" s="103"/>
    </row>
    <row r="69" spans="1:43" s="79" customFormat="1" ht="15" x14ac:dyDescent="0.2">
      <c r="A69" s="460"/>
      <c r="B69" s="498" t="s">
        <v>463</v>
      </c>
      <c r="C69" s="489"/>
      <c r="D69" s="461"/>
      <c r="E69" s="506"/>
      <c r="F69" s="535"/>
      <c r="G69" s="504">
        <f>SUM(G70:G71)</f>
        <v>4973</v>
      </c>
      <c r="H69" s="504">
        <f t="shared" ref="H69:R69" si="19">SUM(H70:H71)</f>
        <v>3740</v>
      </c>
      <c r="I69" s="504">
        <f t="shared" si="19"/>
        <v>417</v>
      </c>
      <c r="J69" s="504">
        <f t="shared" si="19"/>
        <v>417</v>
      </c>
      <c r="K69" s="504">
        <f t="shared" si="19"/>
        <v>131.749</v>
      </c>
      <c r="L69" s="504">
        <f t="shared" si="19"/>
        <v>131.749</v>
      </c>
      <c r="M69" s="504">
        <f t="shared" si="19"/>
        <v>0</v>
      </c>
      <c r="N69" s="504">
        <f t="shared" si="19"/>
        <v>0</v>
      </c>
      <c r="O69" s="504">
        <f t="shared" si="19"/>
        <v>3740</v>
      </c>
      <c r="P69" s="504">
        <f t="shared" si="19"/>
        <v>0</v>
      </c>
      <c r="Q69" s="462"/>
      <c r="R69" s="504">
        <f t="shared" si="19"/>
        <v>984.34999999999991</v>
      </c>
      <c r="S69" s="496"/>
      <c r="T69" s="83"/>
      <c r="U69" s="83"/>
      <c r="V69" s="118"/>
      <c r="W69" s="133"/>
      <c r="X69" s="146"/>
      <c r="Z69" s="114"/>
      <c r="AB69" s="103"/>
      <c r="AC69" s="103"/>
      <c r="AD69" s="103"/>
      <c r="AE69" s="103"/>
      <c r="AF69" s="103"/>
      <c r="AG69" s="103"/>
      <c r="AH69" s="365"/>
      <c r="AI69" s="365"/>
      <c r="AJ69" s="103"/>
      <c r="AK69" s="103"/>
      <c r="AL69" s="103"/>
      <c r="AM69" s="103"/>
      <c r="AN69" s="103"/>
      <c r="AO69" s="103"/>
      <c r="AP69" s="103"/>
      <c r="AQ69" s="103"/>
    </row>
    <row r="70" spans="1:43" s="79" customFormat="1" ht="30" x14ac:dyDescent="0.2">
      <c r="A70" s="536" t="s">
        <v>458</v>
      </c>
      <c r="B70" s="513" t="s">
        <v>480</v>
      </c>
      <c r="C70" s="489" t="s">
        <v>143</v>
      </c>
      <c r="D70" s="506" t="s">
        <v>481</v>
      </c>
      <c r="E70" s="506" t="s">
        <v>478</v>
      </c>
      <c r="F70" s="537" t="s">
        <v>482</v>
      </c>
      <c r="G70" s="507">
        <v>2000</v>
      </c>
      <c r="H70" s="507">
        <v>1800</v>
      </c>
      <c r="I70" s="463">
        <f>J70</f>
        <v>146</v>
      </c>
      <c r="J70" s="463">
        <v>146</v>
      </c>
      <c r="K70" s="500">
        <v>131.749</v>
      </c>
      <c r="L70" s="500">
        <v>131.749</v>
      </c>
      <c r="M70" s="500"/>
      <c r="N70" s="500"/>
      <c r="O70" s="500">
        <v>1800</v>
      </c>
      <c r="P70" s="500"/>
      <c r="Q70" s="462"/>
      <c r="R70" s="462">
        <f>G70*95%-O70</f>
        <v>100</v>
      </c>
      <c r="S70" s="496"/>
      <c r="T70" s="83"/>
      <c r="U70" s="83"/>
      <c r="V70" s="118" t="s">
        <v>123</v>
      </c>
      <c r="W70" s="133" t="s">
        <v>268</v>
      </c>
      <c r="X70" s="146"/>
      <c r="Z70" s="114"/>
      <c r="AB70" s="103"/>
      <c r="AC70" s="103"/>
      <c r="AD70" s="103"/>
      <c r="AE70" s="103"/>
      <c r="AF70" s="103"/>
      <c r="AG70" s="103"/>
      <c r="AH70" s="365"/>
      <c r="AI70" s="365"/>
      <c r="AJ70" s="103"/>
      <c r="AK70" s="103"/>
      <c r="AL70" s="103"/>
      <c r="AM70" s="103"/>
      <c r="AN70" s="103"/>
      <c r="AO70" s="103"/>
      <c r="AP70" s="103"/>
      <c r="AQ70" s="103"/>
    </row>
    <row r="71" spans="1:43" s="79" customFormat="1" ht="30" x14ac:dyDescent="0.2">
      <c r="A71" s="536" t="s">
        <v>468</v>
      </c>
      <c r="B71" s="513" t="s">
        <v>483</v>
      </c>
      <c r="C71" s="489" t="s">
        <v>137</v>
      </c>
      <c r="D71" s="506" t="s">
        <v>484</v>
      </c>
      <c r="E71" s="506" t="s">
        <v>466</v>
      </c>
      <c r="F71" s="537" t="s">
        <v>485</v>
      </c>
      <c r="G71" s="507">
        <v>2973</v>
      </c>
      <c r="H71" s="507">
        <v>1940</v>
      </c>
      <c r="I71" s="463">
        <f>J71</f>
        <v>271</v>
      </c>
      <c r="J71" s="463">
        <v>271</v>
      </c>
      <c r="K71" s="500">
        <f t="shared" ref="K71" si="20">L71</f>
        <v>0</v>
      </c>
      <c r="L71" s="500"/>
      <c r="M71" s="500"/>
      <c r="N71" s="500"/>
      <c r="O71" s="500">
        <v>1940</v>
      </c>
      <c r="P71" s="500"/>
      <c r="Q71" s="462"/>
      <c r="R71" s="462">
        <f>G71*95%-O71</f>
        <v>884.34999999999991</v>
      </c>
      <c r="S71" s="496"/>
      <c r="T71" s="83"/>
      <c r="U71" s="83"/>
      <c r="V71" s="118" t="s">
        <v>123</v>
      </c>
      <c r="W71" s="133" t="s">
        <v>268</v>
      </c>
      <c r="X71" s="146"/>
      <c r="Z71" s="114"/>
      <c r="AB71" s="103"/>
      <c r="AC71" s="103"/>
      <c r="AD71" s="103"/>
      <c r="AE71" s="103"/>
      <c r="AF71" s="103"/>
      <c r="AG71" s="103"/>
      <c r="AH71" s="365"/>
      <c r="AI71" s="365"/>
      <c r="AJ71" s="103"/>
      <c r="AK71" s="103"/>
      <c r="AL71" s="103"/>
      <c r="AM71" s="103"/>
      <c r="AN71" s="103"/>
      <c r="AO71" s="103"/>
      <c r="AP71" s="103"/>
      <c r="AQ71" s="103"/>
    </row>
    <row r="72" spans="1:43" s="79" customFormat="1" ht="30" x14ac:dyDescent="0.2">
      <c r="A72" s="538"/>
      <c r="B72" s="522" t="s">
        <v>201</v>
      </c>
      <c r="C72" s="539"/>
      <c r="D72" s="540"/>
      <c r="E72" s="541"/>
      <c r="F72" s="541"/>
      <c r="G72" s="526">
        <f>G73</f>
        <v>25400</v>
      </c>
      <c r="H72" s="526">
        <f t="shared" ref="H72:R72" si="21">H73</f>
        <v>4688</v>
      </c>
      <c r="I72" s="526">
        <f t="shared" si="21"/>
        <v>1670</v>
      </c>
      <c r="J72" s="526">
        <f t="shared" si="21"/>
        <v>350</v>
      </c>
      <c r="K72" s="526">
        <f t="shared" si="21"/>
        <v>1500</v>
      </c>
      <c r="L72" s="526">
        <f t="shared" si="21"/>
        <v>0</v>
      </c>
      <c r="M72" s="526">
        <f t="shared" si="21"/>
        <v>0</v>
      </c>
      <c r="N72" s="526">
        <f t="shared" si="21"/>
        <v>0</v>
      </c>
      <c r="O72" s="526">
        <f t="shared" si="21"/>
        <v>4688</v>
      </c>
      <c r="P72" s="526">
        <f t="shared" si="21"/>
        <v>0</v>
      </c>
      <c r="Q72" s="527">
        <f>K72/H72*100</f>
        <v>31.996587030716722</v>
      </c>
      <c r="R72" s="526">
        <f t="shared" si="21"/>
        <v>17058</v>
      </c>
      <c r="S72" s="542"/>
      <c r="T72" s="83"/>
      <c r="U72" s="83"/>
      <c r="V72" s="118"/>
      <c r="X72" s="146"/>
      <c r="Z72" s="114"/>
      <c r="AB72" s="103"/>
      <c r="AC72" s="103"/>
      <c r="AD72" s="103"/>
      <c r="AE72" s="103"/>
      <c r="AF72" s="103"/>
      <c r="AG72" s="103"/>
      <c r="AH72" s="365"/>
      <c r="AI72" s="365"/>
      <c r="AJ72" s="103"/>
      <c r="AK72" s="103"/>
      <c r="AL72" s="103"/>
      <c r="AM72" s="103"/>
      <c r="AN72" s="103"/>
      <c r="AO72" s="103"/>
      <c r="AP72" s="103"/>
      <c r="AQ72" s="103"/>
    </row>
    <row r="73" spans="1:43" s="79" customFormat="1" ht="15" x14ac:dyDescent="0.2">
      <c r="A73" s="460"/>
      <c r="B73" s="480" t="s">
        <v>462</v>
      </c>
      <c r="C73" s="489"/>
      <c r="D73" s="461"/>
      <c r="E73" s="506"/>
      <c r="F73" s="490"/>
      <c r="G73" s="504">
        <f>SUM(G74:G75)</f>
        <v>25400</v>
      </c>
      <c r="H73" s="504">
        <f t="shared" ref="H73:R73" si="22">SUM(H74:H75)</f>
        <v>4688</v>
      </c>
      <c r="I73" s="504">
        <f t="shared" si="22"/>
        <v>1670</v>
      </c>
      <c r="J73" s="504">
        <f t="shared" si="22"/>
        <v>350</v>
      </c>
      <c r="K73" s="504">
        <f t="shared" si="22"/>
        <v>1500</v>
      </c>
      <c r="L73" s="504">
        <f t="shared" si="22"/>
        <v>0</v>
      </c>
      <c r="M73" s="504">
        <f t="shared" si="22"/>
        <v>0</v>
      </c>
      <c r="N73" s="504">
        <f t="shared" si="22"/>
        <v>0</v>
      </c>
      <c r="O73" s="504">
        <f t="shared" si="22"/>
        <v>4688</v>
      </c>
      <c r="P73" s="504">
        <f t="shared" si="22"/>
        <v>0</v>
      </c>
      <c r="Q73" s="533"/>
      <c r="R73" s="504">
        <f t="shared" si="22"/>
        <v>17058</v>
      </c>
      <c r="S73" s="496"/>
      <c r="T73" s="83"/>
      <c r="U73" s="83"/>
      <c r="V73" s="118"/>
      <c r="X73" s="146"/>
      <c r="Z73" s="114"/>
      <c r="AB73" s="103"/>
      <c r="AC73" s="103"/>
      <c r="AD73" s="103"/>
      <c r="AE73" s="103"/>
      <c r="AF73" s="103"/>
      <c r="AG73" s="103"/>
      <c r="AH73" s="365"/>
      <c r="AI73" s="365"/>
      <c r="AJ73" s="103"/>
      <c r="AK73" s="103"/>
      <c r="AL73" s="103"/>
      <c r="AM73" s="103"/>
      <c r="AN73" s="103"/>
      <c r="AO73" s="103"/>
      <c r="AP73" s="103"/>
      <c r="AQ73" s="103"/>
    </row>
    <row r="74" spans="1:43" s="79" customFormat="1" ht="30" x14ac:dyDescent="0.2">
      <c r="A74" s="487">
        <v>1</v>
      </c>
      <c r="B74" s="543" t="s">
        <v>204</v>
      </c>
      <c r="C74" s="489" t="s">
        <v>143</v>
      </c>
      <c r="D74" s="461"/>
      <c r="E74" s="506" t="s">
        <v>179</v>
      </c>
      <c r="F74" s="544" t="s">
        <v>202</v>
      </c>
      <c r="G74" s="492">
        <v>5900</v>
      </c>
      <c r="H74" s="507">
        <v>1000</v>
      </c>
      <c r="I74" s="463">
        <v>500</v>
      </c>
      <c r="J74" s="463">
        <v>150</v>
      </c>
      <c r="K74" s="500">
        <f t="shared" ref="K74" si="23">L74</f>
        <v>0</v>
      </c>
      <c r="L74" s="463"/>
      <c r="M74" s="463"/>
      <c r="N74" s="463"/>
      <c r="O74" s="463">
        <v>1000</v>
      </c>
      <c r="P74" s="463"/>
      <c r="Q74" s="462"/>
      <c r="R74" s="462">
        <f>G74-(O74+1000)</f>
        <v>3900</v>
      </c>
      <c r="S74" s="496"/>
      <c r="T74" s="83"/>
      <c r="U74" s="83"/>
      <c r="V74" s="118" t="s">
        <v>122</v>
      </c>
      <c r="W74" s="133" t="s">
        <v>268</v>
      </c>
      <c r="X74" s="146"/>
      <c r="Z74" s="114"/>
      <c r="AB74" s="103"/>
      <c r="AC74" s="103"/>
      <c r="AD74" s="103"/>
      <c r="AE74" s="103"/>
      <c r="AF74" s="103"/>
      <c r="AG74" s="103"/>
      <c r="AH74" s="365">
        <f t="shared" ref="AH74:AI77" si="24">H74-K74</f>
        <v>1000</v>
      </c>
      <c r="AI74" s="365">
        <f t="shared" si="24"/>
        <v>500</v>
      </c>
      <c r="AJ74" s="103"/>
      <c r="AK74" s="103"/>
      <c r="AL74" s="103"/>
      <c r="AM74" s="103"/>
      <c r="AN74" s="103"/>
      <c r="AO74" s="103"/>
      <c r="AP74" s="103"/>
      <c r="AQ74" s="103"/>
    </row>
    <row r="75" spans="1:43" s="79" customFormat="1" ht="30" x14ac:dyDescent="0.2">
      <c r="A75" s="460">
        <v>2</v>
      </c>
      <c r="B75" s="543" t="s">
        <v>205</v>
      </c>
      <c r="C75" s="489" t="s">
        <v>145</v>
      </c>
      <c r="D75" s="461"/>
      <c r="E75" s="506" t="s">
        <v>179</v>
      </c>
      <c r="F75" s="544" t="s">
        <v>203</v>
      </c>
      <c r="G75" s="492">
        <v>19500</v>
      </c>
      <c r="H75" s="507">
        <v>3688</v>
      </c>
      <c r="I75" s="463">
        <v>1170</v>
      </c>
      <c r="J75" s="463">
        <v>200</v>
      </c>
      <c r="K75" s="500">
        <v>1500</v>
      </c>
      <c r="L75" s="463"/>
      <c r="M75" s="463"/>
      <c r="N75" s="463"/>
      <c r="O75" s="463">
        <v>3688</v>
      </c>
      <c r="P75" s="463"/>
      <c r="Q75" s="462"/>
      <c r="R75" s="462">
        <f>G75-(O75+2654)</f>
        <v>13158</v>
      </c>
      <c r="S75" s="496"/>
      <c r="T75" s="83"/>
      <c r="U75" s="83"/>
      <c r="V75" s="118" t="s">
        <v>122</v>
      </c>
      <c r="W75" s="133" t="s">
        <v>268</v>
      </c>
      <c r="X75" s="146"/>
      <c r="Z75" s="114"/>
      <c r="AB75" s="103"/>
      <c r="AC75" s="103"/>
      <c r="AD75" s="103"/>
      <c r="AE75" s="103"/>
      <c r="AF75" s="103"/>
      <c r="AG75" s="103"/>
      <c r="AH75" s="365">
        <f t="shared" si="24"/>
        <v>2188</v>
      </c>
      <c r="AI75" s="365">
        <f t="shared" si="24"/>
        <v>1170</v>
      </c>
      <c r="AJ75" s="103"/>
      <c r="AK75" s="103"/>
      <c r="AL75" s="103"/>
      <c r="AM75" s="103"/>
      <c r="AN75" s="103"/>
      <c r="AO75" s="103"/>
      <c r="AP75" s="103"/>
      <c r="AQ75" s="103"/>
    </row>
    <row r="76" spans="1:43" s="79" customFormat="1" ht="30" x14ac:dyDescent="0.2">
      <c r="A76" s="538"/>
      <c r="B76" s="522" t="s">
        <v>206</v>
      </c>
      <c r="C76" s="539"/>
      <c r="D76" s="540"/>
      <c r="E76" s="541"/>
      <c r="F76" s="541"/>
      <c r="G76" s="545"/>
      <c r="H76" s="545">
        <f>H77</f>
        <v>2429</v>
      </c>
      <c r="I76" s="545">
        <f t="shared" ref="I76:R76" si="25">I77</f>
        <v>0</v>
      </c>
      <c r="J76" s="545">
        <f t="shared" si="25"/>
        <v>0</v>
      </c>
      <c r="K76" s="545">
        <f t="shared" si="25"/>
        <v>0</v>
      </c>
      <c r="L76" s="545">
        <f t="shared" si="25"/>
        <v>0</v>
      </c>
      <c r="M76" s="545">
        <f t="shared" si="25"/>
        <v>0</v>
      </c>
      <c r="N76" s="545">
        <f t="shared" si="25"/>
        <v>0</v>
      </c>
      <c r="O76" s="545">
        <f t="shared" si="25"/>
        <v>2429</v>
      </c>
      <c r="P76" s="545">
        <f t="shared" si="25"/>
        <v>0</v>
      </c>
      <c r="Q76" s="546"/>
      <c r="R76" s="545">
        <f t="shared" si="25"/>
        <v>0</v>
      </c>
      <c r="S76" s="542"/>
      <c r="T76" s="83"/>
      <c r="U76" s="83"/>
      <c r="V76" s="118"/>
      <c r="X76" s="146"/>
      <c r="Z76" s="114"/>
      <c r="AB76" s="103"/>
      <c r="AC76" s="103"/>
      <c r="AD76" s="103"/>
      <c r="AE76" s="103"/>
      <c r="AF76" s="103"/>
      <c r="AG76" s="103"/>
      <c r="AH76" s="365">
        <f t="shared" si="24"/>
        <v>2429</v>
      </c>
      <c r="AI76" s="365">
        <f t="shared" si="24"/>
        <v>0</v>
      </c>
      <c r="AJ76" s="103"/>
      <c r="AK76" s="103"/>
      <c r="AL76" s="103"/>
      <c r="AM76" s="103"/>
      <c r="AN76" s="103"/>
      <c r="AO76" s="103"/>
      <c r="AP76" s="103"/>
      <c r="AQ76" s="103"/>
    </row>
    <row r="77" spans="1:43" s="414" customFormat="1" ht="30" x14ac:dyDescent="0.2">
      <c r="A77" s="547">
        <v>1</v>
      </c>
      <c r="B77" s="548" t="s">
        <v>207</v>
      </c>
      <c r="C77" s="549"/>
      <c r="D77" s="550"/>
      <c r="E77" s="551"/>
      <c r="F77" s="552"/>
      <c r="G77" s="553"/>
      <c r="H77" s="553">
        <v>2429</v>
      </c>
      <c r="I77" s="554"/>
      <c r="J77" s="555"/>
      <c r="K77" s="556">
        <f t="shared" ref="K77" si="26">L77</f>
        <v>0</v>
      </c>
      <c r="L77" s="555"/>
      <c r="M77" s="555"/>
      <c r="N77" s="555"/>
      <c r="O77" s="555">
        <v>2429</v>
      </c>
      <c r="P77" s="555"/>
      <c r="Q77" s="555"/>
      <c r="R77" s="555"/>
      <c r="S77" s="557"/>
      <c r="T77" s="412"/>
      <c r="U77" s="412"/>
      <c r="V77" s="413" t="s">
        <v>122</v>
      </c>
      <c r="W77" s="448" t="s">
        <v>536</v>
      </c>
      <c r="X77" s="449"/>
      <c r="Z77" s="450"/>
      <c r="AH77" s="415">
        <f t="shared" si="24"/>
        <v>2429</v>
      </c>
      <c r="AI77" s="415">
        <f t="shared" si="24"/>
        <v>0</v>
      </c>
    </row>
    <row r="78" spans="1:43" s="79" customFormat="1" ht="30" x14ac:dyDescent="0.2">
      <c r="A78" s="538"/>
      <c r="B78" s="522" t="s">
        <v>208</v>
      </c>
      <c r="C78" s="539"/>
      <c r="D78" s="540"/>
      <c r="E78" s="541"/>
      <c r="F78" s="541"/>
      <c r="G78" s="526">
        <f>G79+G98+G106</f>
        <v>198140</v>
      </c>
      <c r="H78" s="526">
        <f t="shared" ref="H78:R78" si="27">H79+H98+H106</f>
        <v>47860</v>
      </c>
      <c r="I78" s="526">
        <f t="shared" si="27"/>
        <v>43622</v>
      </c>
      <c r="J78" s="526">
        <f t="shared" si="27"/>
        <v>23847</v>
      </c>
      <c r="K78" s="526">
        <f t="shared" si="27"/>
        <v>7748.6909999999998</v>
      </c>
      <c r="L78" s="526">
        <f t="shared" si="27"/>
        <v>7748.6909999999998</v>
      </c>
      <c r="M78" s="526">
        <f t="shared" si="27"/>
        <v>0</v>
      </c>
      <c r="N78" s="526">
        <f t="shared" si="27"/>
        <v>0</v>
      </c>
      <c r="O78" s="526">
        <f t="shared" si="27"/>
        <v>47860</v>
      </c>
      <c r="P78" s="526">
        <f t="shared" si="27"/>
        <v>0</v>
      </c>
      <c r="Q78" s="546">
        <f>K78/H78*100</f>
        <v>16.190328040117009</v>
      </c>
      <c r="R78" s="526">
        <f t="shared" si="27"/>
        <v>65361</v>
      </c>
      <c r="S78" s="542"/>
      <c r="T78" s="83"/>
      <c r="U78" s="83"/>
      <c r="V78" s="118"/>
      <c r="X78" s="146"/>
      <c r="Z78" s="114"/>
      <c r="AB78" s="103"/>
      <c r="AC78" s="103"/>
      <c r="AD78" s="103"/>
      <c r="AE78" s="103"/>
      <c r="AF78" s="103"/>
      <c r="AG78" s="103"/>
      <c r="AH78" s="365"/>
      <c r="AI78" s="365"/>
      <c r="AJ78" s="103"/>
      <c r="AK78" s="103"/>
      <c r="AL78" s="103"/>
      <c r="AM78" s="103"/>
      <c r="AN78" s="103"/>
      <c r="AO78" s="103"/>
      <c r="AP78" s="103"/>
      <c r="AQ78" s="103"/>
    </row>
    <row r="79" spans="1:43" s="79" customFormat="1" ht="15" x14ac:dyDescent="0.2">
      <c r="A79" s="460" t="s">
        <v>28</v>
      </c>
      <c r="B79" s="480" t="s">
        <v>462</v>
      </c>
      <c r="C79" s="489"/>
      <c r="D79" s="461"/>
      <c r="E79" s="506"/>
      <c r="F79" s="490"/>
      <c r="G79" s="484">
        <f>SUM(G80:G97)</f>
        <v>70540</v>
      </c>
      <c r="H79" s="484">
        <f t="shared" ref="H79:R79" si="28">SUM(H80:H97)</f>
        <v>22577</v>
      </c>
      <c r="I79" s="484">
        <f t="shared" si="28"/>
        <v>40940</v>
      </c>
      <c r="J79" s="484">
        <f t="shared" si="28"/>
        <v>21165</v>
      </c>
      <c r="K79" s="484">
        <f t="shared" si="28"/>
        <v>6473.5230000000001</v>
      </c>
      <c r="L79" s="484">
        <f t="shared" si="28"/>
        <v>6473.5230000000001</v>
      </c>
      <c r="M79" s="484">
        <f t="shared" si="28"/>
        <v>0</v>
      </c>
      <c r="N79" s="484">
        <f t="shared" si="28"/>
        <v>0</v>
      </c>
      <c r="O79" s="484">
        <f t="shared" si="28"/>
        <v>22577</v>
      </c>
      <c r="P79" s="484">
        <f t="shared" si="28"/>
        <v>0</v>
      </c>
      <c r="Q79" s="462"/>
      <c r="R79" s="484">
        <f t="shared" si="28"/>
        <v>12260</v>
      </c>
      <c r="S79" s="496"/>
      <c r="T79" s="83"/>
      <c r="U79" s="83"/>
      <c r="V79" s="118"/>
      <c r="X79" s="146"/>
      <c r="Z79" s="114"/>
      <c r="AB79" s="103"/>
      <c r="AC79" s="103"/>
      <c r="AD79" s="103"/>
      <c r="AE79" s="103"/>
      <c r="AF79" s="103"/>
      <c r="AG79" s="103"/>
      <c r="AH79" s="365"/>
      <c r="AI79" s="365"/>
      <c r="AJ79" s="103"/>
      <c r="AK79" s="103"/>
      <c r="AL79" s="103"/>
      <c r="AM79" s="103"/>
      <c r="AN79" s="103"/>
      <c r="AO79" s="103"/>
      <c r="AP79" s="103"/>
      <c r="AQ79" s="103"/>
    </row>
    <row r="80" spans="1:43" s="79" customFormat="1" ht="30" x14ac:dyDescent="0.2">
      <c r="A80" s="460">
        <v>1</v>
      </c>
      <c r="B80" s="456" t="s">
        <v>209</v>
      </c>
      <c r="C80" s="489" t="s">
        <v>143</v>
      </c>
      <c r="D80" s="461"/>
      <c r="E80" s="506" t="s">
        <v>179</v>
      </c>
      <c r="F80" s="558" t="s">
        <v>217</v>
      </c>
      <c r="G80" s="507">
        <v>5500</v>
      </c>
      <c r="H80" s="507">
        <v>1800</v>
      </c>
      <c r="I80" s="463">
        <v>5281</v>
      </c>
      <c r="J80" s="463">
        <v>3291</v>
      </c>
      <c r="K80" s="500">
        <v>63.603000000000002</v>
      </c>
      <c r="L80" s="500">
        <v>63.603000000000002</v>
      </c>
      <c r="M80" s="500"/>
      <c r="N80" s="500"/>
      <c r="O80" s="500">
        <v>1800</v>
      </c>
      <c r="P80" s="500"/>
      <c r="Q80" s="462"/>
      <c r="R80" s="462">
        <f>G80-(O80+2900)</f>
        <v>800</v>
      </c>
      <c r="S80" s="496"/>
      <c r="T80" s="83"/>
      <c r="U80" s="83"/>
      <c r="V80" s="118" t="s">
        <v>122</v>
      </c>
      <c r="W80" s="133" t="s">
        <v>268</v>
      </c>
      <c r="X80" s="146"/>
      <c r="Z80" s="114"/>
      <c r="AB80" s="103"/>
      <c r="AC80" s="103"/>
      <c r="AD80" s="103"/>
      <c r="AE80" s="103"/>
      <c r="AF80" s="103"/>
      <c r="AG80" s="103"/>
      <c r="AH80" s="365">
        <f t="shared" ref="AH80:AI97" si="29">H80-K80</f>
        <v>1736.3969999999999</v>
      </c>
      <c r="AI80" s="365">
        <f t="shared" si="29"/>
        <v>5217.3969999999999</v>
      </c>
      <c r="AJ80" s="103"/>
      <c r="AK80" s="103"/>
      <c r="AL80" s="103"/>
      <c r="AM80" s="103"/>
      <c r="AN80" s="103"/>
      <c r="AO80" s="103"/>
      <c r="AP80" s="103"/>
      <c r="AQ80" s="103"/>
    </row>
    <row r="81" spans="1:43" s="79" customFormat="1" ht="30" x14ac:dyDescent="0.2">
      <c r="A81" s="460">
        <v>2</v>
      </c>
      <c r="B81" s="456" t="s">
        <v>210</v>
      </c>
      <c r="C81" s="489" t="s">
        <v>148</v>
      </c>
      <c r="D81" s="461"/>
      <c r="E81" s="506" t="s">
        <v>179</v>
      </c>
      <c r="F81" s="558" t="s">
        <v>218</v>
      </c>
      <c r="G81" s="507">
        <v>5100</v>
      </c>
      <c r="H81" s="507">
        <v>1650</v>
      </c>
      <c r="I81" s="463">
        <f>650+J81</f>
        <v>1180</v>
      </c>
      <c r="J81" s="463">
        <f>265+265</f>
        <v>530</v>
      </c>
      <c r="K81" s="500">
        <v>79.801000000000002</v>
      </c>
      <c r="L81" s="559">
        <v>79.801000000000002</v>
      </c>
      <c r="M81" s="559"/>
      <c r="N81" s="559"/>
      <c r="O81" s="559">
        <v>1650</v>
      </c>
      <c r="P81" s="559"/>
      <c r="Q81" s="462"/>
      <c r="R81" s="462">
        <f>G81-(O81+2700)</f>
        <v>750</v>
      </c>
      <c r="S81" s="496"/>
      <c r="T81" s="83"/>
      <c r="U81" s="83"/>
      <c r="V81" s="118" t="s">
        <v>122</v>
      </c>
      <c r="W81" s="133" t="s">
        <v>268</v>
      </c>
      <c r="X81" s="146"/>
      <c r="Z81" s="114"/>
      <c r="AB81" s="103"/>
      <c r="AC81" s="103"/>
      <c r="AD81" s="103"/>
      <c r="AE81" s="103"/>
      <c r="AF81" s="103"/>
      <c r="AG81" s="103"/>
      <c r="AH81" s="365">
        <f t="shared" si="29"/>
        <v>1570.1990000000001</v>
      </c>
      <c r="AI81" s="365">
        <f t="shared" si="29"/>
        <v>1100.1990000000001</v>
      </c>
      <c r="AJ81" s="103"/>
      <c r="AK81" s="103"/>
      <c r="AL81" s="103"/>
      <c r="AM81" s="103"/>
      <c r="AN81" s="103"/>
      <c r="AO81" s="103"/>
      <c r="AP81" s="103"/>
      <c r="AQ81" s="103"/>
    </row>
    <row r="82" spans="1:43" s="79" customFormat="1" ht="30" x14ac:dyDescent="0.2">
      <c r="A82" s="460">
        <v>3</v>
      </c>
      <c r="B82" s="456" t="s">
        <v>211</v>
      </c>
      <c r="C82" s="489" t="s">
        <v>141</v>
      </c>
      <c r="D82" s="461"/>
      <c r="E82" s="506" t="s">
        <v>179</v>
      </c>
      <c r="F82" s="558" t="s">
        <v>219</v>
      </c>
      <c r="G82" s="507">
        <v>5800</v>
      </c>
      <c r="H82" s="507">
        <v>1800</v>
      </c>
      <c r="I82" s="463">
        <v>3526</v>
      </c>
      <c r="J82" s="463">
        <v>2226</v>
      </c>
      <c r="K82" s="500">
        <f t="shared" ref="K82:K102" si="30">L82</f>
        <v>0</v>
      </c>
      <c r="L82" s="500"/>
      <c r="M82" s="500"/>
      <c r="N82" s="500"/>
      <c r="O82" s="500">
        <v>1800</v>
      </c>
      <c r="P82" s="500"/>
      <c r="Q82" s="462"/>
      <c r="R82" s="462">
        <f>G82-(O82+3100)</f>
        <v>900</v>
      </c>
      <c r="S82" s="496"/>
      <c r="T82" s="83"/>
      <c r="U82" s="83"/>
      <c r="V82" s="118" t="s">
        <v>122</v>
      </c>
      <c r="W82" s="133" t="s">
        <v>268</v>
      </c>
      <c r="X82" s="146"/>
      <c r="Z82" s="114"/>
      <c r="AB82" s="103"/>
      <c r="AC82" s="103"/>
      <c r="AD82" s="103"/>
      <c r="AE82" s="103"/>
      <c r="AF82" s="103"/>
      <c r="AG82" s="103"/>
      <c r="AH82" s="365">
        <f t="shared" si="29"/>
        <v>1800</v>
      </c>
      <c r="AI82" s="365">
        <f t="shared" si="29"/>
        <v>3526</v>
      </c>
      <c r="AJ82" s="103"/>
      <c r="AK82" s="103"/>
      <c r="AL82" s="103"/>
      <c r="AM82" s="103"/>
      <c r="AN82" s="103"/>
      <c r="AO82" s="103"/>
      <c r="AP82" s="103"/>
      <c r="AQ82" s="103"/>
    </row>
    <row r="83" spans="1:43" s="79" customFormat="1" ht="30" x14ac:dyDescent="0.2">
      <c r="A83" s="460">
        <v>4</v>
      </c>
      <c r="B83" s="456" t="s">
        <v>212</v>
      </c>
      <c r="C83" s="489" t="s">
        <v>225</v>
      </c>
      <c r="D83" s="461"/>
      <c r="E83" s="506" t="s">
        <v>179</v>
      </c>
      <c r="F83" s="558" t="s">
        <v>220</v>
      </c>
      <c r="G83" s="507">
        <v>6800</v>
      </c>
      <c r="H83" s="507">
        <v>2200</v>
      </c>
      <c r="I83" s="463">
        <v>3308</v>
      </c>
      <c r="J83" s="463">
        <v>1518</v>
      </c>
      <c r="K83" s="500">
        <v>36.436</v>
      </c>
      <c r="L83" s="500">
        <v>36.436</v>
      </c>
      <c r="M83" s="500"/>
      <c r="N83" s="500"/>
      <c r="O83" s="500">
        <v>2200</v>
      </c>
      <c r="P83" s="500"/>
      <c r="Q83" s="462"/>
      <c r="R83" s="462">
        <f>G83-(O83+3600)</f>
        <v>1000</v>
      </c>
      <c r="S83" s="496"/>
      <c r="T83" s="83"/>
      <c r="U83" s="83"/>
      <c r="V83" s="118" t="s">
        <v>122</v>
      </c>
      <c r="W83" s="133" t="s">
        <v>268</v>
      </c>
      <c r="X83" s="146"/>
      <c r="Z83" s="114"/>
      <c r="AB83" s="103"/>
      <c r="AC83" s="103"/>
      <c r="AD83" s="103"/>
      <c r="AE83" s="103"/>
      <c r="AF83" s="103"/>
      <c r="AG83" s="103"/>
      <c r="AH83" s="365">
        <f t="shared" si="29"/>
        <v>2163.5639999999999</v>
      </c>
      <c r="AI83" s="365">
        <f t="shared" si="29"/>
        <v>3271.5639999999999</v>
      </c>
      <c r="AJ83" s="103"/>
      <c r="AK83" s="103"/>
      <c r="AL83" s="103"/>
      <c r="AM83" s="103"/>
      <c r="AN83" s="103"/>
      <c r="AO83" s="103"/>
      <c r="AP83" s="103"/>
      <c r="AQ83" s="103"/>
    </row>
    <row r="84" spans="1:43" s="79" customFormat="1" ht="30" x14ac:dyDescent="0.2">
      <c r="A84" s="460">
        <v>5</v>
      </c>
      <c r="B84" s="456" t="s">
        <v>213</v>
      </c>
      <c r="C84" s="489" t="s">
        <v>137</v>
      </c>
      <c r="D84" s="461"/>
      <c r="E84" s="506" t="s">
        <v>179</v>
      </c>
      <c r="F84" s="558" t="s">
        <v>221</v>
      </c>
      <c r="G84" s="507">
        <v>5300</v>
      </c>
      <c r="H84" s="507">
        <v>2700</v>
      </c>
      <c r="I84" s="463">
        <v>1650</v>
      </c>
      <c r="J84" s="463">
        <v>1230</v>
      </c>
      <c r="K84" s="500">
        <v>1542.617</v>
      </c>
      <c r="L84" s="500">
        <v>1542.617</v>
      </c>
      <c r="M84" s="500"/>
      <c r="N84" s="500"/>
      <c r="O84" s="500">
        <v>2700</v>
      </c>
      <c r="P84" s="500"/>
      <c r="Q84" s="462"/>
      <c r="R84" s="462">
        <f>G84-(O84+1800)</f>
        <v>800</v>
      </c>
      <c r="S84" s="496"/>
      <c r="T84" s="83"/>
      <c r="U84" s="83"/>
      <c r="V84" s="118" t="s">
        <v>122</v>
      </c>
      <c r="W84" s="133" t="s">
        <v>268</v>
      </c>
      <c r="X84" s="146"/>
      <c r="Z84" s="114"/>
      <c r="AB84" s="103"/>
      <c r="AC84" s="103"/>
      <c r="AD84" s="103"/>
      <c r="AE84" s="103"/>
      <c r="AF84" s="103"/>
      <c r="AG84" s="103"/>
      <c r="AH84" s="365">
        <f t="shared" si="29"/>
        <v>1157.383</v>
      </c>
      <c r="AI84" s="365">
        <f t="shared" si="29"/>
        <v>107.38300000000004</v>
      </c>
      <c r="AJ84" s="103"/>
      <c r="AK84" s="103"/>
      <c r="AL84" s="103"/>
      <c r="AM84" s="103"/>
      <c r="AN84" s="103"/>
      <c r="AO84" s="103"/>
      <c r="AP84" s="103"/>
      <c r="AQ84" s="103"/>
    </row>
    <row r="85" spans="1:43" s="79" customFormat="1" ht="30" x14ac:dyDescent="0.2">
      <c r="A85" s="460">
        <v>6</v>
      </c>
      <c r="B85" s="456" t="s">
        <v>214</v>
      </c>
      <c r="C85" s="489" t="s">
        <v>145</v>
      </c>
      <c r="D85" s="461"/>
      <c r="E85" s="506" t="s">
        <v>179</v>
      </c>
      <c r="F85" s="558" t="s">
        <v>222</v>
      </c>
      <c r="G85" s="507">
        <v>5200</v>
      </c>
      <c r="H85" s="507">
        <v>1600</v>
      </c>
      <c r="I85" s="463">
        <v>4290</v>
      </c>
      <c r="J85" s="463">
        <v>3160</v>
      </c>
      <c r="K85" s="500">
        <v>803.83</v>
      </c>
      <c r="L85" s="500">
        <v>803.83</v>
      </c>
      <c r="M85" s="500"/>
      <c r="N85" s="500"/>
      <c r="O85" s="500">
        <v>1600</v>
      </c>
      <c r="P85" s="500"/>
      <c r="Q85" s="462"/>
      <c r="R85" s="462">
        <f>G85-(O85+2800)</f>
        <v>800</v>
      </c>
      <c r="S85" s="496"/>
      <c r="T85" s="83"/>
      <c r="U85" s="83"/>
      <c r="V85" s="118" t="s">
        <v>122</v>
      </c>
      <c r="W85" s="133" t="s">
        <v>268</v>
      </c>
      <c r="X85" s="146"/>
      <c r="Z85" s="114"/>
      <c r="AB85" s="103"/>
      <c r="AC85" s="103"/>
      <c r="AD85" s="103"/>
      <c r="AE85" s="103"/>
      <c r="AF85" s="103"/>
      <c r="AG85" s="103"/>
      <c r="AH85" s="365">
        <f t="shared" si="29"/>
        <v>796.17</v>
      </c>
      <c r="AI85" s="365">
        <f t="shared" si="29"/>
        <v>3486.17</v>
      </c>
      <c r="AJ85" s="103"/>
      <c r="AK85" s="103"/>
      <c r="AL85" s="103"/>
      <c r="AM85" s="103"/>
      <c r="AN85" s="103"/>
      <c r="AO85" s="103"/>
      <c r="AP85" s="103"/>
      <c r="AQ85" s="103"/>
    </row>
    <row r="86" spans="1:43" s="79" customFormat="1" ht="30" x14ac:dyDescent="0.2">
      <c r="A86" s="460">
        <v>7</v>
      </c>
      <c r="B86" s="456" t="s">
        <v>215</v>
      </c>
      <c r="C86" s="489" t="s">
        <v>146</v>
      </c>
      <c r="D86" s="461"/>
      <c r="E86" s="506" t="s">
        <v>179</v>
      </c>
      <c r="F86" s="558" t="s">
        <v>223</v>
      </c>
      <c r="G86" s="507">
        <v>8340</v>
      </c>
      <c r="H86" s="507">
        <v>697</v>
      </c>
      <c r="I86" s="463">
        <v>4500</v>
      </c>
      <c r="J86" s="463">
        <v>3000</v>
      </c>
      <c r="K86" s="500">
        <v>697</v>
      </c>
      <c r="L86" s="500">
        <v>697</v>
      </c>
      <c r="M86" s="500"/>
      <c r="N86" s="500"/>
      <c r="O86" s="500">
        <v>697</v>
      </c>
      <c r="P86" s="500"/>
      <c r="Q86" s="462"/>
      <c r="R86" s="462">
        <f>G86-(O86+3303)</f>
        <v>4340</v>
      </c>
      <c r="S86" s="496"/>
      <c r="T86" s="83"/>
      <c r="U86" s="83"/>
      <c r="V86" s="118" t="s">
        <v>122</v>
      </c>
      <c r="W86" s="133" t="s">
        <v>268</v>
      </c>
      <c r="X86" s="146"/>
      <c r="Z86" s="114"/>
      <c r="AB86" s="103"/>
      <c r="AC86" s="103"/>
      <c r="AD86" s="103"/>
      <c r="AE86" s="103"/>
      <c r="AF86" s="103"/>
      <c r="AG86" s="103"/>
      <c r="AH86" s="365">
        <f t="shared" si="29"/>
        <v>0</v>
      </c>
      <c r="AI86" s="365">
        <f t="shared" si="29"/>
        <v>3803</v>
      </c>
      <c r="AJ86" s="103"/>
      <c r="AK86" s="103"/>
      <c r="AL86" s="103"/>
      <c r="AM86" s="103"/>
      <c r="AN86" s="103"/>
      <c r="AO86" s="103"/>
      <c r="AP86" s="103"/>
      <c r="AQ86" s="103"/>
    </row>
    <row r="87" spans="1:43" s="79" customFormat="1" ht="30" x14ac:dyDescent="0.2">
      <c r="A87" s="460">
        <v>8</v>
      </c>
      <c r="B87" s="456" t="s">
        <v>216</v>
      </c>
      <c r="C87" s="489" t="s">
        <v>226</v>
      </c>
      <c r="D87" s="461"/>
      <c r="E87" s="506" t="s">
        <v>179</v>
      </c>
      <c r="F87" s="558" t="s">
        <v>224</v>
      </c>
      <c r="G87" s="507">
        <v>6100</v>
      </c>
      <c r="H87" s="507">
        <v>1900</v>
      </c>
      <c r="I87" s="463">
        <v>5800</v>
      </c>
      <c r="J87" s="463">
        <v>3900</v>
      </c>
      <c r="K87" s="500">
        <v>1810</v>
      </c>
      <c r="L87" s="500">
        <v>1810</v>
      </c>
      <c r="M87" s="500"/>
      <c r="N87" s="500"/>
      <c r="O87" s="500">
        <v>1900</v>
      </c>
      <c r="P87" s="500"/>
      <c r="Q87" s="462"/>
      <c r="R87" s="462">
        <f>G87-(O87+3300)</f>
        <v>900</v>
      </c>
      <c r="S87" s="496"/>
      <c r="T87" s="83"/>
      <c r="U87" s="83"/>
      <c r="V87" s="118" t="s">
        <v>122</v>
      </c>
      <c r="W87" s="133" t="s">
        <v>268</v>
      </c>
      <c r="X87" s="146"/>
      <c r="Z87" s="114"/>
      <c r="AB87" s="103"/>
      <c r="AC87" s="103"/>
      <c r="AD87" s="103"/>
      <c r="AE87" s="103"/>
      <c r="AF87" s="103"/>
      <c r="AG87" s="103"/>
      <c r="AH87" s="365">
        <f t="shared" si="29"/>
        <v>90</v>
      </c>
      <c r="AI87" s="365">
        <f t="shared" si="29"/>
        <v>3990</v>
      </c>
      <c r="AJ87" s="103"/>
      <c r="AK87" s="103"/>
      <c r="AL87" s="103"/>
      <c r="AM87" s="103"/>
      <c r="AN87" s="103"/>
      <c r="AO87" s="103"/>
      <c r="AP87" s="103"/>
      <c r="AQ87" s="103"/>
    </row>
    <row r="88" spans="1:43" s="79" customFormat="1" ht="30" x14ac:dyDescent="0.2">
      <c r="A88" s="460">
        <v>9</v>
      </c>
      <c r="B88" s="456" t="s">
        <v>319</v>
      </c>
      <c r="C88" s="558" t="s">
        <v>143</v>
      </c>
      <c r="D88" s="560" t="s">
        <v>331</v>
      </c>
      <c r="E88" s="558" t="s">
        <v>341</v>
      </c>
      <c r="F88" s="558" t="s">
        <v>342</v>
      </c>
      <c r="G88" s="561">
        <v>2400</v>
      </c>
      <c r="H88" s="507">
        <v>650</v>
      </c>
      <c r="I88" s="463">
        <f>1560+J88</f>
        <v>1810</v>
      </c>
      <c r="J88" s="494">
        <v>250</v>
      </c>
      <c r="K88" s="500">
        <f t="shared" si="30"/>
        <v>0</v>
      </c>
      <c r="L88" s="463"/>
      <c r="M88" s="463"/>
      <c r="N88" s="463"/>
      <c r="O88" s="463">
        <v>650</v>
      </c>
      <c r="P88" s="463"/>
      <c r="Q88" s="462"/>
      <c r="R88" s="462">
        <f>G88-(O88+1400)</f>
        <v>350</v>
      </c>
      <c r="S88" s="496"/>
      <c r="T88" s="83"/>
      <c r="U88" s="83"/>
      <c r="V88" s="118" t="s">
        <v>122</v>
      </c>
      <c r="W88" s="152" t="s">
        <v>273</v>
      </c>
      <c r="X88" s="146"/>
      <c r="Z88" s="114"/>
      <c r="AB88" s="103"/>
      <c r="AC88" s="103"/>
      <c r="AD88" s="103"/>
      <c r="AE88" s="103"/>
      <c r="AF88" s="103"/>
      <c r="AG88" s="103"/>
      <c r="AH88" s="365">
        <f t="shared" si="29"/>
        <v>650</v>
      </c>
      <c r="AI88" s="365">
        <f t="shared" si="29"/>
        <v>1810</v>
      </c>
      <c r="AJ88" s="103"/>
      <c r="AK88" s="103"/>
      <c r="AL88" s="103"/>
      <c r="AM88" s="103"/>
      <c r="AN88" s="103"/>
      <c r="AO88" s="103"/>
      <c r="AP88" s="103"/>
      <c r="AQ88" s="103"/>
    </row>
    <row r="89" spans="1:43" s="79" customFormat="1" ht="30" x14ac:dyDescent="0.2">
      <c r="A89" s="460">
        <v>10</v>
      </c>
      <c r="B89" s="456" t="s">
        <v>320</v>
      </c>
      <c r="C89" s="558" t="s">
        <v>149</v>
      </c>
      <c r="D89" s="560" t="s">
        <v>332</v>
      </c>
      <c r="E89" s="558" t="s">
        <v>341</v>
      </c>
      <c r="F89" s="558" t="s">
        <v>343</v>
      </c>
      <c r="G89" s="561">
        <v>2000</v>
      </c>
      <c r="H89" s="507">
        <v>600</v>
      </c>
      <c r="I89" s="463">
        <f>1000+J89</f>
        <v>1120</v>
      </c>
      <c r="J89" s="494">
        <v>120</v>
      </c>
      <c r="K89" s="500">
        <f t="shared" si="30"/>
        <v>0</v>
      </c>
      <c r="L89" s="463"/>
      <c r="M89" s="463"/>
      <c r="N89" s="463"/>
      <c r="O89" s="463">
        <v>600</v>
      </c>
      <c r="P89" s="463"/>
      <c r="Q89" s="462"/>
      <c r="R89" s="462">
        <f>G89-(O89+1100)</f>
        <v>300</v>
      </c>
      <c r="S89" s="496"/>
      <c r="T89" s="83"/>
      <c r="U89" s="83"/>
      <c r="V89" s="118" t="s">
        <v>122</v>
      </c>
      <c r="W89" s="152" t="s">
        <v>275</v>
      </c>
      <c r="X89" s="146"/>
      <c r="Z89" s="114"/>
      <c r="AB89" s="103"/>
      <c r="AC89" s="103"/>
      <c r="AD89" s="103"/>
      <c r="AE89" s="103"/>
      <c r="AF89" s="103"/>
      <c r="AG89" s="103"/>
      <c r="AH89" s="365">
        <f t="shared" si="29"/>
        <v>600</v>
      </c>
      <c r="AI89" s="365">
        <f t="shared" si="29"/>
        <v>1120</v>
      </c>
      <c r="AJ89" s="103"/>
      <c r="AK89" s="103"/>
      <c r="AL89" s="103"/>
      <c r="AM89" s="103"/>
      <c r="AN89" s="103"/>
      <c r="AO89" s="103"/>
      <c r="AP89" s="103"/>
      <c r="AQ89" s="103"/>
    </row>
    <row r="90" spans="1:43" s="79" customFormat="1" ht="30" x14ac:dyDescent="0.2">
      <c r="A90" s="460">
        <v>11</v>
      </c>
      <c r="B90" s="456" t="s">
        <v>321</v>
      </c>
      <c r="C90" s="558" t="s">
        <v>144</v>
      </c>
      <c r="D90" s="560" t="s">
        <v>333</v>
      </c>
      <c r="E90" s="558" t="s">
        <v>341</v>
      </c>
      <c r="F90" s="558" t="s">
        <v>344</v>
      </c>
      <c r="G90" s="561">
        <v>1300</v>
      </c>
      <c r="H90" s="507">
        <v>450</v>
      </c>
      <c r="I90" s="463">
        <f>390+J90</f>
        <v>590</v>
      </c>
      <c r="J90" s="494">
        <v>200</v>
      </c>
      <c r="K90" s="500">
        <v>309.63799999999998</v>
      </c>
      <c r="L90" s="500">
        <v>309.63799999999998</v>
      </c>
      <c r="M90" s="500"/>
      <c r="N90" s="500"/>
      <c r="O90" s="500">
        <v>450</v>
      </c>
      <c r="P90" s="500"/>
      <c r="Q90" s="462"/>
      <c r="R90" s="462">
        <f>G90-(O90+800)</f>
        <v>50</v>
      </c>
      <c r="S90" s="496"/>
      <c r="T90" s="83"/>
      <c r="U90" s="83"/>
      <c r="V90" s="118" t="s">
        <v>122</v>
      </c>
      <c r="W90" s="152" t="s">
        <v>269</v>
      </c>
      <c r="X90" s="146"/>
      <c r="Z90" s="114"/>
      <c r="AB90" s="103"/>
      <c r="AC90" s="103"/>
      <c r="AD90" s="103"/>
      <c r="AE90" s="103"/>
      <c r="AF90" s="103"/>
      <c r="AG90" s="103"/>
      <c r="AH90" s="365">
        <f t="shared" si="29"/>
        <v>140.36200000000002</v>
      </c>
      <c r="AI90" s="365">
        <f t="shared" si="29"/>
        <v>280.36200000000002</v>
      </c>
      <c r="AJ90" s="103"/>
      <c r="AK90" s="103"/>
      <c r="AL90" s="103"/>
      <c r="AM90" s="103"/>
      <c r="AN90" s="103"/>
      <c r="AO90" s="103"/>
      <c r="AP90" s="103"/>
      <c r="AQ90" s="103"/>
    </row>
    <row r="91" spans="1:43" s="79" customFormat="1" ht="30" x14ac:dyDescent="0.2">
      <c r="A91" s="460">
        <v>12</v>
      </c>
      <c r="B91" s="456" t="s">
        <v>322</v>
      </c>
      <c r="C91" s="558" t="s">
        <v>148</v>
      </c>
      <c r="D91" s="560" t="s">
        <v>334</v>
      </c>
      <c r="E91" s="558" t="s">
        <v>317</v>
      </c>
      <c r="F91" s="558" t="s">
        <v>345</v>
      </c>
      <c r="G91" s="561">
        <v>4300</v>
      </c>
      <c r="H91" s="507">
        <v>1900</v>
      </c>
      <c r="I91" s="463">
        <f>1505+J91</f>
        <v>1855</v>
      </c>
      <c r="J91" s="494">
        <v>350</v>
      </c>
      <c r="K91" s="500">
        <f t="shared" si="30"/>
        <v>0</v>
      </c>
      <c r="L91" s="463"/>
      <c r="M91" s="463"/>
      <c r="N91" s="463"/>
      <c r="O91" s="463">
        <v>1900</v>
      </c>
      <c r="P91" s="463"/>
      <c r="Q91" s="462"/>
      <c r="R91" s="462">
        <f>G91-(O91+1800)</f>
        <v>600</v>
      </c>
      <c r="S91" s="496"/>
      <c r="T91" s="83"/>
      <c r="U91" s="83"/>
      <c r="V91" s="118" t="s">
        <v>122</v>
      </c>
      <c r="W91" s="152" t="s">
        <v>272</v>
      </c>
      <c r="X91" s="146"/>
      <c r="Z91" s="114"/>
      <c r="AB91" s="103"/>
      <c r="AC91" s="103"/>
      <c r="AD91" s="103"/>
      <c r="AE91" s="103"/>
      <c r="AF91" s="103"/>
      <c r="AG91" s="103"/>
      <c r="AH91" s="365">
        <f t="shared" si="29"/>
        <v>1900</v>
      </c>
      <c r="AI91" s="365">
        <f t="shared" si="29"/>
        <v>1855</v>
      </c>
      <c r="AJ91" s="103"/>
      <c r="AK91" s="103"/>
      <c r="AL91" s="103"/>
      <c r="AM91" s="103"/>
      <c r="AN91" s="103"/>
      <c r="AO91" s="103"/>
      <c r="AP91" s="103"/>
      <c r="AQ91" s="103"/>
    </row>
    <row r="92" spans="1:43" s="79" customFormat="1" ht="30" x14ac:dyDescent="0.2">
      <c r="A92" s="460">
        <v>13</v>
      </c>
      <c r="B92" s="456" t="s">
        <v>535</v>
      </c>
      <c r="C92" s="558" t="s">
        <v>141</v>
      </c>
      <c r="D92" s="560" t="s">
        <v>335</v>
      </c>
      <c r="E92" s="558" t="s">
        <v>317</v>
      </c>
      <c r="F92" s="558" t="s">
        <v>346</v>
      </c>
      <c r="G92" s="561">
        <v>1100</v>
      </c>
      <c r="H92" s="507">
        <v>450</v>
      </c>
      <c r="I92" s="463">
        <f>330+J92</f>
        <v>450</v>
      </c>
      <c r="J92" s="494">
        <v>120</v>
      </c>
      <c r="K92" s="500">
        <f t="shared" si="30"/>
        <v>0</v>
      </c>
      <c r="L92" s="463"/>
      <c r="M92" s="463"/>
      <c r="N92" s="463"/>
      <c r="O92" s="463">
        <v>450</v>
      </c>
      <c r="P92" s="463"/>
      <c r="Q92" s="462"/>
      <c r="R92" s="462">
        <f>G92-(O92+600)</f>
        <v>50</v>
      </c>
      <c r="S92" s="496"/>
      <c r="T92" s="83"/>
      <c r="U92" s="83"/>
      <c r="V92" s="118" t="s">
        <v>122</v>
      </c>
      <c r="W92" s="152" t="s">
        <v>271</v>
      </c>
      <c r="X92" s="146"/>
      <c r="Z92" s="114"/>
      <c r="AB92" s="103"/>
      <c r="AC92" s="103"/>
      <c r="AD92" s="103"/>
      <c r="AE92" s="103"/>
      <c r="AF92" s="103"/>
      <c r="AG92" s="103"/>
      <c r="AH92" s="365">
        <f t="shared" si="29"/>
        <v>450</v>
      </c>
      <c r="AI92" s="365">
        <f t="shared" si="29"/>
        <v>450</v>
      </c>
      <c r="AJ92" s="103"/>
      <c r="AK92" s="103"/>
      <c r="AL92" s="103"/>
      <c r="AM92" s="103"/>
      <c r="AN92" s="103"/>
      <c r="AO92" s="103"/>
      <c r="AP92" s="103"/>
      <c r="AQ92" s="103"/>
    </row>
    <row r="93" spans="1:43" s="79" customFormat="1" ht="30" x14ac:dyDescent="0.2">
      <c r="A93" s="460">
        <v>14</v>
      </c>
      <c r="B93" s="456" t="s">
        <v>323</v>
      </c>
      <c r="C93" s="558" t="s">
        <v>225</v>
      </c>
      <c r="D93" s="560" t="s">
        <v>336</v>
      </c>
      <c r="E93" s="558" t="s">
        <v>317</v>
      </c>
      <c r="F93" s="558" t="s">
        <v>347</v>
      </c>
      <c r="G93" s="561">
        <v>2800</v>
      </c>
      <c r="H93" s="507">
        <v>1200</v>
      </c>
      <c r="I93" s="463">
        <f>840+J93</f>
        <v>1190</v>
      </c>
      <c r="J93" s="494">
        <v>350</v>
      </c>
      <c r="K93" s="500">
        <f t="shared" si="30"/>
        <v>0</v>
      </c>
      <c r="L93" s="463"/>
      <c r="M93" s="463"/>
      <c r="N93" s="463"/>
      <c r="O93" s="463">
        <v>1200</v>
      </c>
      <c r="P93" s="463"/>
      <c r="Q93" s="462"/>
      <c r="R93" s="462">
        <f>G93-(O93+1500)</f>
        <v>100</v>
      </c>
      <c r="S93" s="496"/>
      <c r="T93" s="83"/>
      <c r="U93" s="83"/>
      <c r="V93" s="118" t="s">
        <v>122</v>
      </c>
      <c r="W93" s="152" t="s">
        <v>277</v>
      </c>
      <c r="X93" s="146"/>
      <c r="Z93" s="114"/>
      <c r="AB93" s="103"/>
      <c r="AC93" s="103"/>
      <c r="AD93" s="103"/>
      <c r="AE93" s="103"/>
      <c r="AF93" s="103"/>
      <c r="AG93" s="103"/>
      <c r="AH93" s="365">
        <f t="shared" si="29"/>
        <v>1200</v>
      </c>
      <c r="AI93" s="365">
        <f t="shared" si="29"/>
        <v>1190</v>
      </c>
      <c r="AJ93" s="103"/>
      <c r="AK93" s="103"/>
      <c r="AL93" s="103"/>
      <c r="AM93" s="103"/>
      <c r="AN93" s="103"/>
      <c r="AO93" s="103"/>
      <c r="AP93" s="103"/>
      <c r="AQ93" s="103"/>
    </row>
    <row r="94" spans="1:43" s="79" customFormat="1" ht="30" x14ac:dyDescent="0.2">
      <c r="A94" s="460">
        <v>15</v>
      </c>
      <c r="B94" s="456" t="s">
        <v>324</v>
      </c>
      <c r="C94" s="558" t="s">
        <v>166</v>
      </c>
      <c r="D94" s="560" t="s">
        <v>337</v>
      </c>
      <c r="E94" s="558" t="s">
        <v>317</v>
      </c>
      <c r="F94" s="558" t="s">
        <v>348</v>
      </c>
      <c r="G94" s="561">
        <v>3600</v>
      </c>
      <c r="H94" s="507">
        <v>1400</v>
      </c>
      <c r="I94" s="463">
        <f>2000+J94</f>
        <v>2250</v>
      </c>
      <c r="J94" s="494">
        <v>250</v>
      </c>
      <c r="K94" s="500">
        <v>753.49</v>
      </c>
      <c r="L94" s="500">
        <v>753.49</v>
      </c>
      <c r="M94" s="500"/>
      <c r="N94" s="500"/>
      <c r="O94" s="500">
        <v>1400</v>
      </c>
      <c r="P94" s="500"/>
      <c r="Q94" s="462"/>
      <c r="R94" s="462">
        <f>G94-(O94+1900)</f>
        <v>300</v>
      </c>
      <c r="S94" s="496"/>
      <c r="T94" s="83"/>
      <c r="U94" s="83"/>
      <c r="V94" s="118" t="s">
        <v>122</v>
      </c>
      <c r="W94" s="152" t="s">
        <v>352</v>
      </c>
      <c r="X94" s="146"/>
      <c r="Z94" s="114"/>
      <c r="AB94" s="103"/>
      <c r="AC94" s="103"/>
      <c r="AD94" s="103"/>
      <c r="AE94" s="103"/>
      <c r="AF94" s="103"/>
      <c r="AG94" s="103"/>
      <c r="AH94" s="365">
        <f t="shared" si="29"/>
        <v>646.51</v>
      </c>
      <c r="AI94" s="365">
        <f t="shared" si="29"/>
        <v>1496.51</v>
      </c>
      <c r="AJ94" s="103"/>
      <c r="AK94" s="103"/>
      <c r="AL94" s="103"/>
      <c r="AM94" s="103"/>
      <c r="AN94" s="103"/>
      <c r="AO94" s="103"/>
      <c r="AP94" s="103"/>
      <c r="AQ94" s="103"/>
    </row>
    <row r="95" spans="1:43" s="79" customFormat="1" ht="30" x14ac:dyDescent="0.2">
      <c r="A95" s="460">
        <v>16</v>
      </c>
      <c r="B95" s="456" t="s">
        <v>325</v>
      </c>
      <c r="C95" s="558" t="s">
        <v>146</v>
      </c>
      <c r="D95" s="560" t="s">
        <v>338</v>
      </c>
      <c r="E95" s="558" t="s">
        <v>317</v>
      </c>
      <c r="F95" s="558" t="s">
        <v>349</v>
      </c>
      <c r="G95" s="561">
        <v>2400</v>
      </c>
      <c r="H95" s="507">
        <v>780</v>
      </c>
      <c r="I95" s="463">
        <f>720+J95</f>
        <v>1020</v>
      </c>
      <c r="J95" s="494">
        <v>300</v>
      </c>
      <c r="K95" s="500">
        <f t="shared" si="30"/>
        <v>0</v>
      </c>
      <c r="L95" s="463"/>
      <c r="M95" s="463"/>
      <c r="N95" s="463"/>
      <c r="O95" s="463">
        <v>780</v>
      </c>
      <c r="P95" s="463"/>
      <c r="Q95" s="462"/>
      <c r="R95" s="462">
        <f>G95-(O95+1500)</f>
        <v>120</v>
      </c>
      <c r="S95" s="496"/>
      <c r="T95" s="83"/>
      <c r="U95" s="83"/>
      <c r="V95" s="118" t="s">
        <v>122</v>
      </c>
      <c r="W95" s="152" t="s">
        <v>270</v>
      </c>
      <c r="X95" s="146"/>
      <c r="Z95" s="114"/>
      <c r="AB95" s="103"/>
      <c r="AC95" s="103"/>
      <c r="AD95" s="103"/>
      <c r="AE95" s="103"/>
      <c r="AF95" s="103"/>
      <c r="AG95" s="103"/>
      <c r="AH95" s="365">
        <f t="shared" si="29"/>
        <v>780</v>
      </c>
      <c r="AI95" s="365">
        <f t="shared" si="29"/>
        <v>1020</v>
      </c>
      <c r="AJ95" s="103"/>
      <c r="AK95" s="103"/>
      <c r="AL95" s="103"/>
      <c r="AM95" s="103"/>
      <c r="AN95" s="103"/>
      <c r="AO95" s="103"/>
      <c r="AP95" s="103"/>
      <c r="AQ95" s="103"/>
    </row>
    <row r="96" spans="1:43" s="79" customFormat="1" ht="30" x14ac:dyDescent="0.2">
      <c r="A96" s="460">
        <v>17</v>
      </c>
      <c r="B96" s="456" t="s">
        <v>326</v>
      </c>
      <c r="C96" s="558" t="s">
        <v>226</v>
      </c>
      <c r="D96" s="560" t="s">
        <v>339</v>
      </c>
      <c r="E96" s="558" t="s">
        <v>317</v>
      </c>
      <c r="F96" s="558" t="s">
        <v>350</v>
      </c>
      <c r="G96" s="561">
        <v>1000</v>
      </c>
      <c r="H96" s="507">
        <v>350</v>
      </c>
      <c r="I96" s="463">
        <f>300+J96</f>
        <v>550</v>
      </c>
      <c r="J96" s="494">
        <v>250</v>
      </c>
      <c r="K96" s="500">
        <f t="shared" si="30"/>
        <v>0</v>
      </c>
      <c r="L96" s="463"/>
      <c r="M96" s="463"/>
      <c r="N96" s="463"/>
      <c r="O96" s="463">
        <v>350</v>
      </c>
      <c r="P96" s="463"/>
      <c r="Q96" s="462"/>
      <c r="R96" s="462">
        <f>G96-(O96+600)</f>
        <v>50</v>
      </c>
      <c r="S96" s="496"/>
      <c r="T96" s="83"/>
      <c r="U96" s="83"/>
      <c r="V96" s="118" t="s">
        <v>122</v>
      </c>
      <c r="W96" s="152" t="s">
        <v>279</v>
      </c>
      <c r="X96" s="146"/>
      <c r="Z96" s="114"/>
      <c r="AB96" s="103"/>
      <c r="AC96" s="103"/>
      <c r="AD96" s="103"/>
      <c r="AE96" s="103"/>
      <c r="AF96" s="103"/>
      <c r="AG96" s="103"/>
      <c r="AH96" s="365">
        <f t="shared" si="29"/>
        <v>350</v>
      </c>
      <c r="AI96" s="365">
        <f t="shared" si="29"/>
        <v>550</v>
      </c>
      <c r="AJ96" s="103"/>
      <c r="AK96" s="103"/>
      <c r="AL96" s="103"/>
      <c r="AM96" s="103"/>
      <c r="AN96" s="103"/>
      <c r="AO96" s="103"/>
      <c r="AP96" s="103"/>
      <c r="AQ96" s="103"/>
    </row>
    <row r="97" spans="1:43" s="79" customFormat="1" ht="60" x14ac:dyDescent="0.2">
      <c r="A97" s="460">
        <v>18</v>
      </c>
      <c r="B97" s="456" t="s">
        <v>327</v>
      </c>
      <c r="C97" s="558" t="s">
        <v>330</v>
      </c>
      <c r="D97" s="560" t="s">
        <v>340</v>
      </c>
      <c r="E97" s="558" t="s">
        <v>317</v>
      </c>
      <c r="F97" s="558" t="s">
        <v>351</v>
      </c>
      <c r="G97" s="561">
        <v>1500</v>
      </c>
      <c r="H97" s="507">
        <v>450</v>
      </c>
      <c r="I97" s="463">
        <f>450+J97</f>
        <v>570</v>
      </c>
      <c r="J97" s="494">
        <v>120</v>
      </c>
      <c r="K97" s="500">
        <v>377.10799999999995</v>
      </c>
      <c r="L97" s="500">
        <v>377.10799999999995</v>
      </c>
      <c r="M97" s="500"/>
      <c r="N97" s="500"/>
      <c r="O97" s="500">
        <v>450</v>
      </c>
      <c r="P97" s="500"/>
      <c r="Q97" s="462"/>
      <c r="R97" s="462">
        <f>G97-(O97+1000)</f>
        <v>50</v>
      </c>
      <c r="S97" s="496"/>
      <c r="T97" s="83"/>
      <c r="U97" s="83"/>
      <c r="V97" s="118" t="s">
        <v>122</v>
      </c>
      <c r="W97" s="152" t="s">
        <v>353</v>
      </c>
      <c r="X97" s="146"/>
      <c r="Z97" s="114"/>
      <c r="AB97" s="103"/>
      <c r="AC97" s="103"/>
      <c r="AD97" s="103"/>
      <c r="AE97" s="103"/>
      <c r="AF97" s="103"/>
      <c r="AG97" s="103"/>
      <c r="AH97" s="365">
        <f t="shared" si="29"/>
        <v>72.892000000000053</v>
      </c>
      <c r="AI97" s="365">
        <f t="shared" si="29"/>
        <v>192.89200000000005</v>
      </c>
      <c r="AJ97" s="103"/>
      <c r="AK97" s="103"/>
      <c r="AL97" s="103"/>
      <c r="AM97" s="103"/>
      <c r="AN97" s="103"/>
      <c r="AO97" s="103"/>
      <c r="AP97" s="103"/>
      <c r="AQ97" s="103"/>
    </row>
    <row r="98" spans="1:43" s="79" customFormat="1" ht="15" x14ac:dyDescent="0.2">
      <c r="A98" s="479" t="s">
        <v>30</v>
      </c>
      <c r="B98" s="498" t="s">
        <v>463</v>
      </c>
      <c r="C98" s="558"/>
      <c r="D98" s="560"/>
      <c r="E98" s="558"/>
      <c r="F98" s="558"/>
      <c r="G98" s="562">
        <f>SUM(G99:G105)</f>
        <v>96140</v>
      </c>
      <c r="H98" s="562">
        <f t="shared" ref="H98:R98" si="31">SUM(H99:H105)</f>
        <v>25283</v>
      </c>
      <c r="I98" s="562">
        <f t="shared" si="31"/>
        <v>2682</v>
      </c>
      <c r="J98" s="562">
        <f t="shared" si="31"/>
        <v>2682</v>
      </c>
      <c r="K98" s="562">
        <f t="shared" si="31"/>
        <v>1275.1679999999999</v>
      </c>
      <c r="L98" s="562">
        <f t="shared" si="31"/>
        <v>1275.1679999999999</v>
      </c>
      <c r="M98" s="562">
        <f t="shared" si="31"/>
        <v>0</v>
      </c>
      <c r="N98" s="562">
        <f t="shared" si="31"/>
        <v>0</v>
      </c>
      <c r="O98" s="562">
        <f t="shared" si="31"/>
        <v>25283</v>
      </c>
      <c r="P98" s="562">
        <f t="shared" si="31"/>
        <v>0</v>
      </c>
      <c r="Q98" s="462"/>
      <c r="R98" s="562">
        <f t="shared" si="31"/>
        <v>43663</v>
      </c>
      <c r="S98" s="496"/>
      <c r="T98" s="83"/>
      <c r="U98" s="83"/>
      <c r="V98" s="118"/>
      <c r="W98" s="152"/>
      <c r="X98" s="146"/>
      <c r="Z98" s="114"/>
      <c r="AB98" s="103"/>
      <c r="AC98" s="103"/>
      <c r="AD98" s="103"/>
      <c r="AE98" s="103"/>
      <c r="AF98" s="103"/>
      <c r="AG98" s="103"/>
      <c r="AH98" s="365"/>
      <c r="AI98" s="365"/>
      <c r="AJ98" s="103"/>
      <c r="AK98" s="103"/>
      <c r="AL98" s="103"/>
      <c r="AM98" s="103"/>
      <c r="AN98" s="103"/>
      <c r="AO98" s="103"/>
      <c r="AP98" s="103"/>
      <c r="AQ98" s="103"/>
    </row>
    <row r="99" spans="1:43" s="79" customFormat="1" ht="30" x14ac:dyDescent="0.2">
      <c r="A99" s="536" t="s">
        <v>458</v>
      </c>
      <c r="B99" s="456" t="s">
        <v>486</v>
      </c>
      <c r="C99" s="563" t="s">
        <v>141</v>
      </c>
      <c r="D99" s="563" t="s">
        <v>492</v>
      </c>
      <c r="E99" s="563" t="s">
        <v>478</v>
      </c>
      <c r="F99" s="563" t="s">
        <v>493</v>
      </c>
      <c r="G99" s="561">
        <v>2000</v>
      </c>
      <c r="H99" s="507">
        <v>1100</v>
      </c>
      <c r="I99" s="463">
        <f>J99</f>
        <v>35</v>
      </c>
      <c r="J99" s="494">
        <v>35</v>
      </c>
      <c r="K99" s="500">
        <f t="shared" si="30"/>
        <v>0</v>
      </c>
      <c r="L99" s="463"/>
      <c r="M99" s="463"/>
      <c r="N99" s="463"/>
      <c r="O99" s="463">
        <v>1100</v>
      </c>
      <c r="P99" s="463"/>
      <c r="Q99" s="462"/>
      <c r="R99" s="462">
        <f t="shared" ref="R99:R104" si="32">G99*90%-O99</f>
        <v>700</v>
      </c>
      <c r="S99" s="496"/>
      <c r="T99" s="83"/>
      <c r="U99" s="83"/>
      <c r="V99" s="118" t="s">
        <v>123</v>
      </c>
      <c r="W99" s="162" t="s">
        <v>271</v>
      </c>
      <c r="X99" s="146"/>
      <c r="Z99" s="114"/>
      <c r="AB99" s="103"/>
      <c r="AC99" s="103"/>
      <c r="AD99" s="103"/>
      <c r="AE99" s="103"/>
      <c r="AF99" s="103"/>
      <c r="AG99" s="103"/>
      <c r="AH99" s="365"/>
      <c r="AI99" s="365"/>
      <c r="AJ99" s="103"/>
      <c r="AK99" s="103"/>
      <c r="AL99" s="103"/>
      <c r="AM99" s="103"/>
      <c r="AN99" s="103"/>
      <c r="AO99" s="103"/>
      <c r="AP99" s="103"/>
      <c r="AQ99" s="103"/>
    </row>
    <row r="100" spans="1:43" ht="36.75" customHeight="1" x14ac:dyDescent="0.2">
      <c r="A100" s="536" t="s">
        <v>468</v>
      </c>
      <c r="B100" s="456" t="s">
        <v>487</v>
      </c>
      <c r="C100" s="563" t="s">
        <v>145</v>
      </c>
      <c r="D100" s="563" t="s">
        <v>494</v>
      </c>
      <c r="E100" s="563" t="s">
        <v>478</v>
      </c>
      <c r="F100" s="563" t="s">
        <v>495</v>
      </c>
      <c r="G100" s="561">
        <v>2000</v>
      </c>
      <c r="H100" s="564">
        <v>1100</v>
      </c>
      <c r="I100" s="463">
        <f>J100</f>
        <v>55</v>
      </c>
      <c r="J100" s="494">
        <v>55</v>
      </c>
      <c r="K100" s="500">
        <f t="shared" si="30"/>
        <v>0</v>
      </c>
      <c r="L100" s="463"/>
      <c r="M100" s="463"/>
      <c r="N100" s="463"/>
      <c r="O100" s="463">
        <v>1100</v>
      </c>
      <c r="P100" s="463"/>
      <c r="Q100" s="463"/>
      <c r="R100" s="462">
        <f t="shared" si="32"/>
        <v>700</v>
      </c>
      <c r="S100" s="565"/>
      <c r="T100" s="83"/>
      <c r="U100" s="83"/>
      <c r="V100" s="141" t="s">
        <v>123</v>
      </c>
      <c r="W100" s="162" t="s">
        <v>276</v>
      </c>
      <c r="X100" s="148"/>
      <c r="Z100" s="125"/>
      <c r="AH100" s="365"/>
      <c r="AI100" s="365"/>
    </row>
    <row r="101" spans="1:43" s="79" customFormat="1" ht="30" x14ac:dyDescent="0.2">
      <c r="A101" s="536" t="s">
        <v>472</v>
      </c>
      <c r="B101" s="456" t="s">
        <v>488</v>
      </c>
      <c r="C101" s="563" t="s">
        <v>149</v>
      </c>
      <c r="D101" s="563" t="s">
        <v>496</v>
      </c>
      <c r="E101" s="563" t="s">
        <v>466</v>
      </c>
      <c r="F101" s="558" t="s">
        <v>497</v>
      </c>
      <c r="G101" s="561">
        <v>3000</v>
      </c>
      <c r="H101" s="507">
        <v>1583</v>
      </c>
      <c r="I101" s="463">
        <v>152</v>
      </c>
      <c r="J101" s="494">
        <v>152</v>
      </c>
      <c r="K101" s="500">
        <v>141.482</v>
      </c>
      <c r="L101" s="500">
        <v>141.482</v>
      </c>
      <c r="M101" s="500"/>
      <c r="N101" s="500"/>
      <c r="O101" s="500">
        <v>1583</v>
      </c>
      <c r="P101" s="500"/>
      <c r="Q101" s="462"/>
      <c r="R101" s="462">
        <f t="shared" si="32"/>
        <v>1117</v>
      </c>
      <c r="S101" s="496"/>
      <c r="T101" s="83"/>
      <c r="U101" s="83"/>
      <c r="V101" s="118" t="s">
        <v>123</v>
      </c>
      <c r="W101" s="162" t="s">
        <v>268</v>
      </c>
      <c r="X101" s="146"/>
      <c r="Z101" s="114"/>
      <c r="AB101" s="103"/>
      <c r="AC101" s="103"/>
      <c r="AD101" s="103"/>
      <c r="AE101" s="103"/>
      <c r="AF101" s="103"/>
      <c r="AG101" s="103"/>
      <c r="AH101" s="365"/>
      <c r="AI101" s="365"/>
      <c r="AJ101" s="103"/>
      <c r="AK101" s="103"/>
      <c r="AL101" s="103"/>
      <c r="AM101" s="103"/>
      <c r="AN101" s="103"/>
      <c r="AO101" s="103"/>
      <c r="AP101" s="103"/>
      <c r="AQ101" s="103"/>
    </row>
    <row r="102" spans="1:43" s="79" customFormat="1" ht="30" x14ac:dyDescent="0.2">
      <c r="A102" s="536" t="s">
        <v>504</v>
      </c>
      <c r="B102" s="566" t="s">
        <v>489</v>
      </c>
      <c r="C102" s="563" t="s">
        <v>225</v>
      </c>
      <c r="D102" s="563" t="s">
        <v>498</v>
      </c>
      <c r="E102" s="563" t="s">
        <v>466</v>
      </c>
      <c r="F102" s="558" t="s">
        <v>499</v>
      </c>
      <c r="G102" s="561">
        <v>26330</v>
      </c>
      <c r="H102" s="507">
        <v>8000</v>
      </c>
      <c r="I102" s="463">
        <v>750</v>
      </c>
      <c r="J102" s="494">
        <v>750</v>
      </c>
      <c r="K102" s="500">
        <f t="shared" si="30"/>
        <v>0</v>
      </c>
      <c r="L102" s="463"/>
      <c r="M102" s="463"/>
      <c r="N102" s="463"/>
      <c r="O102" s="463">
        <v>8000</v>
      </c>
      <c r="P102" s="463"/>
      <c r="Q102" s="462"/>
      <c r="R102" s="462">
        <f t="shared" si="32"/>
        <v>15697</v>
      </c>
      <c r="S102" s="496"/>
      <c r="T102" s="83"/>
      <c r="U102" s="83"/>
      <c r="V102" s="118" t="s">
        <v>123</v>
      </c>
      <c r="W102" s="162" t="s">
        <v>268</v>
      </c>
      <c r="X102" s="146"/>
      <c r="Z102" s="114"/>
      <c r="AB102" s="103"/>
      <c r="AC102" s="103"/>
      <c r="AD102" s="103"/>
      <c r="AE102" s="103"/>
      <c r="AF102" s="103"/>
      <c r="AG102" s="103"/>
      <c r="AH102" s="365"/>
      <c r="AI102" s="365"/>
      <c r="AJ102" s="103"/>
      <c r="AK102" s="103"/>
      <c r="AL102" s="103"/>
      <c r="AM102" s="103"/>
      <c r="AN102" s="103"/>
      <c r="AO102" s="103"/>
      <c r="AP102" s="103"/>
      <c r="AQ102" s="103"/>
    </row>
    <row r="103" spans="1:43" s="79" customFormat="1" ht="30" x14ac:dyDescent="0.2">
      <c r="A103" s="536" t="s">
        <v>505</v>
      </c>
      <c r="B103" s="566" t="s">
        <v>490</v>
      </c>
      <c r="C103" s="563" t="s">
        <v>141</v>
      </c>
      <c r="D103" s="563" t="s">
        <v>500</v>
      </c>
      <c r="E103" s="563" t="s">
        <v>466</v>
      </c>
      <c r="F103" s="558" t="s">
        <v>501</v>
      </c>
      <c r="G103" s="561">
        <v>14000</v>
      </c>
      <c r="H103" s="507">
        <v>5000</v>
      </c>
      <c r="I103" s="463">
        <v>894</v>
      </c>
      <c r="J103" s="494">
        <v>894</v>
      </c>
      <c r="K103" s="500">
        <v>552.05999999999995</v>
      </c>
      <c r="L103" s="500">
        <v>552.05999999999995</v>
      </c>
      <c r="M103" s="500"/>
      <c r="N103" s="500"/>
      <c r="O103" s="500">
        <v>5000</v>
      </c>
      <c r="P103" s="500"/>
      <c r="Q103" s="462"/>
      <c r="R103" s="462">
        <f t="shared" si="32"/>
        <v>7600</v>
      </c>
      <c r="S103" s="496"/>
      <c r="T103" s="83"/>
      <c r="U103" s="83"/>
      <c r="V103" s="118" t="s">
        <v>123</v>
      </c>
      <c r="W103" s="162" t="s">
        <v>268</v>
      </c>
      <c r="X103" s="146"/>
      <c r="Z103" s="114"/>
      <c r="AB103" s="103"/>
      <c r="AC103" s="103"/>
      <c r="AD103" s="103"/>
      <c r="AE103" s="103"/>
      <c r="AF103" s="103"/>
      <c r="AG103" s="103"/>
      <c r="AH103" s="365"/>
      <c r="AI103" s="365"/>
      <c r="AJ103" s="103"/>
      <c r="AK103" s="103"/>
      <c r="AL103" s="103"/>
      <c r="AM103" s="103"/>
      <c r="AN103" s="103"/>
      <c r="AO103" s="103"/>
      <c r="AP103" s="103"/>
      <c r="AQ103" s="103"/>
    </row>
    <row r="104" spans="1:43" s="79" customFormat="1" ht="30" x14ac:dyDescent="0.2">
      <c r="A104" s="536" t="s">
        <v>506</v>
      </c>
      <c r="B104" s="567" t="s">
        <v>491</v>
      </c>
      <c r="C104" s="563" t="s">
        <v>143</v>
      </c>
      <c r="D104" s="563" t="s">
        <v>502</v>
      </c>
      <c r="E104" s="563" t="s">
        <v>466</v>
      </c>
      <c r="F104" s="558" t="s">
        <v>503</v>
      </c>
      <c r="G104" s="561">
        <v>28310</v>
      </c>
      <c r="H104" s="507">
        <v>8500</v>
      </c>
      <c r="I104" s="463">
        <v>796</v>
      </c>
      <c r="J104" s="494">
        <v>796</v>
      </c>
      <c r="K104" s="500">
        <v>581.62599999999998</v>
      </c>
      <c r="L104" s="500">
        <v>581.62599999999998</v>
      </c>
      <c r="M104" s="500"/>
      <c r="N104" s="500"/>
      <c r="O104" s="500">
        <v>8500</v>
      </c>
      <c r="P104" s="500"/>
      <c r="Q104" s="462"/>
      <c r="R104" s="462">
        <f t="shared" si="32"/>
        <v>16979</v>
      </c>
      <c r="S104" s="496"/>
      <c r="T104" s="83"/>
      <c r="U104" s="83"/>
      <c r="V104" s="118" t="s">
        <v>123</v>
      </c>
      <c r="W104" s="162" t="s">
        <v>268</v>
      </c>
      <c r="X104" s="146"/>
      <c r="Z104" s="114"/>
      <c r="AB104" s="103"/>
      <c r="AC104" s="103"/>
      <c r="AD104" s="103"/>
      <c r="AE104" s="103"/>
      <c r="AF104" s="103"/>
      <c r="AG104" s="103"/>
      <c r="AH104" s="365"/>
      <c r="AI104" s="365"/>
      <c r="AJ104" s="103"/>
      <c r="AK104" s="103"/>
      <c r="AL104" s="103"/>
      <c r="AM104" s="103"/>
      <c r="AN104" s="103"/>
      <c r="AO104" s="103"/>
      <c r="AP104" s="103"/>
      <c r="AQ104" s="103"/>
    </row>
    <row r="105" spans="1:43" s="414" customFormat="1" ht="60" x14ac:dyDescent="0.2">
      <c r="A105" s="568" t="s">
        <v>626</v>
      </c>
      <c r="B105" s="569" t="s">
        <v>600</v>
      </c>
      <c r="C105" s="570" t="s">
        <v>143</v>
      </c>
      <c r="D105" s="570"/>
      <c r="E105" s="570" t="s">
        <v>466</v>
      </c>
      <c r="F105" s="571" t="s">
        <v>602</v>
      </c>
      <c r="G105" s="572">
        <v>20500</v>
      </c>
      <c r="H105" s="553"/>
      <c r="I105" s="554"/>
      <c r="J105" s="573"/>
      <c r="K105" s="556"/>
      <c r="L105" s="556"/>
      <c r="M105" s="556"/>
      <c r="N105" s="556"/>
      <c r="O105" s="556"/>
      <c r="P105" s="556"/>
      <c r="Q105" s="555"/>
      <c r="R105" s="555">
        <f>2900*30%</f>
        <v>870</v>
      </c>
      <c r="S105" s="574" t="s">
        <v>627</v>
      </c>
      <c r="T105" s="412"/>
      <c r="U105" s="412"/>
      <c r="V105" s="413"/>
      <c r="W105" s="452"/>
      <c r="X105" s="449"/>
      <c r="Z105" s="450"/>
      <c r="AH105" s="415"/>
      <c r="AI105" s="415"/>
    </row>
    <row r="106" spans="1:43" s="79" customFormat="1" ht="15" x14ac:dyDescent="0.2">
      <c r="A106" s="497" t="s">
        <v>32</v>
      </c>
      <c r="B106" s="498" t="s">
        <v>583</v>
      </c>
      <c r="C106" s="563"/>
      <c r="D106" s="563"/>
      <c r="E106" s="563"/>
      <c r="F106" s="558"/>
      <c r="G106" s="562">
        <f>SUM(G107:G109)</f>
        <v>31460</v>
      </c>
      <c r="H106" s="562">
        <f t="shared" ref="H106:R106" si="33">SUM(H107:H109)</f>
        <v>0</v>
      </c>
      <c r="I106" s="562">
        <f t="shared" si="33"/>
        <v>0</v>
      </c>
      <c r="J106" s="562">
        <f t="shared" si="33"/>
        <v>0</v>
      </c>
      <c r="K106" s="562">
        <f t="shared" si="33"/>
        <v>0</v>
      </c>
      <c r="L106" s="562">
        <f t="shared" si="33"/>
        <v>0</v>
      </c>
      <c r="M106" s="562">
        <f t="shared" si="33"/>
        <v>0</v>
      </c>
      <c r="N106" s="562">
        <f t="shared" si="33"/>
        <v>0</v>
      </c>
      <c r="O106" s="562">
        <f t="shared" si="33"/>
        <v>0</v>
      </c>
      <c r="P106" s="562">
        <f t="shared" si="33"/>
        <v>0</v>
      </c>
      <c r="Q106" s="462"/>
      <c r="R106" s="562">
        <f t="shared" si="33"/>
        <v>9438</v>
      </c>
      <c r="S106" s="496"/>
      <c r="T106" s="83"/>
      <c r="U106" s="83"/>
      <c r="V106" s="118"/>
      <c r="W106" s="162"/>
      <c r="X106" s="146"/>
      <c r="Z106" s="114"/>
      <c r="AB106" s="103"/>
      <c r="AC106" s="103"/>
      <c r="AD106" s="103"/>
      <c r="AE106" s="103"/>
      <c r="AF106" s="103"/>
      <c r="AG106" s="103"/>
      <c r="AH106" s="365"/>
      <c r="AI106" s="365"/>
      <c r="AJ106" s="103"/>
      <c r="AK106" s="103"/>
      <c r="AL106" s="103"/>
      <c r="AM106" s="103"/>
      <c r="AN106" s="103"/>
      <c r="AO106" s="103"/>
      <c r="AP106" s="103"/>
      <c r="AQ106" s="103"/>
    </row>
    <row r="107" spans="1:43" s="79" customFormat="1" ht="15" x14ac:dyDescent="0.2">
      <c r="A107" s="536" t="s">
        <v>458</v>
      </c>
      <c r="B107" s="567" t="s">
        <v>621</v>
      </c>
      <c r="C107" s="520" t="s">
        <v>144</v>
      </c>
      <c r="D107" s="563" t="s">
        <v>622</v>
      </c>
      <c r="E107" s="563" t="s">
        <v>605</v>
      </c>
      <c r="F107" s="558"/>
      <c r="G107" s="561">
        <v>5300</v>
      </c>
      <c r="H107" s="507"/>
      <c r="I107" s="463"/>
      <c r="J107" s="494"/>
      <c r="K107" s="500"/>
      <c r="L107" s="500"/>
      <c r="M107" s="500"/>
      <c r="N107" s="500"/>
      <c r="O107" s="500"/>
      <c r="P107" s="500"/>
      <c r="Q107" s="462"/>
      <c r="R107" s="462">
        <f>G107*30%</f>
        <v>1590</v>
      </c>
      <c r="S107" s="496"/>
      <c r="T107" s="83"/>
      <c r="U107" s="83"/>
      <c r="V107" s="118"/>
      <c r="W107" s="162"/>
      <c r="X107" s="146"/>
      <c r="Z107" s="114"/>
      <c r="AB107" s="103"/>
      <c r="AC107" s="103"/>
      <c r="AD107" s="103"/>
      <c r="AE107" s="103"/>
      <c r="AF107" s="103"/>
      <c r="AG107" s="103"/>
      <c r="AH107" s="365"/>
      <c r="AI107" s="365"/>
      <c r="AJ107" s="103"/>
      <c r="AK107" s="103"/>
      <c r="AL107" s="103"/>
      <c r="AM107" s="103"/>
      <c r="AN107" s="103"/>
      <c r="AO107" s="103"/>
      <c r="AP107" s="103"/>
      <c r="AQ107" s="103"/>
    </row>
    <row r="108" spans="1:43" s="79" customFormat="1" ht="30" x14ac:dyDescent="0.2">
      <c r="A108" s="536" t="s">
        <v>468</v>
      </c>
      <c r="B108" s="567" t="s">
        <v>623</v>
      </c>
      <c r="C108" s="520" t="s">
        <v>166</v>
      </c>
      <c r="D108" s="563" t="s">
        <v>622</v>
      </c>
      <c r="E108" s="563" t="s">
        <v>605</v>
      </c>
      <c r="F108" s="558"/>
      <c r="G108" s="561">
        <v>5300</v>
      </c>
      <c r="H108" s="507"/>
      <c r="I108" s="463"/>
      <c r="J108" s="494"/>
      <c r="K108" s="500"/>
      <c r="L108" s="500"/>
      <c r="M108" s="500"/>
      <c r="N108" s="500"/>
      <c r="O108" s="500"/>
      <c r="P108" s="500"/>
      <c r="Q108" s="462"/>
      <c r="R108" s="462">
        <f t="shared" ref="R108:R109" si="34">G108*30%</f>
        <v>1590</v>
      </c>
      <c r="S108" s="496"/>
      <c r="T108" s="83"/>
      <c r="U108" s="83"/>
      <c r="V108" s="118"/>
      <c r="W108" s="162"/>
      <c r="X108" s="146"/>
      <c r="Z108" s="114"/>
      <c r="AB108" s="103"/>
      <c r="AC108" s="103"/>
      <c r="AD108" s="103"/>
      <c r="AE108" s="103"/>
      <c r="AF108" s="103"/>
      <c r="AG108" s="103"/>
      <c r="AH108" s="365"/>
      <c r="AI108" s="365"/>
      <c r="AJ108" s="103"/>
      <c r="AK108" s="103"/>
      <c r="AL108" s="103"/>
      <c r="AM108" s="103"/>
      <c r="AN108" s="103"/>
      <c r="AO108" s="103"/>
      <c r="AP108" s="103"/>
      <c r="AQ108" s="103"/>
    </row>
    <row r="109" spans="1:43" s="79" customFormat="1" ht="27.75" customHeight="1" x14ac:dyDescent="0.2">
      <c r="A109" s="536" t="s">
        <v>472</v>
      </c>
      <c r="B109" s="575" t="s">
        <v>624</v>
      </c>
      <c r="C109" s="520" t="s">
        <v>256</v>
      </c>
      <c r="D109" s="563" t="s">
        <v>625</v>
      </c>
      <c r="E109" s="563" t="s">
        <v>605</v>
      </c>
      <c r="F109" s="558"/>
      <c r="G109" s="561">
        <v>20860</v>
      </c>
      <c r="H109" s="507"/>
      <c r="I109" s="463"/>
      <c r="J109" s="494"/>
      <c r="K109" s="500"/>
      <c r="L109" s="500"/>
      <c r="M109" s="500"/>
      <c r="N109" s="500"/>
      <c r="O109" s="500"/>
      <c r="P109" s="500"/>
      <c r="Q109" s="462"/>
      <c r="R109" s="462">
        <f t="shared" si="34"/>
        <v>6258</v>
      </c>
      <c r="S109" s="496"/>
      <c r="T109" s="83"/>
      <c r="U109" s="83"/>
      <c r="V109" s="118"/>
      <c r="W109" s="162"/>
      <c r="X109" s="146"/>
      <c r="Z109" s="114"/>
      <c r="AB109" s="103"/>
      <c r="AC109" s="103"/>
      <c r="AD109" s="103"/>
      <c r="AE109" s="103"/>
      <c r="AF109" s="103"/>
      <c r="AG109" s="103"/>
      <c r="AH109" s="365"/>
      <c r="AI109" s="365"/>
      <c r="AJ109" s="103"/>
      <c r="AK109" s="103"/>
      <c r="AL109" s="103"/>
      <c r="AM109" s="103"/>
      <c r="AN109" s="103"/>
      <c r="AO109" s="103"/>
      <c r="AP109" s="103"/>
      <c r="AQ109" s="103"/>
    </row>
    <row r="110" spans="1:43" s="79" customFormat="1" ht="75" x14ac:dyDescent="0.2">
      <c r="A110" s="538"/>
      <c r="B110" s="522" t="s">
        <v>227</v>
      </c>
      <c r="C110" s="539"/>
      <c r="D110" s="540"/>
      <c r="E110" s="541"/>
      <c r="F110" s="541"/>
      <c r="G110" s="526">
        <f>G111+G114+G117</f>
        <v>16964</v>
      </c>
      <c r="H110" s="526">
        <f t="shared" ref="H110:R110" si="35">H111+H114+H117</f>
        <v>4882</v>
      </c>
      <c r="I110" s="526">
        <f t="shared" si="35"/>
        <v>3840</v>
      </c>
      <c r="J110" s="526">
        <f t="shared" si="35"/>
        <v>2050</v>
      </c>
      <c r="K110" s="526">
        <f t="shared" si="35"/>
        <v>738.63</v>
      </c>
      <c r="L110" s="526">
        <f t="shared" si="35"/>
        <v>442.63</v>
      </c>
      <c r="M110" s="526">
        <f t="shared" si="35"/>
        <v>0</v>
      </c>
      <c r="N110" s="526">
        <f t="shared" si="35"/>
        <v>0</v>
      </c>
      <c r="O110" s="526">
        <f t="shared" si="35"/>
        <v>4882</v>
      </c>
      <c r="P110" s="526">
        <f t="shared" si="35"/>
        <v>0</v>
      </c>
      <c r="Q110" s="576"/>
      <c r="R110" s="526">
        <f t="shared" si="35"/>
        <v>4568.7000000000007</v>
      </c>
      <c r="S110" s="542"/>
      <c r="T110" s="83"/>
      <c r="U110" s="83"/>
      <c r="V110" s="118"/>
      <c r="X110" s="146"/>
      <c r="Z110" s="114"/>
      <c r="AB110" s="103"/>
      <c r="AC110" s="103"/>
      <c r="AD110" s="103"/>
      <c r="AE110" s="103"/>
      <c r="AF110" s="103"/>
      <c r="AG110" s="103"/>
      <c r="AH110" s="365"/>
      <c r="AI110" s="365"/>
      <c r="AJ110" s="103"/>
      <c r="AK110" s="103"/>
      <c r="AL110" s="103"/>
      <c r="AM110" s="103"/>
      <c r="AN110" s="103"/>
      <c r="AO110" s="103"/>
      <c r="AP110" s="103"/>
      <c r="AQ110" s="103"/>
    </row>
    <row r="111" spans="1:43" s="79" customFormat="1" ht="15" x14ac:dyDescent="0.2">
      <c r="A111" s="479" t="s">
        <v>28</v>
      </c>
      <c r="B111" s="480" t="s">
        <v>462</v>
      </c>
      <c r="C111" s="489"/>
      <c r="D111" s="461"/>
      <c r="E111" s="506"/>
      <c r="F111" s="490"/>
      <c r="G111" s="484">
        <f>SUM(G112:G113)</f>
        <v>5923</v>
      </c>
      <c r="H111" s="484">
        <f t="shared" ref="H111:R111" si="36">SUM(H112:H113)</f>
        <v>1782</v>
      </c>
      <c r="I111" s="484">
        <f t="shared" si="36"/>
        <v>3190</v>
      </c>
      <c r="J111" s="484">
        <f t="shared" si="36"/>
        <v>1400</v>
      </c>
      <c r="K111" s="484">
        <f t="shared" si="36"/>
        <v>0</v>
      </c>
      <c r="L111" s="484">
        <f t="shared" si="36"/>
        <v>0</v>
      </c>
      <c r="M111" s="484">
        <f t="shared" si="36"/>
        <v>0</v>
      </c>
      <c r="N111" s="484">
        <f t="shared" si="36"/>
        <v>0</v>
      </c>
      <c r="O111" s="484">
        <f t="shared" si="36"/>
        <v>1782</v>
      </c>
      <c r="P111" s="484">
        <f t="shared" si="36"/>
        <v>0</v>
      </c>
      <c r="Q111" s="577"/>
      <c r="R111" s="484">
        <f t="shared" si="36"/>
        <v>499</v>
      </c>
      <c r="S111" s="496"/>
      <c r="T111" s="83"/>
      <c r="U111" s="83"/>
      <c r="V111" s="118"/>
      <c r="X111" s="146"/>
      <c r="Z111" s="114"/>
      <c r="AB111" s="103"/>
      <c r="AC111" s="103"/>
      <c r="AD111" s="103"/>
      <c r="AE111" s="103"/>
      <c r="AF111" s="103"/>
      <c r="AG111" s="103"/>
      <c r="AH111" s="365"/>
      <c r="AI111" s="365"/>
      <c r="AJ111" s="103"/>
      <c r="AK111" s="103"/>
      <c r="AL111" s="103"/>
      <c r="AM111" s="103"/>
      <c r="AN111" s="103"/>
      <c r="AO111" s="103"/>
      <c r="AP111" s="103"/>
      <c r="AQ111" s="103"/>
    </row>
    <row r="112" spans="1:43" s="79" customFormat="1" ht="30" x14ac:dyDescent="0.2">
      <c r="A112" s="460">
        <v>1</v>
      </c>
      <c r="B112" s="456" t="s">
        <v>228</v>
      </c>
      <c r="C112" s="489" t="s">
        <v>145</v>
      </c>
      <c r="D112" s="461"/>
      <c r="E112" s="506" t="s">
        <v>179</v>
      </c>
      <c r="F112" s="558" t="s">
        <v>230</v>
      </c>
      <c r="G112" s="507">
        <v>2763</v>
      </c>
      <c r="H112" s="507">
        <v>850</v>
      </c>
      <c r="I112" s="463">
        <v>1780</v>
      </c>
      <c r="J112" s="463">
        <v>750</v>
      </c>
      <c r="K112" s="500">
        <f>L112</f>
        <v>0</v>
      </c>
      <c r="L112" s="500"/>
      <c r="M112" s="500"/>
      <c r="N112" s="500"/>
      <c r="O112" s="500">
        <v>850</v>
      </c>
      <c r="P112" s="500"/>
      <c r="Q112" s="462"/>
      <c r="R112" s="462">
        <f>G112-(O112+1700)</f>
        <v>213</v>
      </c>
      <c r="S112" s="496"/>
      <c r="T112" s="83"/>
      <c r="U112" s="83"/>
      <c r="V112" s="118" t="s">
        <v>122</v>
      </c>
      <c r="W112" s="133" t="s">
        <v>268</v>
      </c>
      <c r="X112" s="146"/>
      <c r="Z112" s="114"/>
      <c r="AB112" s="103"/>
      <c r="AC112" s="103"/>
      <c r="AD112" s="103"/>
      <c r="AE112" s="103"/>
      <c r="AF112" s="103"/>
      <c r="AG112" s="103"/>
      <c r="AH112" s="365">
        <f>H112-K112</f>
        <v>850</v>
      </c>
      <c r="AI112" s="365">
        <f>I112-L112</f>
        <v>1780</v>
      </c>
      <c r="AJ112" s="103"/>
      <c r="AK112" s="103"/>
      <c r="AL112" s="103"/>
      <c r="AM112" s="103"/>
      <c r="AN112" s="103"/>
      <c r="AO112" s="103"/>
      <c r="AP112" s="103"/>
      <c r="AQ112" s="103"/>
    </row>
    <row r="113" spans="1:43" s="79" customFormat="1" ht="30" x14ac:dyDescent="0.2">
      <c r="A113" s="460">
        <v>2</v>
      </c>
      <c r="B113" s="456" t="s">
        <v>229</v>
      </c>
      <c r="C113" s="489" t="s">
        <v>137</v>
      </c>
      <c r="D113" s="461"/>
      <c r="E113" s="506" t="s">
        <v>179</v>
      </c>
      <c r="F113" s="558" t="s">
        <v>231</v>
      </c>
      <c r="G113" s="507">
        <v>3160</v>
      </c>
      <c r="H113" s="507">
        <v>932</v>
      </c>
      <c r="I113" s="463">
        <v>1410</v>
      </c>
      <c r="J113" s="463">
        <v>650</v>
      </c>
      <c r="K113" s="500">
        <f>L113</f>
        <v>0</v>
      </c>
      <c r="L113" s="500"/>
      <c r="M113" s="500"/>
      <c r="N113" s="500"/>
      <c r="O113" s="500">
        <v>932</v>
      </c>
      <c r="P113" s="500"/>
      <c r="Q113" s="462"/>
      <c r="R113" s="462">
        <f>G113-(O113+1942)</f>
        <v>286</v>
      </c>
      <c r="S113" s="496"/>
      <c r="T113" s="83"/>
      <c r="U113" s="83"/>
      <c r="V113" s="118" t="s">
        <v>122</v>
      </c>
      <c r="W113" s="133" t="s">
        <v>268</v>
      </c>
      <c r="X113" s="146"/>
      <c r="Z113" s="114"/>
      <c r="AB113" s="103"/>
      <c r="AC113" s="103"/>
      <c r="AD113" s="103"/>
      <c r="AE113" s="103"/>
      <c r="AF113" s="103"/>
      <c r="AG113" s="103"/>
      <c r="AH113" s="365">
        <f>H113-K113</f>
        <v>932</v>
      </c>
      <c r="AI113" s="365">
        <f>I113-L113</f>
        <v>1410</v>
      </c>
      <c r="AJ113" s="103"/>
      <c r="AK113" s="103"/>
      <c r="AL113" s="103"/>
      <c r="AM113" s="103"/>
      <c r="AN113" s="103"/>
      <c r="AO113" s="103"/>
      <c r="AP113" s="103"/>
      <c r="AQ113" s="103"/>
    </row>
    <row r="114" spans="1:43" s="79" customFormat="1" ht="20.45" customHeight="1" x14ac:dyDescent="0.2">
      <c r="A114" s="479" t="s">
        <v>30</v>
      </c>
      <c r="B114" s="498" t="s">
        <v>463</v>
      </c>
      <c r="C114" s="489"/>
      <c r="D114" s="461"/>
      <c r="E114" s="506"/>
      <c r="F114" s="558"/>
      <c r="G114" s="484">
        <f>SUM(G115:G116)</f>
        <v>6429</v>
      </c>
      <c r="H114" s="484">
        <f t="shared" ref="H114:R114" si="37">SUM(H115:H116)</f>
        <v>3100</v>
      </c>
      <c r="I114" s="484">
        <f t="shared" si="37"/>
        <v>650</v>
      </c>
      <c r="J114" s="484">
        <f t="shared" si="37"/>
        <v>650</v>
      </c>
      <c r="K114" s="484">
        <f t="shared" si="37"/>
        <v>738.63</v>
      </c>
      <c r="L114" s="484">
        <f t="shared" si="37"/>
        <v>442.63</v>
      </c>
      <c r="M114" s="484">
        <f t="shared" si="37"/>
        <v>0</v>
      </c>
      <c r="N114" s="484">
        <f t="shared" si="37"/>
        <v>0</v>
      </c>
      <c r="O114" s="484">
        <f t="shared" si="37"/>
        <v>3100</v>
      </c>
      <c r="P114" s="484">
        <f t="shared" si="37"/>
        <v>0</v>
      </c>
      <c r="Q114" s="462"/>
      <c r="R114" s="484">
        <f t="shared" si="37"/>
        <v>2686.1000000000004</v>
      </c>
      <c r="S114" s="496"/>
      <c r="T114" s="83"/>
      <c r="U114" s="83"/>
      <c r="V114" s="118"/>
      <c r="W114" s="133"/>
      <c r="X114" s="146"/>
      <c r="Z114" s="114"/>
      <c r="AB114" s="103"/>
      <c r="AC114" s="103"/>
      <c r="AD114" s="103"/>
      <c r="AE114" s="103"/>
      <c r="AF114" s="103"/>
      <c r="AG114" s="103"/>
      <c r="AH114" s="365"/>
      <c r="AI114" s="365"/>
      <c r="AJ114" s="103"/>
      <c r="AK114" s="103"/>
      <c r="AL114" s="103"/>
      <c r="AM114" s="103"/>
      <c r="AN114" s="103"/>
      <c r="AO114" s="103"/>
      <c r="AP114" s="103"/>
      <c r="AQ114" s="103"/>
    </row>
    <row r="115" spans="1:43" s="79" customFormat="1" ht="165" x14ac:dyDescent="0.2">
      <c r="A115" s="536" t="s">
        <v>458</v>
      </c>
      <c r="B115" s="513" t="s">
        <v>507</v>
      </c>
      <c r="C115" s="563" t="s">
        <v>166</v>
      </c>
      <c r="D115" s="491" t="s">
        <v>508</v>
      </c>
      <c r="E115" s="563" t="s">
        <v>466</v>
      </c>
      <c r="F115" s="537" t="s">
        <v>509</v>
      </c>
      <c r="G115" s="507">
        <v>2276</v>
      </c>
      <c r="H115" s="507">
        <v>1100</v>
      </c>
      <c r="I115" s="463">
        <v>450</v>
      </c>
      <c r="J115" s="463">
        <v>450</v>
      </c>
      <c r="K115" s="500">
        <v>353</v>
      </c>
      <c r="L115" s="500">
        <v>57</v>
      </c>
      <c r="M115" s="500"/>
      <c r="N115" s="500"/>
      <c r="O115" s="500">
        <v>1100</v>
      </c>
      <c r="P115" s="500"/>
      <c r="Q115" s="462"/>
      <c r="R115" s="462">
        <f>G115*90%-O115</f>
        <v>948.40000000000009</v>
      </c>
      <c r="S115" s="496"/>
      <c r="T115" s="83"/>
      <c r="U115" s="83"/>
      <c r="V115" s="118" t="s">
        <v>123</v>
      </c>
      <c r="W115" s="133" t="s">
        <v>268</v>
      </c>
      <c r="X115" s="146"/>
      <c r="Z115" s="114"/>
      <c r="AB115" s="103"/>
      <c r="AC115" s="103"/>
      <c r="AD115" s="103"/>
      <c r="AE115" s="103"/>
      <c r="AF115" s="103"/>
      <c r="AG115" s="103"/>
      <c r="AH115" s="365"/>
      <c r="AI115" s="365"/>
      <c r="AJ115" s="103"/>
      <c r="AK115" s="103"/>
      <c r="AL115" s="103"/>
      <c r="AM115" s="103"/>
      <c r="AN115" s="103"/>
      <c r="AO115" s="103"/>
      <c r="AP115" s="103"/>
      <c r="AQ115" s="103"/>
    </row>
    <row r="116" spans="1:43" s="79" customFormat="1" ht="60" x14ac:dyDescent="0.2">
      <c r="A116" s="536" t="s">
        <v>468</v>
      </c>
      <c r="B116" s="513" t="s">
        <v>510</v>
      </c>
      <c r="C116" s="563" t="s">
        <v>225</v>
      </c>
      <c r="D116" s="491" t="s">
        <v>511</v>
      </c>
      <c r="E116" s="563" t="s">
        <v>466</v>
      </c>
      <c r="F116" s="537" t="s">
        <v>512</v>
      </c>
      <c r="G116" s="507">
        <v>4153</v>
      </c>
      <c r="H116" s="507">
        <v>2000</v>
      </c>
      <c r="I116" s="463">
        <v>200</v>
      </c>
      <c r="J116" s="463">
        <v>200</v>
      </c>
      <c r="K116" s="500">
        <v>385.63</v>
      </c>
      <c r="L116" s="500">
        <v>385.63</v>
      </c>
      <c r="M116" s="500"/>
      <c r="N116" s="500"/>
      <c r="O116" s="500">
        <v>2000</v>
      </c>
      <c r="P116" s="500"/>
      <c r="Q116" s="462"/>
      <c r="R116" s="462">
        <f>G116*90%-O116</f>
        <v>1737.7000000000003</v>
      </c>
      <c r="S116" s="496"/>
      <c r="T116" s="83"/>
      <c r="U116" s="83"/>
      <c r="V116" s="118" t="s">
        <v>123</v>
      </c>
      <c r="W116" s="133" t="s">
        <v>268</v>
      </c>
      <c r="X116" s="146"/>
      <c r="Z116" s="114"/>
      <c r="AB116" s="103"/>
      <c r="AC116" s="103"/>
      <c r="AD116" s="103"/>
      <c r="AE116" s="103"/>
      <c r="AF116" s="103"/>
      <c r="AG116" s="103"/>
      <c r="AH116" s="365"/>
      <c r="AI116" s="365"/>
      <c r="AJ116" s="103"/>
      <c r="AK116" s="103"/>
      <c r="AL116" s="103"/>
      <c r="AM116" s="103"/>
      <c r="AN116" s="103"/>
      <c r="AO116" s="103"/>
      <c r="AP116" s="103"/>
      <c r="AQ116" s="103"/>
    </row>
    <row r="117" spans="1:43" s="79" customFormat="1" ht="15" x14ac:dyDescent="0.2">
      <c r="A117" s="479" t="s">
        <v>32</v>
      </c>
      <c r="B117" s="498" t="s">
        <v>583</v>
      </c>
      <c r="C117" s="563"/>
      <c r="D117" s="491"/>
      <c r="E117" s="563"/>
      <c r="F117" s="537"/>
      <c r="G117" s="484">
        <f>SUM(G118:G119)</f>
        <v>4612</v>
      </c>
      <c r="H117" s="484">
        <f t="shared" ref="H117:R117" si="38">SUM(H118:H119)</f>
        <v>0</v>
      </c>
      <c r="I117" s="484">
        <f t="shared" si="38"/>
        <v>0</v>
      </c>
      <c r="J117" s="484">
        <f t="shared" si="38"/>
        <v>0</v>
      </c>
      <c r="K117" s="484">
        <f t="shared" si="38"/>
        <v>0</v>
      </c>
      <c r="L117" s="484">
        <f t="shared" si="38"/>
        <v>0</v>
      </c>
      <c r="M117" s="484">
        <f t="shared" si="38"/>
        <v>0</v>
      </c>
      <c r="N117" s="484">
        <f t="shared" si="38"/>
        <v>0</v>
      </c>
      <c r="O117" s="484">
        <f t="shared" si="38"/>
        <v>0</v>
      </c>
      <c r="P117" s="484">
        <f t="shared" si="38"/>
        <v>0</v>
      </c>
      <c r="Q117" s="462"/>
      <c r="R117" s="484">
        <f t="shared" si="38"/>
        <v>1383.6</v>
      </c>
      <c r="S117" s="496"/>
      <c r="T117" s="83"/>
      <c r="U117" s="83"/>
      <c r="V117" s="118"/>
      <c r="W117" s="133"/>
      <c r="X117" s="146"/>
      <c r="Z117" s="114"/>
      <c r="AB117" s="103"/>
      <c r="AC117" s="103"/>
      <c r="AD117" s="103"/>
      <c r="AE117" s="103"/>
      <c r="AF117" s="103"/>
      <c r="AG117" s="103"/>
      <c r="AH117" s="365"/>
      <c r="AI117" s="365"/>
      <c r="AJ117" s="103"/>
      <c r="AK117" s="103"/>
      <c r="AL117" s="103"/>
      <c r="AM117" s="103"/>
      <c r="AN117" s="103"/>
      <c r="AO117" s="103"/>
      <c r="AP117" s="103"/>
      <c r="AQ117" s="103"/>
    </row>
    <row r="118" spans="1:43" s="79" customFormat="1" ht="127.5" x14ac:dyDescent="0.2">
      <c r="A118" s="536" t="s">
        <v>458</v>
      </c>
      <c r="B118" s="578" t="s">
        <v>628</v>
      </c>
      <c r="C118" s="520" t="s">
        <v>144</v>
      </c>
      <c r="D118" s="503" t="s">
        <v>629</v>
      </c>
      <c r="E118" s="563" t="s">
        <v>605</v>
      </c>
      <c r="F118" s="537"/>
      <c r="G118" s="507">
        <v>2478</v>
      </c>
      <c r="H118" s="507"/>
      <c r="I118" s="463"/>
      <c r="J118" s="463"/>
      <c r="K118" s="500"/>
      <c r="L118" s="500"/>
      <c r="M118" s="500"/>
      <c r="N118" s="500"/>
      <c r="O118" s="500"/>
      <c r="P118" s="500"/>
      <c r="Q118" s="462"/>
      <c r="R118" s="462">
        <f>G118*30%</f>
        <v>743.4</v>
      </c>
      <c r="S118" s="496"/>
      <c r="T118" s="83"/>
      <c r="U118" s="83"/>
      <c r="V118" s="118"/>
      <c r="W118" s="133"/>
      <c r="X118" s="146"/>
      <c r="Z118" s="114"/>
      <c r="AB118" s="103"/>
      <c r="AC118" s="103"/>
      <c r="AD118" s="103"/>
      <c r="AE118" s="103"/>
      <c r="AF118" s="103"/>
      <c r="AG118" s="103"/>
      <c r="AH118" s="365"/>
      <c r="AI118" s="365"/>
      <c r="AJ118" s="103"/>
      <c r="AK118" s="103"/>
      <c r="AL118" s="103"/>
      <c r="AM118" s="103"/>
      <c r="AN118" s="103"/>
      <c r="AO118" s="103"/>
      <c r="AP118" s="103"/>
      <c r="AQ118" s="103"/>
    </row>
    <row r="119" spans="1:43" s="79" customFormat="1" ht="102" x14ac:dyDescent="0.2">
      <c r="A119" s="536" t="s">
        <v>468</v>
      </c>
      <c r="B119" s="578" t="s">
        <v>630</v>
      </c>
      <c r="C119" s="520" t="s">
        <v>328</v>
      </c>
      <c r="D119" s="503" t="s">
        <v>631</v>
      </c>
      <c r="E119" s="563" t="s">
        <v>605</v>
      </c>
      <c r="F119" s="537"/>
      <c r="G119" s="507">
        <v>2134</v>
      </c>
      <c r="H119" s="507"/>
      <c r="I119" s="463"/>
      <c r="J119" s="463"/>
      <c r="K119" s="500"/>
      <c r="L119" s="500"/>
      <c r="M119" s="500"/>
      <c r="N119" s="500"/>
      <c r="O119" s="500"/>
      <c r="P119" s="500"/>
      <c r="Q119" s="462"/>
      <c r="R119" s="462">
        <f>G119*30%</f>
        <v>640.19999999999993</v>
      </c>
      <c r="S119" s="496"/>
      <c r="T119" s="83"/>
      <c r="U119" s="83"/>
      <c r="V119" s="118"/>
      <c r="W119" s="133"/>
      <c r="X119" s="146"/>
      <c r="Z119" s="114"/>
      <c r="AB119" s="103"/>
      <c r="AC119" s="103"/>
      <c r="AD119" s="103"/>
      <c r="AE119" s="103"/>
      <c r="AF119" s="103"/>
      <c r="AG119" s="103"/>
      <c r="AH119" s="365"/>
      <c r="AI119" s="365"/>
      <c r="AJ119" s="103"/>
      <c r="AK119" s="103"/>
      <c r="AL119" s="103"/>
      <c r="AM119" s="103"/>
      <c r="AN119" s="103"/>
      <c r="AO119" s="103"/>
      <c r="AP119" s="103"/>
      <c r="AQ119" s="103"/>
    </row>
    <row r="120" spans="1:43" s="84" customFormat="1" ht="45" x14ac:dyDescent="0.2">
      <c r="A120" s="521"/>
      <c r="B120" s="522" t="s">
        <v>232</v>
      </c>
      <c r="C120" s="523"/>
      <c r="D120" s="524"/>
      <c r="E120" s="525"/>
      <c r="F120" s="525"/>
      <c r="G120" s="526">
        <f>G121+G136+G143+G144</f>
        <v>6580</v>
      </c>
      <c r="H120" s="526">
        <f t="shared" ref="H120:R120" si="39">H121+H136+H143+H144</f>
        <v>3844</v>
      </c>
      <c r="I120" s="526">
        <f t="shared" si="39"/>
        <v>1580</v>
      </c>
      <c r="J120" s="526">
        <f t="shared" si="39"/>
        <v>777</v>
      </c>
      <c r="K120" s="526">
        <f t="shared" si="39"/>
        <v>70</v>
      </c>
      <c r="L120" s="526">
        <f t="shared" si="39"/>
        <v>70</v>
      </c>
      <c r="M120" s="526">
        <f t="shared" si="39"/>
        <v>0</v>
      </c>
      <c r="N120" s="526">
        <f t="shared" si="39"/>
        <v>0</v>
      </c>
      <c r="O120" s="526">
        <f t="shared" si="39"/>
        <v>3844</v>
      </c>
      <c r="P120" s="526">
        <f t="shared" si="39"/>
        <v>0</v>
      </c>
      <c r="Q120" s="579"/>
      <c r="R120" s="526">
        <f t="shared" si="39"/>
        <v>710</v>
      </c>
      <c r="S120" s="528"/>
      <c r="T120" s="129"/>
      <c r="U120" s="129"/>
      <c r="V120" s="119"/>
      <c r="X120" s="150"/>
      <c r="Z120" s="151"/>
      <c r="AB120" s="112"/>
      <c r="AC120" s="112"/>
      <c r="AD120" s="112"/>
      <c r="AE120" s="112"/>
      <c r="AF120" s="112"/>
      <c r="AG120" s="112"/>
      <c r="AH120" s="365">
        <f>H120-K120</f>
        <v>3774</v>
      </c>
      <c r="AI120" s="365">
        <f>I120-L120</f>
        <v>1510</v>
      </c>
      <c r="AJ120" s="112"/>
      <c r="AK120" s="112"/>
      <c r="AL120" s="112"/>
      <c r="AM120" s="112"/>
      <c r="AN120" s="112"/>
      <c r="AO120" s="112"/>
      <c r="AP120" s="112"/>
      <c r="AQ120" s="112"/>
    </row>
    <row r="121" spans="1:43" s="84" customFormat="1" ht="21" customHeight="1" x14ac:dyDescent="0.2">
      <c r="A121" s="479" t="s">
        <v>28</v>
      </c>
      <c r="B121" s="480" t="s">
        <v>462</v>
      </c>
      <c r="C121" s="530"/>
      <c r="D121" s="580"/>
      <c r="E121" s="532"/>
      <c r="F121" s="581"/>
      <c r="G121" s="484">
        <f>G122</f>
        <v>4180</v>
      </c>
      <c r="H121" s="484">
        <f t="shared" ref="H121:R121" si="40">H122</f>
        <v>838</v>
      </c>
      <c r="I121" s="484">
        <f t="shared" si="40"/>
        <v>1460</v>
      </c>
      <c r="J121" s="484">
        <f t="shared" si="40"/>
        <v>657</v>
      </c>
      <c r="K121" s="484">
        <f t="shared" si="40"/>
        <v>70</v>
      </c>
      <c r="L121" s="484">
        <f t="shared" si="40"/>
        <v>70</v>
      </c>
      <c r="M121" s="484">
        <f t="shared" si="40"/>
        <v>0</v>
      </c>
      <c r="N121" s="484">
        <f t="shared" si="40"/>
        <v>0</v>
      </c>
      <c r="O121" s="484">
        <f t="shared" si="40"/>
        <v>838</v>
      </c>
      <c r="P121" s="484">
        <f t="shared" si="40"/>
        <v>0</v>
      </c>
      <c r="Q121" s="582"/>
      <c r="R121" s="484">
        <f t="shared" si="40"/>
        <v>0</v>
      </c>
      <c r="S121" s="583"/>
      <c r="T121" s="129"/>
      <c r="U121" s="129"/>
      <c r="V121" s="119"/>
      <c r="X121" s="150"/>
      <c r="Z121" s="151"/>
      <c r="AB121" s="112"/>
      <c r="AC121" s="112"/>
      <c r="AD121" s="112"/>
      <c r="AE121" s="112"/>
      <c r="AF121" s="112"/>
      <c r="AG121" s="112"/>
      <c r="AH121" s="365"/>
      <c r="AI121" s="365"/>
      <c r="AJ121" s="112"/>
      <c r="AK121" s="112"/>
      <c r="AL121" s="112"/>
      <c r="AM121" s="112"/>
      <c r="AN121" s="112"/>
      <c r="AO121" s="112"/>
      <c r="AP121" s="112"/>
      <c r="AQ121" s="112"/>
    </row>
    <row r="122" spans="1:43" s="79" customFormat="1" ht="30" x14ac:dyDescent="0.2">
      <c r="A122" s="584" t="s">
        <v>367</v>
      </c>
      <c r="B122" s="513" t="s">
        <v>233</v>
      </c>
      <c r="C122" s="489"/>
      <c r="D122" s="461"/>
      <c r="E122" s="506"/>
      <c r="F122" s="490"/>
      <c r="G122" s="507">
        <f>SUM(G123:G135)</f>
        <v>4180</v>
      </c>
      <c r="H122" s="507">
        <f t="shared" ref="H122:R122" si="41">SUM(H123:H135)</f>
        <v>838</v>
      </c>
      <c r="I122" s="507">
        <f t="shared" si="41"/>
        <v>1460</v>
      </c>
      <c r="J122" s="507">
        <f t="shared" si="41"/>
        <v>657</v>
      </c>
      <c r="K122" s="507">
        <f t="shared" si="41"/>
        <v>70</v>
      </c>
      <c r="L122" s="507">
        <f t="shared" si="41"/>
        <v>70</v>
      </c>
      <c r="M122" s="507">
        <f t="shared" si="41"/>
        <v>0</v>
      </c>
      <c r="N122" s="507">
        <f t="shared" si="41"/>
        <v>0</v>
      </c>
      <c r="O122" s="507">
        <f t="shared" si="41"/>
        <v>838</v>
      </c>
      <c r="P122" s="507">
        <f t="shared" si="41"/>
        <v>0</v>
      </c>
      <c r="Q122" s="462"/>
      <c r="R122" s="507">
        <f t="shared" si="41"/>
        <v>0</v>
      </c>
      <c r="S122" s="496"/>
      <c r="T122" s="83"/>
      <c r="U122" s="83"/>
      <c r="V122" s="118"/>
      <c r="X122" s="146"/>
      <c r="Z122" s="114"/>
      <c r="AB122" s="103"/>
      <c r="AC122" s="103"/>
      <c r="AD122" s="103"/>
      <c r="AE122" s="103"/>
      <c r="AF122" s="103"/>
      <c r="AG122" s="103"/>
      <c r="AH122" s="365">
        <f t="shared" ref="AH122:AI135" si="42">H122-K122</f>
        <v>768</v>
      </c>
      <c r="AI122" s="365">
        <f t="shared" si="42"/>
        <v>1390</v>
      </c>
      <c r="AJ122" s="103"/>
      <c r="AK122" s="103"/>
      <c r="AL122" s="103"/>
      <c r="AM122" s="103"/>
      <c r="AN122" s="103"/>
      <c r="AO122" s="103"/>
      <c r="AP122" s="103"/>
      <c r="AQ122" s="103"/>
    </row>
    <row r="123" spans="1:43" s="79" customFormat="1" ht="30" x14ac:dyDescent="0.2">
      <c r="A123" s="460">
        <v>1</v>
      </c>
      <c r="B123" s="513" t="s">
        <v>354</v>
      </c>
      <c r="C123" s="535" t="s">
        <v>368</v>
      </c>
      <c r="D123" s="558" t="s">
        <v>372</v>
      </c>
      <c r="E123" s="506" t="s">
        <v>167</v>
      </c>
      <c r="F123" s="585" t="s">
        <v>374</v>
      </c>
      <c r="G123" s="507">
        <v>330</v>
      </c>
      <c r="H123" s="507">
        <v>35</v>
      </c>
      <c r="I123" s="463">
        <f>66+J123</f>
        <v>111</v>
      </c>
      <c r="J123" s="494">
        <v>45</v>
      </c>
      <c r="K123" s="500">
        <f t="shared" ref="K123:K142" si="43">L123</f>
        <v>0</v>
      </c>
      <c r="L123" s="462"/>
      <c r="M123" s="462"/>
      <c r="N123" s="462"/>
      <c r="O123" s="462">
        <v>35</v>
      </c>
      <c r="P123" s="462"/>
      <c r="Q123" s="462"/>
      <c r="R123" s="462">
        <f>285-(O123+250)</f>
        <v>0</v>
      </c>
      <c r="S123" s="496"/>
      <c r="T123" s="83"/>
      <c r="U123" s="83"/>
      <c r="V123" s="118" t="s">
        <v>122</v>
      </c>
      <c r="W123" s="152" t="s">
        <v>269</v>
      </c>
      <c r="X123" s="146"/>
      <c r="Z123" s="114"/>
      <c r="AB123" s="103"/>
      <c r="AC123" s="103"/>
      <c r="AD123" s="103"/>
      <c r="AE123" s="103"/>
      <c r="AF123" s="103"/>
      <c r="AG123" s="103"/>
      <c r="AH123" s="365">
        <f t="shared" si="42"/>
        <v>35</v>
      </c>
      <c r="AI123" s="365">
        <f t="shared" si="42"/>
        <v>111</v>
      </c>
      <c r="AJ123" s="103"/>
      <c r="AK123" s="103"/>
      <c r="AL123" s="103"/>
      <c r="AM123" s="103"/>
      <c r="AN123" s="103"/>
      <c r="AO123" s="103"/>
      <c r="AP123" s="103"/>
      <c r="AQ123" s="103"/>
    </row>
    <row r="124" spans="1:43" s="79" customFormat="1" ht="30" x14ac:dyDescent="0.2">
      <c r="A124" s="460">
        <v>2</v>
      </c>
      <c r="B124" s="513" t="s">
        <v>355</v>
      </c>
      <c r="C124" s="535" t="s">
        <v>368</v>
      </c>
      <c r="D124" s="558" t="s">
        <v>372</v>
      </c>
      <c r="E124" s="506" t="s">
        <v>167</v>
      </c>
      <c r="F124" s="585" t="s">
        <v>375</v>
      </c>
      <c r="G124" s="507">
        <v>330</v>
      </c>
      <c r="H124" s="507">
        <v>35</v>
      </c>
      <c r="I124" s="463">
        <f>40+J124</f>
        <v>107</v>
      </c>
      <c r="J124" s="494">
        <v>67</v>
      </c>
      <c r="K124" s="500">
        <f t="shared" si="43"/>
        <v>0</v>
      </c>
      <c r="L124" s="462"/>
      <c r="M124" s="462"/>
      <c r="N124" s="462"/>
      <c r="O124" s="462">
        <v>35</v>
      </c>
      <c r="P124" s="462"/>
      <c r="Q124" s="462"/>
      <c r="R124" s="462">
        <f>285-(O124+250)</f>
        <v>0</v>
      </c>
      <c r="S124" s="496"/>
      <c r="T124" s="83"/>
      <c r="U124" s="83"/>
      <c r="V124" s="118" t="s">
        <v>122</v>
      </c>
      <c r="W124" s="152" t="s">
        <v>269</v>
      </c>
      <c r="X124" s="146"/>
      <c r="Z124" s="114"/>
      <c r="AB124" s="103"/>
      <c r="AC124" s="103"/>
      <c r="AD124" s="103"/>
      <c r="AE124" s="103"/>
      <c r="AF124" s="103"/>
      <c r="AG124" s="103"/>
      <c r="AH124" s="365">
        <f t="shared" si="42"/>
        <v>35</v>
      </c>
      <c r="AI124" s="365">
        <f t="shared" si="42"/>
        <v>107</v>
      </c>
      <c r="AJ124" s="103"/>
      <c r="AK124" s="103"/>
      <c r="AL124" s="103"/>
      <c r="AM124" s="103"/>
      <c r="AN124" s="103"/>
      <c r="AO124" s="103"/>
      <c r="AP124" s="103"/>
      <c r="AQ124" s="103"/>
    </row>
    <row r="125" spans="1:43" s="79" customFormat="1" ht="30" x14ac:dyDescent="0.2">
      <c r="A125" s="460">
        <v>3</v>
      </c>
      <c r="B125" s="513" t="s">
        <v>356</v>
      </c>
      <c r="C125" s="535" t="s">
        <v>368</v>
      </c>
      <c r="D125" s="558" t="s">
        <v>372</v>
      </c>
      <c r="E125" s="506" t="s">
        <v>167</v>
      </c>
      <c r="F125" s="585" t="s">
        <v>376</v>
      </c>
      <c r="G125" s="507">
        <v>330</v>
      </c>
      <c r="H125" s="507">
        <v>85</v>
      </c>
      <c r="I125" s="463">
        <f>83+J125</f>
        <v>108</v>
      </c>
      <c r="J125" s="494">
        <v>25</v>
      </c>
      <c r="K125" s="500">
        <f t="shared" si="43"/>
        <v>0</v>
      </c>
      <c r="L125" s="462"/>
      <c r="M125" s="462"/>
      <c r="N125" s="462"/>
      <c r="O125" s="462">
        <v>85</v>
      </c>
      <c r="P125" s="462"/>
      <c r="Q125" s="462"/>
      <c r="R125" s="462">
        <f>285-(O125+200)</f>
        <v>0</v>
      </c>
      <c r="S125" s="496"/>
      <c r="T125" s="83"/>
      <c r="U125" s="83"/>
      <c r="V125" s="118" t="s">
        <v>122</v>
      </c>
      <c r="W125" s="152" t="s">
        <v>269</v>
      </c>
      <c r="X125" s="146"/>
      <c r="Z125" s="114"/>
      <c r="AB125" s="103"/>
      <c r="AC125" s="103"/>
      <c r="AD125" s="103"/>
      <c r="AE125" s="103"/>
      <c r="AF125" s="103"/>
      <c r="AG125" s="103"/>
      <c r="AH125" s="365">
        <f t="shared" si="42"/>
        <v>85</v>
      </c>
      <c r="AI125" s="365">
        <f t="shared" si="42"/>
        <v>108</v>
      </c>
      <c r="AJ125" s="103"/>
      <c r="AK125" s="103"/>
      <c r="AL125" s="103"/>
      <c r="AM125" s="103"/>
      <c r="AN125" s="103"/>
      <c r="AO125" s="103"/>
      <c r="AP125" s="103"/>
      <c r="AQ125" s="103"/>
    </row>
    <row r="126" spans="1:43" s="79" customFormat="1" ht="30" x14ac:dyDescent="0.2">
      <c r="A126" s="460">
        <v>4</v>
      </c>
      <c r="B126" s="513" t="s">
        <v>357</v>
      </c>
      <c r="C126" s="586" t="s">
        <v>369</v>
      </c>
      <c r="D126" s="558" t="s">
        <v>372</v>
      </c>
      <c r="E126" s="506" t="s">
        <v>167</v>
      </c>
      <c r="F126" s="585" t="s">
        <v>377</v>
      </c>
      <c r="G126" s="507">
        <v>300</v>
      </c>
      <c r="H126" s="507">
        <v>85</v>
      </c>
      <c r="I126" s="463">
        <f>45+J126</f>
        <v>100</v>
      </c>
      <c r="J126" s="494">
        <v>55</v>
      </c>
      <c r="K126" s="500">
        <f t="shared" si="43"/>
        <v>0</v>
      </c>
      <c r="L126" s="462"/>
      <c r="M126" s="462"/>
      <c r="N126" s="462"/>
      <c r="O126" s="462">
        <v>85</v>
      </c>
      <c r="P126" s="462"/>
      <c r="Q126" s="462"/>
      <c r="R126" s="462">
        <f>285-(O126+200)</f>
        <v>0</v>
      </c>
      <c r="S126" s="496"/>
      <c r="T126" s="83"/>
      <c r="U126" s="83"/>
      <c r="V126" s="118" t="s">
        <v>122</v>
      </c>
      <c r="W126" s="152" t="s">
        <v>280</v>
      </c>
      <c r="X126" s="146"/>
      <c r="Z126" s="114"/>
      <c r="AB126" s="103"/>
      <c r="AC126" s="103"/>
      <c r="AD126" s="103"/>
      <c r="AE126" s="103"/>
      <c r="AF126" s="103"/>
      <c r="AG126" s="103"/>
      <c r="AH126" s="365">
        <f t="shared" si="42"/>
        <v>85</v>
      </c>
      <c r="AI126" s="365">
        <f t="shared" si="42"/>
        <v>100</v>
      </c>
      <c r="AJ126" s="103"/>
      <c r="AK126" s="103"/>
      <c r="AL126" s="103"/>
      <c r="AM126" s="103"/>
      <c r="AN126" s="103"/>
      <c r="AO126" s="103"/>
      <c r="AP126" s="103"/>
      <c r="AQ126" s="103"/>
    </row>
    <row r="127" spans="1:43" s="79" customFormat="1" ht="30" x14ac:dyDescent="0.2">
      <c r="A127" s="460">
        <v>5</v>
      </c>
      <c r="B127" s="513" t="s">
        <v>358</v>
      </c>
      <c r="C127" s="586" t="s">
        <v>369</v>
      </c>
      <c r="D127" s="558" t="s">
        <v>372</v>
      </c>
      <c r="E127" s="506" t="s">
        <v>167</v>
      </c>
      <c r="F127" s="585" t="s">
        <v>378</v>
      </c>
      <c r="G127" s="507">
        <v>300</v>
      </c>
      <c r="H127" s="507">
        <v>85</v>
      </c>
      <c r="I127" s="463">
        <f>66+J127</f>
        <v>141</v>
      </c>
      <c r="J127" s="494">
        <v>75</v>
      </c>
      <c r="K127" s="500">
        <f t="shared" si="43"/>
        <v>0</v>
      </c>
      <c r="L127" s="462"/>
      <c r="M127" s="462"/>
      <c r="N127" s="462"/>
      <c r="O127" s="462">
        <v>85</v>
      </c>
      <c r="P127" s="462"/>
      <c r="Q127" s="462"/>
      <c r="R127" s="462">
        <f>285-(O127+200)</f>
        <v>0</v>
      </c>
      <c r="S127" s="496"/>
      <c r="T127" s="83"/>
      <c r="U127" s="83"/>
      <c r="V127" s="118" t="s">
        <v>122</v>
      </c>
      <c r="W127" s="152" t="s">
        <v>280</v>
      </c>
      <c r="X127" s="146"/>
      <c r="Z127" s="114"/>
      <c r="AB127" s="103"/>
      <c r="AC127" s="103"/>
      <c r="AD127" s="103"/>
      <c r="AE127" s="103"/>
      <c r="AF127" s="103"/>
      <c r="AG127" s="103"/>
      <c r="AH127" s="365">
        <f t="shared" si="42"/>
        <v>85</v>
      </c>
      <c r="AI127" s="365">
        <f t="shared" si="42"/>
        <v>141</v>
      </c>
      <c r="AJ127" s="103"/>
      <c r="AK127" s="103"/>
      <c r="AL127" s="103"/>
      <c r="AM127" s="103"/>
      <c r="AN127" s="103"/>
      <c r="AO127" s="103"/>
      <c r="AP127" s="103"/>
      <c r="AQ127" s="103"/>
    </row>
    <row r="128" spans="1:43" s="79" customFormat="1" ht="30" x14ac:dyDescent="0.2">
      <c r="A128" s="460">
        <v>6</v>
      </c>
      <c r="B128" s="513" t="s">
        <v>359</v>
      </c>
      <c r="C128" s="506" t="s">
        <v>257</v>
      </c>
      <c r="D128" s="558" t="s">
        <v>372</v>
      </c>
      <c r="E128" s="506" t="s">
        <v>167</v>
      </c>
      <c r="F128" s="585" t="s">
        <v>379</v>
      </c>
      <c r="G128" s="507">
        <v>330</v>
      </c>
      <c r="H128" s="507">
        <v>35</v>
      </c>
      <c r="I128" s="463">
        <f>83+J128</f>
        <v>131</v>
      </c>
      <c r="J128" s="494">
        <v>48</v>
      </c>
      <c r="K128" s="500">
        <f t="shared" si="43"/>
        <v>0</v>
      </c>
      <c r="L128" s="462"/>
      <c r="M128" s="462"/>
      <c r="N128" s="462"/>
      <c r="O128" s="462">
        <v>35</v>
      </c>
      <c r="P128" s="462"/>
      <c r="Q128" s="462"/>
      <c r="R128" s="462">
        <f>285-(O128+250)</f>
        <v>0</v>
      </c>
      <c r="S128" s="496"/>
      <c r="T128" s="83"/>
      <c r="U128" s="83"/>
      <c r="V128" s="118" t="s">
        <v>122</v>
      </c>
      <c r="W128" s="152" t="s">
        <v>271</v>
      </c>
      <c r="X128" s="146"/>
      <c r="Z128" s="114"/>
      <c r="AB128" s="103"/>
      <c r="AC128" s="103"/>
      <c r="AD128" s="103"/>
      <c r="AE128" s="103"/>
      <c r="AF128" s="103"/>
      <c r="AG128" s="103"/>
      <c r="AH128" s="365">
        <f t="shared" si="42"/>
        <v>35</v>
      </c>
      <c r="AI128" s="365">
        <f t="shared" si="42"/>
        <v>131</v>
      </c>
      <c r="AJ128" s="103"/>
      <c r="AK128" s="103"/>
      <c r="AL128" s="103"/>
      <c r="AM128" s="103"/>
      <c r="AN128" s="103"/>
      <c r="AO128" s="103"/>
      <c r="AP128" s="103"/>
      <c r="AQ128" s="103"/>
    </row>
    <row r="129" spans="1:43" s="79" customFormat="1" ht="30" x14ac:dyDescent="0.2">
      <c r="A129" s="460">
        <v>7</v>
      </c>
      <c r="B129" s="513" t="s">
        <v>360</v>
      </c>
      <c r="C129" s="506" t="s">
        <v>257</v>
      </c>
      <c r="D129" s="558" t="s">
        <v>372</v>
      </c>
      <c r="E129" s="506" t="s">
        <v>167</v>
      </c>
      <c r="F129" s="585" t="s">
        <v>380</v>
      </c>
      <c r="G129" s="507">
        <v>330</v>
      </c>
      <c r="H129" s="507">
        <v>35</v>
      </c>
      <c r="I129" s="463">
        <f>82+J129</f>
        <v>117</v>
      </c>
      <c r="J129" s="494">
        <v>35</v>
      </c>
      <c r="K129" s="500">
        <f t="shared" si="43"/>
        <v>0</v>
      </c>
      <c r="L129" s="462"/>
      <c r="M129" s="462"/>
      <c r="N129" s="462"/>
      <c r="O129" s="462">
        <v>35</v>
      </c>
      <c r="P129" s="462"/>
      <c r="Q129" s="462"/>
      <c r="R129" s="462">
        <f>285-(O129+250)</f>
        <v>0</v>
      </c>
      <c r="S129" s="496"/>
      <c r="T129" s="83"/>
      <c r="U129" s="83"/>
      <c r="V129" s="118" t="s">
        <v>122</v>
      </c>
      <c r="W129" s="152" t="s">
        <v>271</v>
      </c>
      <c r="X129" s="146"/>
      <c r="Z129" s="114"/>
      <c r="AB129" s="103"/>
      <c r="AC129" s="103"/>
      <c r="AD129" s="103"/>
      <c r="AE129" s="103"/>
      <c r="AF129" s="103"/>
      <c r="AG129" s="103"/>
      <c r="AH129" s="365">
        <f t="shared" si="42"/>
        <v>35</v>
      </c>
      <c r="AI129" s="365">
        <f t="shared" si="42"/>
        <v>117</v>
      </c>
      <c r="AJ129" s="103"/>
      <c r="AK129" s="103"/>
      <c r="AL129" s="103"/>
      <c r="AM129" s="103"/>
      <c r="AN129" s="103"/>
      <c r="AO129" s="103"/>
      <c r="AP129" s="103"/>
      <c r="AQ129" s="103"/>
    </row>
    <row r="130" spans="1:43" s="79" customFormat="1" ht="30" x14ac:dyDescent="0.2">
      <c r="A130" s="460">
        <v>8</v>
      </c>
      <c r="B130" s="513" t="s">
        <v>361</v>
      </c>
      <c r="C130" s="506" t="s">
        <v>257</v>
      </c>
      <c r="D130" s="558" t="s">
        <v>372</v>
      </c>
      <c r="E130" s="506" t="s">
        <v>167</v>
      </c>
      <c r="F130" s="585" t="s">
        <v>381</v>
      </c>
      <c r="G130" s="507">
        <v>330</v>
      </c>
      <c r="H130" s="507">
        <v>85</v>
      </c>
      <c r="I130" s="463">
        <f>45+J130</f>
        <v>101</v>
      </c>
      <c r="J130" s="494">
        <v>56</v>
      </c>
      <c r="K130" s="500">
        <f t="shared" si="43"/>
        <v>0</v>
      </c>
      <c r="L130" s="462"/>
      <c r="M130" s="462"/>
      <c r="N130" s="462"/>
      <c r="O130" s="462">
        <v>85</v>
      </c>
      <c r="P130" s="462"/>
      <c r="Q130" s="462"/>
      <c r="R130" s="462">
        <f>285-(O130+200)</f>
        <v>0</v>
      </c>
      <c r="S130" s="496"/>
      <c r="T130" s="83"/>
      <c r="U130" s="83"/>
      <c r="V130" s="118" t="s">
        <v>122</v>
      </c>
      <c r="W130" s="152" t="s">
        <v>271</v>
      </c>
      <c r="X130" s="146"/>
      <c r="Z130" s="114"/>
      <c r="AB130" s="103"/>
      <c r="AC130" s="103"/>
      <c r="AD130" s="103"/>
      <c r="AE130" s="103"/>
      <c r="AF130" s="103"/>
      <c r="AG130" s="103"/>
      <c r="AH130" s="365">
        <f t="shared" si="42"/>
        <v>85</v>
      </c>
      <c r="AI130" s="365">
        <f t="shared" si="42"/>
        <v>101</v>
      </c>
      <c r="AJ130" s="103"/>
      <c r="AK130" s="103"/>
      <c r="AL130" s="103"/>
      <c r="AM130" s="103"/>
      <c r="AN130" s="103"/>
      <c r="AO130" s="103"/>
      <c r="AP130" s="103"/>
      <c r="AQ130" s="103"/>
    </row>
    <row r="131" spans="1:43" s="79" customFormat="1" ht="30" x14ac:dyDescent="0.2">
      <c r="A131" s="460">
        <v>9</v>
      </c>
      <c r="B131" s="513" t="s">
        <v>362</v>
      </c>
      <c r="C131" s="506" t="s">
        <v>370</v>
      </c>
      <c r="D131" s="558" t="s">
        <v>372</v>
      </c>
      <c r="E131" s="506" t="s">
        <v>167</v>
      </c>
      <c r="F131" s="585" t="s">
        <v>382</v>
      </c>
      <c r="G131" s="507">
        <v>300</v>
      </c>
      <c r="H131" s="507">
        <v>35</v>
      </c>
      <c r="I131" s="463">
        <f>66+J131</f>
        <v>122</v>
      </c>
      <c r="J131" s="494">
        <v>56</v>
      </c>
      <c r="K131" s="500">
        <f t="shared" si="43"/>
        <v>0</v>
      </c>
      <c r="L131" s="462"/>
      <c r="M131" s="462"/>
      <c r="N131" s="462"/>
      <c r="O131" s="462">
        <v>35</v>
      </c>
      <c r="P131" s="462"/>
      <c r="Q131" s="462"/>
      <c r="R131" s="462">
        <f>285-(O131+250)</f>
        <v>0</v>
      </c>
      <c r="S131" s="496"/>
      <c r="T131" s="83"/>
      <c r="U131" s="83"/>
      <c r="V131" s="118" t="s">
        <v>122</v>
      </c>
      <c r="W131" s="152" t="s">
        <v>277</v>
      </c>
      <c r="X131" s="146"/>
      <c r="Z131" s="114"/>
      <c r="AB131" s="103"/>
      <c r="AC131" s="103"/>
      <c r="AD131" s="103"/>
      <c r="AE131" s="103"/>
      <c r="AF131" s="103"/>
      <c r="AG131" s="103"/>
      <c r="AH131" s="365">
        <f t="shared" si="42"/>
        <v>35</v>
      </c>
      <c r="AI131" s="365">
        <f t="shared" si="42"/>
        <v>122</v>
      </c>
      <c r="AJ131" s="103"/>
      <c r="AK131" s="103"/>
      <c r="AL131" s="103"/>
      <c r="AM131" s="103"/>
      <c r="AN131" s="103"/>
      <c r="AO131" s="103"/>
      <c r="AP131" s="103"/>
      <c r="AQ131" s="103"/>
    </row>
    <row r="132" spans="1:43" s="79" customFormat="1" ht="30" x14ac:dyDescent="0.2">
      <c r="A132" s="460">
        <v>10</v>
      </c>
      <c r="B132" s="513" t="s">
        <v>363</v>
      </c>
      <c r="C132" s="506" t="s">
        <v>370</v>
      </c>
      <c r="D132" s="558" t="s">
        <v>372</v>
      </c>
      <c r="E132" s="506" t="s">
        <v>167</v>
      </c>
      <c r="F132" s="585" t="s">
        <v>383</v>
      </c>
      <c r="G132" s="507">
        <v>300</v>
      </c>
      <c r="H132" s="507">
        <v>35</v>
      </c>
      <c r="I132" s="463">
        <f>45+J132</f>
        <v>102</v>
      </c>
      <c r="J132" s="494">
        <v>57</v>
      </c>
      <c r="K132" s="500">
        <f t="shared" si="43"/>
        <v>0</v>
      </c>
      <c r="L132" s="462"/>
      <c r="M132" s="462"/>
      <c r="N132" s="462"/>
      <c r="O132" s="462">
        <v>35</v>
      </c>
      <c r="P132" s="462"/>
      <c r="Q132" s="462"/>
      <c r="R132" s="462">
        <f>285-(O132+250)</f>
        <v>0</v>
      </c>
      <c r="S132" s="496"/>
      <c r="T132" s="83"/>
      <c r="U132" s="83"/>
      <c r="V132" s="118" t="s">
        <v>122</v>
      </c>
      <c r="W132" s="152" t="s">
        <v>277</v>
      </c>
      <c r="X132" s="146"/>
      <c r="Z132" s="114"/>
      <c r="AB132" s="103"/>
      <c r="AC132" s="103"/>
      <c r="AD132" s="103"/>
      <c r="AE132" s="103"/>
      <c r="AF132" s="103"/>
      <c r="AG132" s="103"/>
      <c r="AH132" s="365">
        <f t="shared" si="42"/>
        <v>35</v>
      </c>
      <c r="AI132" s="365">
        <f t="shared" si="42"/>
        <v>102</v>
      </c>
      <c r="AJ132" s="103"/>
      <c r="AK132" s="103"/>
      <c r="AL132" s="103"/>
      <c r="AM132" s="103"/>
      <c r="AN132" s="103"/>
      <c r="AO132" s="103"/>
      <c r="AP132" s="103"/>
      <c r="AQ132" s="103"/>
    </row>
    <row r="133" spans="1:43" s="79" customFormat="1" ht="30" x14ac:dyDescent="0.2">
      <c r="A133" s="460">
        <v>11</v>
      </c>
      <c r="B133" s="513" t="s">
        <v>364</v>
      </c>
      <c r="C133" s="506" t="s">
        <v>370</v>
      </c>
      <c r="D133" s="558" t="s">
        <v>372</v>
      </c>
      <c r="E133" s="506" t="s">
        <v>167</v>
      </c>
      <c r="F133" s="585" t="s">
        <v>384</v>
      </c>
      <c r="G133" s="507">
        <v>300</v>
      </c>
      <c r="H133" s="507">
        <v>85</v>
      </c>
      <c r="I133" s="463">
        <f>82+J133</f>
        <v>117</v>
      </c>
      <c r="J133" s="494">
        <v>35</v>
      </c>
      <c r="K133" s="500">
        <f t="shared" si="43"/>
        <v>0</v>
      </c>
      <c r="L133" s="462"/>
      <c r="M133" s="462"/>
      <c r="N133" s="462"/>
      <c r="O133" s="462">
        <v>85</v>
      </c>
      <c r="P133" s="462"/>
      <c r="Q133" s="462"/>
      <c r="R133" s="462">
        <f>285-(O133+200)</f>
        <v>0</v>
      </c>
      <c r="S133" s="496"/>
      <c r="T133" s="83"/>
      <c r="U133" s="83"/>
      <c r="V133" s="118" t="s">
        <v>122</v>
      </c>
      <c r="W133" s="152" t="s">
        <v>277</v>
      </c>
      <c r="X133" s="146"/>
      <c r="Z133" s="114"/>
      <c r="AB133" s="103"/>
      <c r="AC133" s="103"/>
      <c r="AD133" s="103"/>
      <c r="AE133" s="103"/>
      <c r="AF133" s="103"/>
      <c r="AG133" s="103"/>
      <c r="AH133" s="365">
        <f t="shared" si="42"/>
        <v>85</v>
      </c>
      <c r="AI133" s="365">
        <f t="shared" si="42"/>
        <v>117</v>
      </c>
      <c r="AJ133" s="103"/>
      <c r="AK133" s="103"/>
      <c r="AL133" s="103"/>
      <c r="AM133" s="103"/>
      <c r="AN133" s="103"/>
      <c r="AO133" s="103"/>
      <c r="AP133" s="103"/>
      <c r="AQ133" s="103"/>
    </row>
    <row r="134" spans="1:43" s="79" customFormat="1" ht="30" x14ac:dyDescent="0.2">
      <c r="A134" s="460">
        <v>12</v>
      </c>
      <c r="B134" s="513" t="s">
        <v>365</v>
      </c>
      <c r="C134" s="506" t="s">
        <v>258</v>
      </c>
      <c r="D134" s="558" t="s">
        <v>373</v>
      </c>
      <c r="E134" s="506" t="s">
        <v>167</v>
      </c>
      <c r="F134" s="585" t="s">
        <v>385</v>
      </c>
      <c r="G134" s="507">
        <v>400</v>
      </c>
      <c r="H134" s="507">
        <v>128</v>
      </c>
      <c r="I134" s="463">
        <f>55+J134</f>
        <v>102</v>
      </c>
      <c r="J134" s="494">
        <v>47</v>
      </c>
      <c r="K134" s="500">
        <f t="shared" si="43"/>
        <v>0</v>
      </c>
      <c r="L134" s="462"/>
      <c r="M134" s="462"/>
      <c r="N134" s="462"/>
      <c r="O134" s="462">
        <v>128</v>
      </c>
      <c r="P134" s="462"/>
      <c r="Q134" s="462"/>
      <c r="R134" s="462">
        <f>285-(O134+157)</f>
        <v>0</v>
      </c>
      <c r="S134" s="496"/>
      <c r="T134" s="83"/>
      <c r="U134" s="83"/>
      <c r="V134" s="118" t="s">
        <v>122</v>
      </c>
      <c r="W134" s="152" t="s">
        <v>272</v>
      </c>
      <c r="X134" s="146"/>
      <c r="Z134" s="114"/>
      <c r="AB134" s="103"/>
      <c r="AC134" s="103"/>
      <c r="AD134" s="103"/>
      <c r="AE134" s="103"/>
      <c r="AF134" s="103"/>
      <c r="AG134" s="103"/>
      <c r="AH134" s="365">
        <f t="shared" si="42"/>
        <v>128</v>
      </c>
      <c r="AI134" s="365">
        <f t="shared" si="42"/>
        <v>102</v>
      </c>
      <c r="AJ134" s="103"/>
      <c r="AK134" s="103"/>
      <c r="AL134" s="103"/>
      <c r="AM134" s="103"/>
      <c r="AN134" s="103"/>
      <c r="AO134" s="103"/>
      <c r="AP134" s="103"/>
      <c r="AQ134" s="103"/>
    </row>
    <row r="135" spans="1:43" s="79" customFormat="1" ht="30" x14ac:dyDescent="0.2">
      <c r="A135" s="460">
        <v>13</v>
      </c>
      <c r="B135" s="513" t="s">
        <v>366</v>
      </c>
      <c r="C135" s="506" t="s">
        <v>371</v>
      </c>
      <c r="D135" s="558" t="s">
        <v>372</v>
      </c>
      <c r="E135" s="506" t="s">
        <v>167</v>
      </c>
      <c r="F135" s="585" t="s">
        <v>386</v>
      </c>
      <c r="G135" s="507">
        <v>300</v>
      </c>
      <c r="H135" s="507">
        <v>75</v>
      </c>
      <c r="I135" s="463">
        <f>45+J135</f>
        <v>101</v>
      </c>
      <c r="J135" s="494">
        <v>56</v>
      </c>
      <c r="K135" s="500">
        <v>70</v>
      </c>
      <c r="L135" s="462">
        <v>70</v>
      </c>
      <c r="M135" s="462"/>
      <c r="N135" s="462"/>
      <c r="O135" s="462">
        <v>75</v>
      </c>
      <c r="P135" s="462"/>
      <c r="Q135" s="462"/>
      <c r="R135" s="462">
        <f>285-(O135+210)</f>
        <v>0</v>
      </c>
      <c r="S135" s="496"/>
      <c r="T135" s="83"/>
      <c r="U135" s="83"/>
      <c r="V135" s="118" t="s">
        <v>122</v>
      </c>
      <c r="W135" s="152" t="s">
        <v>270</v>
      </c>
      <c r="X135" s="146"/>
      <c r="Z135" s="114"/>
      <c r="AB135" s="103"/>
      <c r="AC135" s="103"/>
      <c r="AD135" s="103"/>
      <c r="AE135" s="103"/>
      <c r="AF135" s="103"/>
      <c r="AG135" s="103"/>
      <c r="AH135" s="365">
        <f t="shared" si="42"/>
        <v>5</v>
      </c>
      <c r="AI135" s="365">
        <f t="shared" si="42"/>
        <v>31</v>
      </c>
      <c r="AJ135" s="103"/>
      <c r="AK135" s="103"/>
      <c r="AL135" s="103"/>
      <c r="AM135" s="103"/>
      <c r="AN135" s="103"/>
      <c r="AO135" s="103"/>
      <c r="AP135" s="103"/>
      <c r="AQ135" s="103"/>
    </row>
    <row r="136" spans="1:43" s="79" customFormat="1" ht="20.45" customHeight="1" x14ac:dyDescent="0.2">
      <c r="A136" s="479" t="s">
        <v>30</v>
      </c>
      <c r="B136" s="498" t="s">
        <v>463</v>
      </c>
      <c r="C136" s="506"/>
      <c r="D136" s="558"/>
      <c r="E136" s="506"/>
      <c r="F136" s="585"/>
      <c r="G136" s="587">
        <f>SUM(G137:G142)</f>
        <v>1800</v>
      </c>
      <c r="H136" s="587">
        <f t="shared" ref="H136:R136" si="44">SUM(H137:H142)</f>
        <v>1500</v>
      </c>
      <c r="I136" s="587">
        <f t="shared" si="44"/>
        <v>120</v>
      </c>
      <c r="J136" s="587">
        <f t="shared" si="44"/>
        <v>120</v>
      </c>
      <c r="K136" s="587">
        <f t="shared" si="44"/>
        <v>0</v>
      </c>
      <c r="L136" s="587">
        <f t="shared" si="44"/>
        <v>0</v>
      </c>
      <c r="M136" s="587">
        <f t="shared" si="44"/>
        <v>0</v>
      </c>
      <c r="N136" s="587">
        <f t="shared" si="44"/>
        <v>0</v>
      </c>
      <c r="O136" s="587">
        <f t="shared" si="44"/>
        <v>1500</v>
      </c>
      <c r="P136" s="587">
        <f t="shared" si="44"/>
        <v>0</v>
      </c>
      <c r="Q136" s="462"/>
      <c r="R136" s="587">
        <f t="shared" si="44"/>
        <v>210</v>
      </c>
      <c r="S136" s="496"/>
      <c r="T136" s="83"/>
      <c r="U136" s="83"/>
      <c r="V136" s="118"/>
      <c r="W136" s="152"/>
      <c r="X136" s="146"/>
      <c r="Z136" s="114"/>
      <c r="AB136" s="103"/>
      <c r="AC136" s="103"/>
      <c r="AD136" s="103"/>
      <c r="AE136" s="103"/>
      <c r="AF136" s="103"/>
      <c r="AG136" s="103"/>
      <c r="AH136" s="365"/>
      <c r="AI136" s="365"/>
      <c r="AJ136" s="103"/>
      <c r="AK136" s="103"/>
      <c r="AL136" s="103"/>
      <c r="AM136" s="103"/>
      <c r="AN136" s="103"/>
      <c r="AO136" s="103"/>
      <c r="AP136" s="103"/>
      <c r="AQ136" s="103"/>
    </row>
    <row r="137" spans="1:43" s="79" customFormat="1" ht="30" x14ac:dyDescent="0.2">
      <c r="A137" s="536" t="s">
        <v>458</v>
      </c>
      <c r="B137" s="513" t="s">
        <v>513</v>
      </c>
      <c r="C137" s="563" t="s">
        <v>143</v>
      </c>
      <c r="D137" s="563" t="s">
        <v>372</v>
      </c>
      <c r="E137" s="563" t="s">
        <v>478</v>
      </c>
      <c r="F137" s="563" t="s">
        <v>514</v>
      </c>
      <c r="G137" s="507">
        <v>300</v>
      </c>
      <c r="H137" s="507">
        <v>250</v>
      </c>
      <c r="I137" s="463">
        <f>J137</f>
        <v>20</v>
      </c>
      <c r="J137" s="494">
        <v>20</v>
      </c>
      <c r="K137" s="500">
        <f t="shared" si="43"/>
        <v>0</v>
      </c>
      <c r="L137" s="462"/>
      <c r="M137" s="462"/>
      <c r="N137" s="462"/>
      <c r="O137" s="462">
        <v>250</v>
      </c>
      <c r="P137" s="462"/>
      <c r="Q137" s="462"/>
      <c r="R137" s="462">
        <f>285-O137</f>
        <v>35</v>
      </c>
      <c r="S137" s="496"/>
      <c r="T137" s="83"/>
      <c r="U137" s="83"/>
      <c r="V137" s="118" t="s">
        <v>123</v>
      </c>
      <c r="W137" s="163" t="s">
        <v>273</v>
      </c>
      <c r="X137" s="146"/>
      <c r="Z137" s="114"/>
      <c r="AB137" s="103"/>
      <c r="AC137" s="103"/>
      <c r="AD137" s="103"/>
      <c r="AE137" s="103"/>
      <c r="AF137" s="103"/>
      <c r="AG137" s="103"/>
      <c r="AH137" s="365"/>
      <c r="AI137" s="365"/>
      <c r="AJ137" s="103"/>
      <c r="AK137" s="103"/>
      <c r="AL137" s="103"/>
      <c r="AM137" s="103"/>
      <c r="AN137" s="103"/>
      <c r="AO137" s="103"/>
      <c r="AP137" s="103"/>
      <c r="AQ137" s="103"/>
    </row>
    <row r="138" spans="1:43" ht="30" x14ac:dyDescent="0.2">
      <c r="A138" s="536" t="s">
        <v>468</v>
      </c>
      <c r="B138" s="513" t="s">
        <v>515</v>
      </c>
      <c r="C138" s="563" t="s">
        <v>145</v>
      </c>
      <c r="D138" s="563" t="s">
        <v>372</v>
      </c>
      <c r="E138" s="563" t="s">
        <v>478</v>
      </c>
      <c r="F138" s="563" t="s">
        <v>516</v>
      </c>
      <c r="G138" s="564">
        <v>300</v>
      </c>
      <c r="H138" s="564">
        <v>250</v>
      </c>
      <c r="I138" s="463">
        <f t="shared" ref="I138:I142" si="45">J138</f>
        <v>25</v>
      </c>
      <c r="J138" s="494">
        <v>25</v>
      </c>
      <c r="K138" s="500">
        <f t="shared" si="43"/>
        <v>0</v>
      </c>
      <c r="L138" s="463"/>
      <c r="M138" s="463"/>
      <c r="N138" s="463"/>
      <c r="O138" s="463">
        <v>250</v>
      </c>
      <c r="P138" s="463"/>
      <c r="Q138" s="463"/>
      <c r="R138" s="462">
        <f t="shared" ref="R138:R142" si="46">285-O138</f>
        <v>35</v>
      </c>
      <c r="S138" s="565"/>
      <c r="T138" s="83"/>
      <c r="U138" s="83"/>
      <c r="V138" s="141" t="s">
        <v>123</v>
      </c>
      <c r="W138" s="163" t="s">
        <v>276</v>
      </c>
      <c r="X138" s="148"/>
      <c r="Z138" s="125"/>
      <c r="AH138" s="365"/>
      <c r="AI138" s="365"/>
    </row>
    <row r="139" spans="1:43" s="79" customFormat="1" ht="30" x14ac:dyDescent="0.2">
      <c r="A139" s="536" t="s">
        <v>472</v>
      </c>
      <c r="B139" s="513" t="s">
        <v>517</v>
      </c>
      <c r="C139" s="563" t="s">
        <v>141</v>
      </c>
      <c r="D139" s="563" t="s">
        <v>372</v>
      </c>
      <c r="E139" s="563" t="s">
        <v>478</v>
      </c>
      <c r="F139" s="563" t="s">
        <v>518</v>
      </c>
      <c r="G139" s="507">
        <v>300</v>
      </c>
      <c r="H139" s="507">
        <v>250</v>
      </c>
      <c r="I139" s="463">
        <f t="shared" si="45"/>
        <v>15</v>
      </c>
      <c r="J139" s="494">
        <v>15</v>
      </c>
      <c r="K139" s="500">
        <f t="shared" si="43"/>
        <v>0</v>
      </c>
      <c r="L139" s="462"/>
      <c r="M139" s="462"/>
      <c r="N139" s="462"/>
      <c r="O139" s="462">
        <v>250</v>
      </c>
      <c r="P139" s="462"/>
      <c r="Q139" s="462"/>
      <c r="R139" s="462">
        <f t="shared" si="46"/>
        <v>35</v>
      </c>
      <c r="S139" s="496"/>
      <c r="T139" s="83"/>
      <c r="U139" s="83"/>
      <c r="V139" s="118" t="s">
        <v>123</v>
      </c>
      <c r="W139" s="163" t="s">
        <v>271</v>
      </c>
      <c r="X139" s="146"/>
      <c r="Z139" s="114"/>
      <c r="AB139" s="103"/>
      <c r="AC139" s="103"/>
      <c r="AD139" s="103"/>
      <c r="AE139" s="103"/>
      <c r="AF139" s="103"/>
      <c r="AG139" s="103"/>
      <c r="AH139" s="365"/>
      <c r="AI139" s="365"/>
      <c r="AJ139" s="103"/>
      <c r="AK139" s="103"/>
      <c r="AL139" s="103"/>
      <c r="AM139" s="103"/>
      <c r="AN139" s="103"/>
      <c r="AO139" s="103"/>
      <c r="AP139" s="103"/>
      <c r="AQ139" s="103"/>
    </row>
    <row r="140" spans="1:43" s="79" customFormat="1" ht="30" x14ac:dyDescent="0.2">
      <c r="A140" s="536" t="s">
        <v>504</v>
      </c>
      <c r="B140" s="513" t="s">
        <v>519</v>
      </c>
      <c r="C140" s="563" t="s">
        <v>141</v>
      </c>
      <c r="D140" s="563" t="s">
        <v>372</v>
      </c>
      <c r="E140" s="563" t="s">
        <v>478</v>
      </c>
      <c r="F140" s="563" t="s">
        <v>520</v>
      </c>
      <c r="G140" s="507">
        <v>300</v>
      </c>
      <c r="H140" s="507">
        <v>250</v>
      </c>
      <c r="I140" s="463">
        <f t="shared" si="45"/>
        <v>22</v>
      </c>
      <c r="J140" s="494">
        <v>22</v>
      </c>
      <c r="K140" s="500">
        <f t="shared" si="43"/>
        <v>0</v>
      </c>
      <c r="L140" s="462"/>
      <c r="M140" s="462"/>
      <c r="N140" s="462"/>
      <c r="O140" s="462">
        <v>250</v>
      </c>
      <c r="P140" s="462"/>
      <c r="Q140" s="462"/>
      <c r="R140" s="462">
        <f t="shared" si="46"/>
        <v>35</v>
      </c>
      <c r="S140" s="496"/>
      <c r="T140" s="83"/>
      <c r="U140" s="83"/>
      <c r="V140" s="118" t="s">
        <v>123</v>
      </c>
      <c r="W140" s="163" t="s">
        <v>271</v>
      </c>
      <c r="X140" s="146"/>
      <c r="Z140" s="114"/>
      <c r="AB140" s="103"/>
      <c r="AC140" s="103"/>
      <c r="AD140" s="103"/>
      <c r="AE140" s="103"/>
      <c r="AF140" s="103"/>
      <c r="AG140" s="103"/>
      <c r="AH140" s="365"/>
      <c r="AI140" s="365"/>
      <c r="AJ140" s="103"/>
      <c r="AK140" s="103"/>
      <c r="AL140" s="103"/>
      <c r="AM140" s="103"/>
      <c r="AN140" s="103"/>
      <c r="AO140" s="103"/>
      <c r="AP140" s="103"/>
      <c r="AQ140" s="103"/>
    </row>
    <row r="141" spans="1:43" s="79" customFormat="1" ht="30" x14ac:dyDescent="0.2">
      <c r="A141" s="536" t="s">
        <v>505</v>
      </c>
      <c r="B141" s="513" t="s">
        <v>521</v>
      </c>
      <c r="C141" s="563" t="s">
        <v>225</v>
      </c>
      <c r="D141" s="563" t="s">
        <v>372</v>
      </c>
      <c r="E141" s="563" t="s">
        <v>478</v>
      </c>
      <c r="F141" s="563" t="s">
        <v>522</v>
      </c>
      <c r="G141" s="507">
        <v>300</v>
      </c>
      <c r="H141" s="507">
        <v>250</v>
      </c>
      <c r="I141" s="463">
        <f t="shared" si="45"/>
        <v>21</v>
      </c>
      <c r="J141" s="494">
        <v>21</v>
      </c>
      <c r="K141" s="500">
        <f t="shared" si="43"/>
        <v>0</v>
      </c>
      <c r="L141" s="462"/>
      <c r="M141" s="462"/>
      <c r="N141" s="462"/>
      <c r="O141" s="462">
        <v>250</v>
      </c>
      <c r="P141" s="462"/>
      <c r="Q141" s="462"/>
      <c r="R141" s="462">
        <f t="shared" si="46"/>
        <v>35</v>
      </c>
      <c r="S141" s="496"/>
      <c r="T141" s="83"/>
      <c r="U141" s="83"/>
      <c r="V141" s="118" t="s">
        <v>123</v>
      </c>
      <c r="W141" s="152" t="s">
        <v>277</v>
      </c>
      <c r="X141" s="146"/>
      <c r="Z141" s="114"/>
      <c r="AB141" s="103"/>
      <c r="AC141" s="103"/>
      <c r="AD141" s="103"/>
      <c r="AE141" s="103"/>
      <c r="AF141" s="103"/>
      <c r="AG141" s="103"/>
      <c r="AH141" s="365"/>
      <c r="AI141" s="365"/>
      <c r="AJ141" s="103"/>
      <c r="AK141" s="103"/>
      <c r="AL141" s="103"/>
      <c r="AM141" s="103"/>
      <c r="AN141" s="103"/>
      <c r="AO141" s="103"/>
      <c r="AP141" s="103"/>
      <c r="AQ141" s="103"/>
    </row>
    <row r="142" spans="1:43" s="79" customFormat="1" ht="30" x14ac:dyDescent="0.2">
      <c r="A142" s="536" t="s">
        <v>506</v>
      </c>
      <c r="B142" s="513" t="s">
        <v>523</v>
      </c>
      <c r="C142" s="563" t="s">
        <v>225</v>
      </c>
      <c r="D142" s="563" t="s">
        <v>372</v>
      </c>
      <c r="E142" s="563" t="s">
        <v>478</v>
      </c>
      <c r="F142" s="563" t="s">
        <v>524</v>
      </c>
      <c r="G142" s="507">
        <v>300</v>
      </c>
      <c r="H142" s="507">
        <v>250</v>
      </c>
      <c r="I142" s="463">
        <f t="shared" si="45"/>
        <v>17</v>
      </c>
      <c r="J142" s="494">
        <v>17</v>
      </c>
      <c r="K142" s="500">
        <f t="shared" si="43"/>
        <v>0</v>
      </c>
      <c r="L142" s="462"/>
      <c r="M142" s="462"/>
      <c r="N142" s="462"/>
      <c r="O142" s="462">
        <v>250</v>
      </c>
      <c r="P142" s="462"/>
      <c r="Q142" s="462"/>
      <c r="R142" s="462">
        <f t="shared" si="46"/>
        <v>35</v>
      </c>
      <c r="S142" s="496"/>
      <c r="T142" s="83"/>
      <c r="U142" s="83"/>
      <c r="V142" s="118" t="s">
        <v>123</v>
      </c>
      <c r="W142" s="152" t="s">
        <v>277</v>
      </c>
      <c r="X142" s="146"/>
      <c r="Z142" s="114"/>
      <c r="AB142" s="103"/>
      <c r="AC142" s="103"/>
      <c r="AD142" s="103"/>
      <c r="AE142" s="103"/>
      <c r="AF142" s="103"/>
      <c r="AG142" s="103"/>
      <c r="AH142" s="365"/>
      <c r="AI142" s="365"/>
      <c r="AJ142" s="103"/>
      <c r="AK142" s="103"/>
      <c r="AL142" s="103"/>
      <c r="AM142" s="103"/>
      <c r="AN142" s="103"/>
      <c r="AO142" s="103"/>
      <c r="AP142" s="103"/>
      <c r="AQ142" s="103"/>
    </row>
    <row r="143" spans="1:43" s="105" customFormat="1" ht="18" customHeight="1" x14ac:dyDescent="0.2">
      <c r="A143" s="588"/>
      <c r="B143" s="589" t="s">
        <v>531</v>
      </c>
      <c r="C143" s="590"/>
      <c r="D143" s="590"/>
      <c r="E143" s="590"/>
      <c r="F143" s="590"/>
      <c r="G143" s="591"/>
      <c r="H143" s="592">
        <v>1506</v>
      </c>
      <c r="I143" s="593"/>
      <c r="J143" s="594"/>
      <c r="K143" s="510"/>
      <c r="L143" s="595"/>
      <c r="M143" s="595"/>
      <c r="N143" s="595"/>
      <c r="O143" s="592">
        <v>1506</v>
      </c>
      <c r="P143" s="595"/>
      <c r="Q143" s="595"/>
      <c r="R143" s="595"/>
      <c r="S143" s="596"/>
      <c r="T143" s="408"/>
      <c r="U143" s="408"/>
      <c r="V143" s="409" t="s">
        <v>123</v>
      </c>
      <c r="W143" s="445" t="s">
        <v>536</v>
      </c>
      <c r="X143" s="446"/>
      <c r="Z143" s="447"/>
      <c r="AH143" s="410"/>
      <c r="AI143" s="410"/>
    </row>
    <row r="144" spans="1:43" s="79" customFormat="1" ht="18" customHeight="1" x14ac:dyDescent="0.2">
      <c r="A144" s="479" t="s">
        <v>32</v>
      </c>
      <c r="B144" s="498" t="s">
        <v>583</v>
      </c>
      <c r="C144" s="563"/>
      <c r="D144" s="563"/>
      <c r="E144" s="563"/>
      <c r="F144" s="563"/>
      <c r="G144" s="484">
        <f>SUM(G145:G146)</f>
        <v>600</v>
      </c>
      <c r="H144" s="484">
        <f t="shared" ref="H144:R144" si="47">SUM(H145:H146)</f>
        <v>0</v>
      </c>
      <c r="I144" s="484">
        <f t="shared" si="47"/>
        <v>0</v>
      </c>
      <c r="J144" s="484">
        <f t="shared" si="47"/>
        <v>0</v>
      </c>
      <c r="K144" s="484">
        <f t="shared" si="47"/>
        <v>0</v>
      </c>
      <c r="L144" s="484">
        <f t="shared" si="47"/>
        <v>0</v>
      </c>
      <c r="M144" s="484">
        <f t="shared" si="47"/>
        <v>0</v>
      </c>
      <c r="N144" s="484">
        <f t="shared" si="47"/>
        <v>0</v>
      </c>
      <c r="O144" s="484">
        <f t="shared" si="47"/>
        <v>0</v>
      </c>
      <c r="P144" s="484">
        <f t="shared" si="47"/>
        <v>0</v>
      </c>
      <c r="Q144" s="462"/>
      <c r="R144" s="484">
        <f t="shared" si="47"/>
        <v>500</v>
      </c>
      <c r="S144" s="496"/>
      <c r="T144" s="83"/>
      <c r="U144" s="83"/>
      <c r="V144" s="118"/>
      <c r="W144" s="152"/>
      <c r="X144" s="146"/>
      <c r="Z144" s="114"/>
      <c r="AB144" s="103"/>
      <c r="AC144" s="103"/>
      <c r="AD144" s="103"/>
      <c r="AE144" s="103"/>
      <c r="AF144" s="103"/>
      <c r="AG144" s="103"/>
      <c r="AH144" s="365"/>
      <c r="AI144" s="365"/>
      <c r="AJ144" s="103"/>
      <c r="AK144" s="103"/>
      <c r="AL144" s="103"/>
      <c r="AM144" s="103"/>
      <c r="AN144" s="103"/>
      <c r="AO144" s="103"/>
      <c r="AP144" s="103"/>
      <c r="AQ144" s="103"/>
    </row>
    <row r="145" spans="1:43" s="79" customFormat="1" ht="18" customHeight="1" x14ac:dyDescent="0.2">
      <c r="A145" s="536" t="s">
        <v>458</v>
      </c>
      <c r="B145" s="597" t="s">
        <v>632</v>
      </c>
      <c r="C145" s="520" t="s">
        <v>143</v>
      </c>
      <c r="D145" s="563" t="s">
        <v>372</v>
      </c>
      <c r="E145" s="563" t="s">
        <v>605</v>
      </c>
      <c r="F145" s="563"/>
      <c r="G145" s="507">
        <v>300</v>
      </c>
      <c r="H145" s="598"/>
      <c r="I145" s="463"/>
      <c r="J145" s="494"/>
      <c r="K145" s="500"/>
      <c r="L145" s="462"/>
      <c r="M145" s="462"/>
      <c r="N145" s="462"/>
      <c r="O145" s="598"/>
      <c r="P145" s="462"/>
      <c r="Q145" s="462"/>
      <c r="R145" s="462">
        <v>250</v>
      </c>
      <c r="S145" s="496"/>
      <c r="T145" s="83"/>
      <c r="U145" s="83"/>
      <c r="V145" s="118"/>
      <c r="W145" s="152"/>
      <c r="X145" s="146"/>
      <c r="Z145" s="114"/>
      <c r="AB145" s="103"/>
      <c r="AC145" s="103"/>
      <c r="AD145" s="103"/>
      <c r="AE145" s="103"/>
      <c r="AF145" s="103"/>
      <c r="AG145" s="103"/>
      <c r="AH145" s="365"/>
      <c r="AI145" s="365"/>
      <c r="AJ145" s="103"/>
      <c r="AK145" s="103"/>
      <c r="AL145" s="103"/>
      <c r="AM145" s="103"/>
      <c r="AN145" s="103"/>
      <c r="AO145" s="103"/>
      <c r="AP145" s="103"/>
      <c r="AQ145" s="103"/>
    </row>
    <row r="146" spans="1:43" s="79" customFormat="1" ht="18" customHeight="1" x14ac:dyDescent="0.2">
      <c r="A146" s="536" t="s">
        <v>468</v>
      </c>
      <c r="B146" s="597" t="s">
        <v>633</v>
      </c>
      <c r="C146" s="520" t="s">
        <v>141</v>
      </c>
      <c r="D146" s="563" t="s">
        <v>372</v>
      </c>
      <c r="E146" s="563" t="s">
        <v>605</v>
      </c>
      <c r="F146" s="563"/>
      <c r="G146" s="507">
        <v>300</v>
      </c>
      <c r="H146" s="598"/>
      <c r="I146" s="463"/>
      <c r="J146" s="494"/>
      <c r="K146" s="500"/>
      <c r="L146" s="462"/>
      <c r="M146" s="462"/>
      <c r="N146" s="462"/>
      <c r="O146" s="598"/>
      <c r="P146" s="462"/>
      <c r="Q146" s="462"/>
      <c r="R146" s="462">
        <v>250</v>
      </c>
      <c r="S146" s="496"/>
      <c r="T146" s="83"/>
      <c r="U146" s="83"/>
      <c r="V146" s="118"/>
      <c r="W146" s="152"/>
      <c r="X146" s="146"/>
      <c r="Z146" s="114"/>
      <c r="AB146" s="103"/>
      <c r="AC146" s="103"/>
      <c r="AD146" s="103"/>
      <c r="AE146" s="103"/>
      <c r="AF146" s="103"/>
      <c r="AG146" s="103"/>
      <c r="AH146" s="365"/>
      <c r="AI146" s="365"/>
      <c r="AJ146" s="103"/>
      <c r="AK146" s="103"/>
      <c r="AL146" s="103"/>
      <c r="AM146" s="103"/>
      <c r="AN146" s="103"/>
      <c r="AO146" s="103"/>
      <c r="AP146" s="103"/>
      <c r="AQ146" s="103"/>
    </row>
    <row r="147" spans="1:43" s="79" customFormat="1" ht="45" x14ac:dyDescent="0.2">
      <c r="A147" s="538"/>
      <c r="B147" s="522" t="s">
        <v>234</v>
      </c>
      <c r="C147" s="539"/>
      <c r="D147" s="540"/>
      <c r="E147" s="541"/>
      <c r="F147" s="541"/>
      <c r="G147" s="526">
        <f>G148+G159+G161</f>
        <v>66964</v>
      </c>
      <c r="H147" s="526">
        <f t="shared" ref="H147:R147" si="48">H148+H159+H161</f>
        <v>22552</v>
      </c>
      <c r="I147" s="526">
        <f t="shared" si="48"/>
        <v>15467.2</v>
      </c>
      <c r="J147" s="526">
        <f t="shared" si="48"/>
        <v>7326.2</v>
      </c>
      <c r="K147" s="526">
        <f t="shared" si="48"/>
        <v>8195.2622499999998</v>
      </c>
      <c r="L147" s="526">
        <f t="shared" si="48"/>
        <v>6485.2622500000007</v>
      </c>
      <c r="M147" s="526">
        <f t="shared" si="48"/>
        <v>0</v>
      </c>
      <c r="N147" s="526">
        <f t="shared" si="48"/>
        <v>0</v>
      </c>
      <c r="O147" s="526">
        <f t="shared" si="48"/>
        <v>22552</v>
      </c>
      <c r="P147" s="526">
        <f t="shared" si="48"/>
        <v>0</v>
      </c>
      <c r="Q147" s="546">
        <f>K147/H147*100</f>
        <v>36.339403378857746</v>
      </c>
      <c r="R147" s="526">
        <f t="shared" si="48"/>
        <v>18310</v>
      </c>
      <c r="S147" s="542"/>
      <c r="T147" s="83"/>
      <c r="U147" s="83"/>
      <c r="V147" s="118"/>
      <c r="X147" s="146"/>
      <c r="Z147" s="114"/>
      <c r="AB147" s="103"/>
      <c r="AC147" s="103"/>
      <c r="AD147" s="103"/>
      <c r="AE147" s="103"/>
      <c r="AF147" s="103"/>
      <c r="AG147" s="103"/>
      <c r="AH147" s="365">
        <f>H147-K147</f>
        <v>14356.73775</v>
      </c>
      <c r="AI147" s="365">
        <f>I147-L147</f>
        <v>8981.937750000001</v>
      </c>
      <c r="AJ147" s="103"/>
      <c r="AK147" s="103"/>
      <c r="AL147" s="103"/>
      <c r="AM147" s="103"/>
      <c r="AN147" s="103"/>
      <c r="AO147" s="103"/>
      <c r="AP147" s="103"/>
      <c r="AQ147" s="103"/>
    </row>
    <row r="148" spans="1:43" s="79" customFormat="1" ht="15" x14ac:dyDescent="0.2">
      <c r="A148" s="479" t="s">
        <v>28</v>
      </c>
      <c r="B148" s="480" t="s">
        <v>462</v>
      </c>
      <c r="C148" s="489"/>
      <c r="D148" s="461"/>
      <c r="E148" s="506"/>
      <c r="F148" s="490"/>
      <c r="G148" s="484">
        <f>SUM(G149:G158)</f>
        <v>47004</v>
      </c>
      <c r="H148" s="484">
        <f t="shared" ref="H148:R148" si="49">SUM(H149:H158)</f>
        <v>19552</v>
      </c>
      <c r="I148" s="484">
        <f t="shared" si="49"/>
        <v>14977</v>
      </c>
      <c r="J148" s="484">
        <f t="shared" si="49"/>
        <v>6836</v>
      </c>
      <c r="K148" s="484">
        <f t="shared" si="49"/>
        <v>6108.5512500000004</v>
      </c>
      <c r="L148" s="484">
        <f t="shared" si="49"/>
        <v>5998.5512500000004</v>
      </c>
      <c r="M148" s="484">
        <f t="shared" si="49"/>
        <v>0</v>
      </c>
      <c r="N148" s="484">
        <f t="shared" si="49"/>
        <v>0</v>
      </c>
      <c r="O148" s="484">
        <f t="shared" si="49"/>
        <v>19552</v>
      </c>
      <c r="P148" s="484">
        <f t="shared" si="49"/>
        <v>0</v>
      </c>
      <c r="Q148" s="462"/>
      <c r="R148" s="484">
        <f t="shared" si="49"/>
        <v>11386</v>
      </c>
      <c r="S148" s="496"/>
      <c r="T148" s="83"/>
      <c r="U148" s="83"/>
      <c r="V148" s="118"/>
      <c r="X148" s="146"/>
      <c r="Z148" s="114"/>
      <c r="AB148" s="103"/>
      <c r="AC148" s="103"/>
      <c r="AD148" s="103"/>
      <c r="AE148" s="103"/>
      <c r="AF148" s="103"/>
      <c r="AG148" s="103"/>
      <c r="AH148" s="365"/>
      <c r="AI148" s="365"/>
      <c r="AJ148" s="103"/>
      <c r="AK148" s="103"/>
      <c r="AL148" s="103"/>
      <c r="AM148" s="103"/>
      <c r="AN148" s="103"/>
      <c r="AO148" s="103"/>
      <c r="AP148" s="103"/>
      <c r="AQ148" s="103"/>
    </row>
    <row r="149" spans="1:43" s="79" customFormat="1" ht="30" x14ac:dyDescent="0.2">
      <c r="A149" s="460">
        <v>1</v>
      </c>
      <c r="B149" s="461" t="s">
        <v>235</v>
      </c>
      <c r="C149" s="489" t="s">
        <v>225</v>
      </c>
      <c r="D149" s="490"/>
      <c r="E149" s="506" t="s">
        <v>179</v>
      </c>
      <c r="F149" s="599" t="s">
        <v>410</v>
      </c>
      <c r="G149" s="507">
        <v>2700</v>
      </c>
      <c r="H149" s="600">
        <v>1100</v>
      </c>
      <c r="I149" s="463">
        <v>2500</v>
      </c>
      <c r="J149" s="463">
        <v>2350</v>
      </c>
      <c r="K149" s="601">
        <v>881.65300000000002</v>
      </c>
      <c r="L149" s="464">
        <v>881.65300000000002</v>
      </c>
      <c r="M149" s="464"/>
      <c r="N149" s="464"/>
      <c r="O149" s="464">
        <v>1100</v>
      </c>
      <c r="P149" s="464"/>
      <c r="Q149" s="462"/>
      <c r="R149" s="462">
        <f>G149-(O149+1300)</f>
        <v>300</v>
      </c>
      <c r="S149" s="496"/>
      <c r="T149" s="83"/>
      <c r="U149" s="83"/>
      <c r="V149" s="118" t="s">
        <v>122</v>
      </c>
      <c r="W149" s="133" t="s">
        <v>268</v>
      </c>
      <c r="X149" s="146"/>
      <c r="Z149" s="114"/>
      <c r="AB149" s="103"/>
      <c r="AC149" s="103"/>
      <c r="AD149" s="103"/>
      <c r="AE149" s="103"/>
      <c r="AF149" s="103"/>
      <c r="AG149" s="103"/>
      <c r="AH149" s="365">
        <f t="shared" ref="AH149:AI158" si="50">H149-K149</f>
        <v>218.34699999999998</v>
      </c>
      <c r="AI149" s="365">
        <f t="shared" si="50"/>
        <v>1618.347</v>
      </c>
      <c r="AJ149" s="103"/>
      <c r="AK149" s="103"/>
      <c r="AL149" s="103"/>
      <c r="AM149" s="103"/>
      <c r="AN149" s="103"/>
      <c r="AO149" s="103"/>
      <c r="AP149" s="103"/>
      <c r="AQ149" s="103"/>
    </row>
    <row r="150" spans="1:43" s="79" customFormat="1" ht="30" x14ac:dyDescent="0.2">
      <c r="A150" s="460">
        <v>2</v>
      </c>
      <c r="B150" s="461" t="s">
        <v>236</v>
      </c>
      <c r="C150" s="489" t="s">
        <v>146</v>
      </c>
      <c r="D150" s="490" t="s">
        <v>408</v>
      </c>
      <c r="E150" s="506" t="s">
        <v>179</v>
      </c>
      <c r="F150" s="599" t="s">
        <v>240</v>
      </c>
      <c r="G150" s="507">
        <v>1600</v>
      </c>
      <c r="H150" s="600">
        <v>600</v>
      </c>
      <c r="I150" s="463">
        <v>1542</v>
      </c>
      <c r="J150" s="463">
        <v>384</v>
      </c>
      <c r="K150" s="601">
        <v>533.91399999999999</v>
      </c>
      <c r="L150" s="464">
        <v>533.91399999999999</v>
      </c>
      <c r="M150" s="464"/>
      <c r="N150" s="464"/>
      <c r="O150" s="464">
        <v>600</v>
      </c>
      <c r="P150" s="464"/>
      <c r="Q150" s="462"/>
      <c r="R150" s="462">
        <f>G150-(O150+800)</f>
        <v>200</v>
      </c>
      <c r="S150" s="496"/>
      <c r="T150" s="83"/>
      <c r="U150" s="83"/>
      <c r="V150" s="118" t="s">
        <v>122</v>
      </c>
      <c r="W150" s="133" t="s">
        <v>268</v>
      </c>
      <c r="X150" s="146"/>
      <c r="Z150" s="114"/>
      <c r="AB150" s="103"/>
      <c r="AC150" s="103"/>
      <c r="AD150" s="103"/>
      <c r="AE150" s="103"/>
      <c r="AF150" s="103"/>
      <c r="AG150" s="103"/>
      <c r="AH150" s="365">
        <f t="shared" si="50"/>
        <v>66.086000000000013</v>
      </c>
      <c r="AI150" s="365">
        <f t="shared" si="50"/>
        <v>1008.086</v>
      </c>
      <c r="AJ150" s="103"/>
      <c r="AK150" s="103"/>
      <c r="AL150" s="103"/>
      <c r="AM150" s="103"/>
      <c r="AN150" s="103"/>
      <c r="AO150" s="103"/>
      <c r="AP150" s="103"/>
      <c r="AQ150" s="103"/>
    </row>
    <row r="151" spans="1:43" s="79" customFormat="1" ht="30" x14ac:dyDescent="0.2">
      <c r="A151" s="460">
        <v>3</v>
      </c>
      <c r="B151" s="461" t="s">
        <v>237</v>
      </c>
      <c r="C151" s="489" t="s">
        <v>146</v>
      </c>
      <c r="D151" s="490" t="s">
        <v>408</v>
      </c>
      <c r="E151" s="506" t="s">
        <v>179</v>
      </c>
      <c r="F151" s="599" t="s">
        <v>241</v>
      </c>
      <c r="G151" s="507">
        <v>1600</v>
      </c>
      <c r="H151" s="600">
        <v>600</v>
      </c>
      <c r="I151" s="463">
        <v>1122</v>
      </c>
      <c r="J151" s="463">
        <v>322</v>
      </c>
      <c r="K151" s="601">
        <v>274.85400000000004</v>
      </c>
      <c r="L151" s="464">
        <v>274.85400000000004</v>
      </c>
      <c r="M151" s="464"/>
      <c r="N151" s="464"/>
      <c r="O151" s="464">
        <v>600</v>
      </c>
      <c r="P151" s="464"/>
      <c r="Q151" s="462"/>
      <c r="R151" s="462">
        <f>G151-(O151+800)</f>
        <v>200</v>
      </c>
      <c r="S151" s="496"/>
      <c r="T151" s="83"/>
      <c r="U151" s="83"/>
      <c r="V151" s="118" t="s">
        <v>122</v>
      </c>
      <c r="W151" s="133" t="s">
        <v>268</v>
      </c>
      <c r="X151" s="146"/>
      <c r="Z151" s="114"/>
      <c r="AB151" s="103"/>
      <c r="AC151" s="103"/>
      <c r="AD151" s="103"/>
      <c r="AE151" s="103"/>
      <c r="AF151" s="103"/>
      <c r="AG151" s="103"/>
      <c r="AH151" s="365">
        <f t="shared" si="50"/>
        <v>325.14599999999996</v>
      </c>
      <c r="AI151" s="365">
        <f t="shared" si="50"/>
        <v>847.14599999999996</v>
      </c>
      <c r="AJ151" s="103"/>
      <c r="AK151" s="103"/>
      <c r="AL151" s="103"/>
      <c r="AM151" s="103"/>
      <c r="AN151" s="103"/>
      <c r="AO151" s="103"/>
      <c r="AP151" s="103"/>
      <c r="AQ151" s="103"/>
    </row>
    <row r="152" spans="1:43" s="79" customFormat="1" ht="45" x14ac:dyDescent="0.2">
      <c r="A152" s="460">
        <v>4</v>
      </c>
      <c r="B152" s="461" t="s">
        <v>238</v>
      </c>
      <c r="C152" s="489" t="s">
        <v>147</v>
      </c>
      <c r="D152" s="490" t="s">
        <v>409</v>
      </c>
      <c r="E152" s="506" t="s">
        <v>179</v>
      </c>
      <c r="F152" s="599" t="s">
        <v>242</v>
      </c>
      <c r="G152" s="507">
        <v>13500</v>
      </c>
      <c r="H152" s="600">
        <v>6000</v>
      </c>
      <c r="I152" s="463">
        <v>4762</v>
      </c>
      <c r="J152" s="463">
        <v>2934</v>
      </c>
      <c r="K152" s="601">
        <v>2782.1850000000004</v>
      </c>
      <c r="L152" s="500">
        <v>2782.1850000000004</v>
      </c>
      <c r="M152" s="500"/>
      <c r="N152" s="500"/>
      <c r="O152" s="500">
        <v>6000</v>
      </c>
      <c r="P152" s="500"/>
      <c r="Q152" s="462"/>
      <c r="R152" s="462">
        <f>G152-(O152+4186)</f>
        <v>3314</v>
      </c>
      <c r="S152" s="496"/>
      <c r="T152" s="83"/>
      <c r="U152" s="83"/>
      <c r="V152" s="118" t="s">
        <v>122</v>
      </c>
      <c r="W152" s="133" t="s">
        <v>268</v>
      </c>
      <c r="X152" s="146"/>
      <c r="Z152" s="114"/>
      <c r="AB152" s="103"/>
      <c r="AC152" s="103"/>
      <c r="AD152" s="103"/>
      <c r="AE152" s="103"/>
      <c r="AF152" s="103"/>
      <c r="AG152" s="103"/>
      <c r="AH152" s="365">
        <f t="shared" si="50"/>
        <v>3217.8149999999996</v>
      </c>
      <c r="AI152" s="365">
        <f t="shared" si="50"/>
        <v>1979.8149999999996</v>
      </c>
      <c r="AJ152" s="103"/>
      <c r="AK152" s="103"/>
      <c r="AL152" s="103"/>
      <c r="AM152" s="103"/>
      <c r="AN152" s="103"/>
      <c r="AO152" s="103"/>
      <c r="AP152" s="103"/>
      <c r="AQ152" s="103"/>
    </row>
    <row r="153" spans="1:43" s="79" customFormat="1" ht="30" x14ac:dyDescent="0.2">
      <c r="A153" s="460">
        <v>5</v>
      </c>
      <c r="B153" s="461" t="s">
        <v>239</v>
      </c>
      <c r="C153" s="489" t="s">
        <v>166</v>
      </c>
      <c r="D153" s="490"/>
      <c r="E153" s="506" t="s">
        <v>179</v>
      </c>
      <c r="F153" s="599" t="s">
        <v>243</v>
      </c>
      <c r="G153" s="507">
        <v>3000</v>
      </c>
      <c r="H153" s="600">
        <v>1100</v>
      </c>
      <c r="I153" s="463">
        <v>1540</v>
      </c>
      <c r="J153" s="463">
        <v>200</v>
      </c>
      <c r="K153" s="601">
        <v>726.76</v>
      </c>
      <c r="L153" s="601">
        <v>726.76</v>
      </c>
      <c r="M153" s="601"/>
      <c r="N153" s="601"/>
      <c r="O153" s="601">
        <v>1100</v>
      </c>
      <c r="P153" s="601"/>
      <c r="Q153" s="462"/>
      <c r="R153" s="462">
        <f>G153-(O153+1500)</f>
        <v>400</v>
      </c>
      <c r="S153" s="496"/>
      <c r="T153" s="83"/>
      <c r="U153" s="83"/>
      <c r="V153" s="118" t="s">
        <v>122</v>
      </c>
      <c r="W153" s="133" t="s">
        <v>268</v>
      </c>
      <c r="X153" s="146"/>
      <c r="Z153" s="114"/>
      <c r="AB153" s="103"/>
      <c r="AC153" s="103"/>
      <c r="AD153" s="103"/>
      <c r="AE153" s="103"/>
      <c r="AF153" s="103"/>
      <c r="AG153" s="103"/>
      <c r="AH153" s="365">
        <f t="shared" si="50"/>
        <v>373.24</v>
      </c>
      <c r="AI153" s="365">
        <f t="shared" si="50"/>
        <v>813.24</v>
      </c>
      <c r="AJ153" s="103"/>
      <c r="AK153" s="103"/>
      <c r="AL153" s="103"/>
      <c r="AM153" s="103"/>
      <c r="AN153" s="103"/>
      <c r="AO153" s="103"/>
      <c r="AP153" s="103"/>
      <c r="AQ153" s="103"/>
    </row>
    <row r="154" spans="1:43" s="79" customFormat="1" ht="75" x14ac:dyDescent="0.2">
      <c r="A154" s="460">
        <v>6</v>
      </c>
      <c r="B154" s="461" t="s">
        <v>387</v>
      </c>
      <c r="C154" s="599" t="s">
        <v>260</v>
      </c>
      <c r="D154" s="599" t="s">
        <v>392</v>
      </c>
      <c r="E154" s="506" t="s">
        <v>179</v>
      </c>
      <c r="F154" s="599" t="s">
        <v>397</v>
      </c>
      <c r="G154" s="507">
        <v>19542</v>
      </c>
      <c r="H154" s="600">
        <v>8000</v>
      </c>
      <c r="I154" s="463">
        <v>1000</v>
      </c>
      <c r="J154" s="463">
        <v>110</v>
      </c>
      <c r="K154" s="601">
        <v>110</v>
      </c>
      <c r="L154" s="464"/>
      <c r="M154" s="464"/>
      <c r="N154" s="464"/>
      <c r="O154" s="464">
        <v>8000</v>
      </c>
      <c r="P154" s="464"/>
      <c r="Q154" s="462"/>
      <c r="R154" s="462">
        <f>G154-(O154+5000)</f>
        <v>6542</v>
      </c>
      <c r="S154" s="496"/>
      <c r="T154" s="83"/>
      <c r="U154" s="83"/>
      <c r="V154" s="118" t="s">
        <v>122</v>
      </c>
      <c r="W154" s="133" t="s">
        <v>268</v>
      </c>
      <c r="X154" s="146"/>
      <c r="Z154" s="114"/>
      <c r="AB154" s="103"/>
      <c r="AC154" s="103"/>
      <c r="AD154" s="103"/>
      <c r="AE154" s="103"/>
      <c r="AF154" s="103"/>
      <c r="AG154" s="103"/>
      <c r="AH154" s="365">
        <f t="shared" si="50"/>
        <v>7890</v>
      </c>
      <c r="AI154" s="365">
        <f t="shared" si="50"/>
        <v>1000</v>
      </c>
      <c r="AJ154" s="103"/>
      <c r="AK154" s="103"/>
      <c r="AL154" s="103"/>
      <c r="AM154" s="103"/>
      <c r="AN154" s="103"/>
      <c r="AO154" s="103"/>
      <c r="AP154" s="103"/>
      <c r="AQ154" s="103"/>
    </row>
    <row r="155" spans="1:43" s="79" customFormat="1" ht="45" x14ac:dyDescent="0.2">
      <c r="A155" s="460">
        <v>7</v>
      </c>
      <c r="B155" s="461" t="s">
        <v>388</v>
      </c>
      <c r="C155" s="599" t="s">
        <v>260</v>
      </c>
      <c r="D155" s="599" t="s">
        <v>393</v>
      </c>
      <c r="E155" s="506" t="s">
        <v>179</v>
      </c>
      <c r="F155" s="599" t="s">
        <v>398</v>
      </c>
      <c r="G155" s="507">
        <v>960</v>
      </c>
      <c r="H155" s="600">
        <v>400</v>
      </c>
      <c r="I155" s="463">
        <f>288+J155</f>
        <v>374</v>
      </c>
      <c r="J155" s="463">
        <v>86</v>
      </c>
      <c r="K155" s="601">
        <f t="shared" ref="K155:K158" si="51">L155</f>
        <v>0</v>
      </c>
      <c r="L155" s="464"/>
      <c r="M155" s="464"/>
      <c r="N155" s="464"/>
      <c r="O155" s="464">
        <v>400</v>
      </c>
      <c r="P155" s="464"/>
      <c r="Q155" s="462"/>
      <c r="R155" s="462">
        <f>G155-(O155+480)</f>
        <v>80</v>
      </c>
      <c r="S155" s="496"/>
      <c r="T155" s="83"/>
      <c r="U155" s="83"/>
      <c r="V155" s="118" t="s">
        <v>122</v>
      </c>
      <c r="W155" s="152" t="s">
        <v>279</v>
      </c>
      <c r="X155" s="146"/>
      <c r="Z155" s="114"/>
      <c r="AB155" s="103"/>
      <c r="AC155" s="103"/>
      <c r="AD155" s="103"/>
      <c r="AE155" s="103"/>
      <c r="AF155" s="103"/>
      <c r="AG155" s="103"/>
      <c r="AH155" s="365">
        <f t="shared" si="50"/>
        <v>400</v>
      </c>
      <c r="AI155" s="365">
        <f t="shared" si="50"/>
        <v>374</v>
      </c>
      <c r="AJ155" s="103"/>
      <c r="AK155" s="103"/>
      <c r="AL155" s="103"/>
      <c r="AM155" s="103"/>
      <c r="AN155" s="103"/>
      <c r="AO155" s="103"/>
      <c r="AP155" s="103"/>
      <c r="AQ155" s="103"/>
    </row>
    <row r="156" spans="1:43" s="79" customFormat="1" ht="45" x14ac:dyDescent="0.2">
      <c r="A156" s="460">
        <v>8</v>
      </c>
      <c r="B156" s="461" t="s">
        <v>389</v>
      </c>
      <c r="C156" s="599" t="s">
        <v>260</v>
      </c>
      <c r="D156" s="599" t="s">
        <v>394</v>
      </c>
      <c r="E156" s="506" t="s">
        <v>179</v>
      </c>
      <c r="F156" s="599" t="s">
        <v>399</v>
      </c>
      <c r="G156" s="507">
        <v>702</v>
      </c>
      <c r="H156" s="600">
        <v>300</v>
      </c>
      <c r="I156" s="463">
        <f>211+J156</f>
        <v>301</v>
      </c>
      <c r="J156" s="463">
        <v>90</v>
      </c>
      <c r="K156" s="601">
        <v>299.18525</v>
      </c>
      <c r="L156" s="464">
        <v>299.18525</v>
      </c>
      <c r="M156" s="464"/>
      <c r="N156" s="464"/>
      <c r="O156" s="464">
        <v>300</v>
      </c>
      <c r="P156" s="464"/>
      <c r="Q156" s="462"/>
      <c r="R156" s="462">
        <f>G156-(O156+350)</f>
        <v>52</v>
      </c>
      <c r="S156" s="496"/>
      <c r="T156" s="83"/>
      <c r="U156" s="83"/>
      <c r="V156" s="118" t="s">
        <v>122</v>
      </c>
      <c r="W156" s="152" t="s">
        <v>279</v>
      </c>
      <c r="X156" s="146"/>
      <c r="Z156" s="114"/>
      <c r="AB156" s="103"/>
      <c r="AC156" s="103"/>
      <c r="AD156" s="103"/>
      <c r="AE156" s="103"/>
      <c r="AF156" s="103"/>
      <c r="AG156" s="103"/>
      <c r="AH156" s="365">
        <f t="shared" si="50"/>
        <v>0.81475000000000364</v>
      </c>
      <c r="AI156" s="365">
        <f t="shared" si="50"/>
        <v>1.8147500000000036</v>
      </c>
      <c r="AJ156" s="103"/>
      <c r="AK156" s="103"/>
      <c r="AL156" s="103"/>
      <c r="AM156" s="103"/>
      <c r="AN156" s="103"/>
      <c r="AO156" s="103"/>
      <c r="AP156" s="103"/>
      <c r="AQ156" s="103"/>
    </row>
    <row r="157" spans="1:43" s="79" customFormat="1" ht="30" x14ac:dyDescent="0.2">
      <c r="A157" s="460">
        <v>9</v>
      </c>
      <c r="B157" s="461" t="s">
        <v>390</v>
      </c>
      <c r="C157" s="599" t="s">
        <v>370</v>
      </c>
      <c r="D157" s="599" t="s">
        <v>395</v>
      </c>
      <c r="E157" s="506" t="s">
        <v>179</v>
      </c>
      <c r="F157" s="599" t="s">
        <v>400</v>
      </c>
      <c r="G157" s="507">
        <v>1120</v>
      </c>
      <c r="H157" s="600">
        <v>500</v>
      </c>
      <c r="I157" s="463">
        <f>336+J157</f>
        <v>446</v>
      </c>
      <c r="J157" s="463">
        <v>110</v>
      </c>
      <c r="K157" s="601">
        <v>500</v>
      </c>
      <c r="L157" s="464">
        <v>500</v>
      </c>
      <c r="M157" s="464"/>
      <c r="N157" s="464"/>
      <c r="O157" s="464">
        <v>500</v>
      </c>
      <c r="P157" s="464"/>
      <c r="Q157" s="462"/>
      <c r="R157" s="462">
        <f>G157-(O157+550)</f>
        <v>70</v>
      </c>
      <c r="S157" s="496"/>
      <c r="T157" s="83"/>
      <c r="U157" s="83"/>
      <c r="V157" s="118" t="s">
        <v>122</v>
      </c>
      <c r="W157" s="152" t="s">
        <v>277</v>
      </c>
      <c r="X157" s="146"/>
      <c r="Z157" s="114"/>
      <c r="AB157" s="103"/>
      <c r="AC157" s="103"/>
      <c r="AD157" s="103"/>
      <c r="AE157" s="103"/>
      <c r="AF157" s="103"/>
      <c r="AG157" s="103"/>
      <c r="AH157" s="365">
        <f t="shared" si="50"/>
        <v>0</v>
      </c>
      <c r="AI157" s="365">
        <f t="shared" si="50"/>
        <v>-54</v>
      </c>
      <c r="AJ157" s="103"/>
      <c r="AK157" s="103"/>
      <c r="AL157" s="103"/>
      <c r="AM157" s="103"/>
      <c r="AN157" s="103"/>
      <c r="AO157" s="103"/>
      <c r="AP157" s="103"/>
      <c r="AQ157" s="103"/>
    </row>
    <row r="158" spans="1:43" s="79" customFormat="1" ht="30" x14ac:dyDescent="0.2">
      <c r="A158" s="460">
        <v>10</v>
      </c>
      <c r="B158" s="461" t="s">
        <v>391</v>
      </c>
      <c r="C158" s="599" t="s">
        <v>255</v>
      </c>
      <c r="D158" s="599" t="s">
        <v>396</v>
      </c>
      <c r="E158" s="506" t="s">
        <v>179</v>
      </c>
      <c r="F158" s="599" t="s">
        <v>401</v>
      </c>
      <c r="G158" s="507">
        <v>2280</v>
      </c>
      <c r="H158" s="600">
        <v>952</v>
      </c>
      <c r="I158" s="463">
        <f>1140+J158</f>
        <v>1390</v>
      </c>
      <c r="J158" s="463">
        <v>250</v>
      </c>
      <c r="K158" s="601">
        <f t="shared" si="51"/>
        <v>0</v>
      </c>
      <c r="L158" s="464"/>
      <c r="M158" s="464"/>
      <c r="N158" s="464"/>
      <c r="O158" s="464">
        <v>952</v>
      </c>
      <c r="P158" s="464"/>
      <c r="Q158" s="462"/>
      <c r="R158" s="462">
        <f>G158-(O158+1100)</f>
        <v>228</v>
      </c>
      <c r="S158" s="496"/>
      <c r="T158" s="83"/>
      <c r="U158" s="83"/>
      <c r="V158" s="118" t="s">
        <v>122</v>
      </c>
      <c r="W158" s="152" t="s">
        <v>270</v>
      </c>
      <c r="X158" s="146"/>
      <c r="Z158" s="114"/>
      <c r="AB158" s="103"/>
      <c r="AC158" s="103"/>
      <c r="AD158" s="103"/>
      <c r="AE158" s="103"/>
      <c r="AF158" s="103"/>
      <c r="AG158" s="103"/>
      <c r="AH158" s="365">
        <f t="shared" si="50"/>
        <v>952</v>
      </c>
      <c r="AI158" s="365">
        <f t="shared" si="50"/>
        <v>1390</v>
      </c>
      <c r="AJ158" s="103"/>
      <c r="AK158" s="103"/>
      <c r="AL158" s="103"/>
      <c r="AM158" s="103"/>
      <c r="AN158" s="103"/>
      <c r="AO158" s="103"/>
      <c r="AP158" s="103"/>
      <c r="AQ158" s="103"/>
    </row>
    <row r="159" spans="1:43" s="79" customFormat="1" ht="15" x14ac:dyDescent="0.2">
      <c r="A159" s="479" t="s">
        <v>30</v>
      </c>
      <c r="B159" s="498" t="s">
        <v>463</v>
      </c>
      <c r="C159" s="599"/>
      <c r="D159" s="599"/>
      <c r="E159" s="506"/>
      <c r="F159" s="599"/>
      <c r="G159" s="587">
        <f>SUM(G160)</f>
        <v>6560</v>
      </c>
      <c r="H159" s="587">
        <f t="shared" ref="H159:R159" si="52">SUM(H160)</f>
        <v>3000</v>
      </c>
      <c r="I159" s="587">
        <f t="shared" si="52"/>
        <v>490.2</v>
      </c>
      <c r="J159" s="587">
        <f t="shared" si="52"/>
        <v>490.2</v>
      </c>
      <c r="K159" s="587">
        <f t="shared" si="52"/>
        <v>2086.7110000000002</v>
      </c>
      <c r="L159" s="587">
        <f t="shared" si="52"/>
        <v>486.71100000000001</v>
      </c>
      <c r="M159" s="587">
        <f t="shared" si="52"/>
        <v>0</v>
      </c>
      <c r="N159" s="587">
        <f t="shared" si="52"/>
        <v>0</v>
      </c>
      <c r="O159" s="587">
        <f t="shared" si="52"/>
        <v>3000</v>
      </c>
      <c r="P159" s="587">
        <f t="shared" si="52"/>
        <v>0</v>
      </c>
      <c r="Q159" s="462"/>
      <c r="R159" s="587">
        <f t="shared" si="52"/>
        <v>2904</v>
      </c>
      <c r="S159" s="496"/>
      <c r="T159" s="83"/>
      <c r="U159" s="83"/>
      <c r="V159" s="118"/>
      <c r="W159" s="152"/>
      <c r="X159" s="146"/>
      <c r="Z159" s="114"/>
      <c r="AB159" s="103"/>
      <c r="AC159" s="103"/>
      <c r="AD159" s="103"/>
      <c r="AE159" s="103"/>
      <c r="AF159" s="103"/>
      <c r="AG159" s="103"/>
      <c r="AH159" s="365"/>
      <c r="AI159" s="365"/>
      <c r="AJ159" s="103"/>
      <c r="AK159" s="103"/>
      <c r="AL159" s="103"/>
      <c r="AM159" s="103"/>
      <c r="AN159" s="103"/>
      <c r="AO159" s="103"/>
      <c r="AP159" s="103"/>
      <c r="AQ159" s="103"/>
    </row>
    <row r="160" spans="1:43" s="79" customFormat="1" ht="30" x14ac:dyDescent="0.2">
      <c r="A160" s="536" t="s">
        <v>458</v>
      </c>
      <c r="B160" s="461" t="s">
        <v>525</v>
      </c>
      <c r="C160" s="563" t="s">
        <v>166</v>
      </c>
      <c r="D160" s="563" t="s">
        <v>526</v>
      </c>
      <c r="E160" s="563" t="s">
        <v>478</v>
      </c>
      <c r="F160" s="563" t="s">
        <v>527</v>
      </c>
      <c r="G160" s="507">
        <v>6560</v>
      </c>
      <c r="H160" s="600">
        <v>3000</v>
      </c>
      <c r="I160" s="463">
        <v>490.2</v>
      </c>
      <c r="J160" s="463">
        <v>490.2</v>
      </c>
      <c r="K160" s="601">
        <v>2086.7110000000002</v>
      </c>
      <c r="L160" s="464">
        <v>486.71100000000001</v>
      </c>
      <c r="M160" s="464"/>
      <c r="N160" s="464"/>
      <c r="O160" s="464">
        <v>3000</v>
      </c>
      <c r="P160" s="464"/>
      <c r="Q160" s="462"/>
      <c r="R160" s="462">
        <f>G160*90%-O160</f>
        <v>2904</v>
      </c>
      <c r="S160" s="496"/>
      <c r="T160" s="83"/>
      <c r="U160" s="83"/>
      <c r="V160" s="118" t="s">
        <v>123</v>
      </c>
      <c r="W160" s="133" t="s">
        <v>268</v>
      </c>
      <c r="X160" s="146"/>
      <c r="Z160" s="114"/>
      <c r="AB160" s="103"/>
      <c r="AC160" s="103"/>
      <c r="AD160" s="103"/>
      <c r="AE160" s="103"/>
      <c r="AF160" s="103"/>
      <c r="AG160" s="103"/>
      <c r="AH160" s="365"/>
      <c r="AI160" s="365"/>
      <c r="AJ160" s="103"/>
      <c r="AK160" s="103"/>
      <c r="AL160" s="103"/>
      <c r="AM160" s="103"/>
      <c r="AN160" s="103"/>
      <c r="AO160" s="103"/>
      <c r="AP160" s="103"/>
      <c r="AQ160" s="103"/>
    </row>
    <row r="161" spans="1:43" s="79" customFormat="1" ht="15" x14ac:dyDescent="0.2">
      <c r="A161" s="479" t="s">
        <v>32</v>
      </c>
      <c r="B161" s="498" t="s">
        <v>583</v>
      </c>
      <c r="C161" s="563"/>
      <c r="D161" s="563"/>
      <c r="E161" s="563"/>
      <c r="F161" s="563"/>
      <c r="G161" s="587">
        <f>SUM(G162:G165)</f>
        <v>13400</v>
      </c>
      <c r="H161" s="587">
        <f t="shared" ref="H161:R161" si="53">SUM(H162:H165)</f>
        <v>0</v>
      </c>
      <c r="I161" s="587">
        <f t="shared" si="53"/>
        <v>0</v>
      </c>
      <c r="J161" s="587">
        <f t="shared" si="53"/>
        <v>0</v>
      </c>
      <c r="K161" s="587">
        <f t="shared" si="53"/>
        <v>0</v>
      </c>
      <c r="L161" s="587">
        <f t="shared" si="53"/>
        <v>0</v>
      </c>
      <c r="M161" s="587">
        <f t="shared" si="53"/>
        <v>0</v>
      </c>
      <c r="N161" s="587">
        <f t="shared" si="53"/>
        <v>0</v>
      </c>
      <c r="O161" s="587">
        <f t="shared" si="53"/>
        <v>0</v>
      </c>
      <c r="P161" s="587">
        <f t="shared" si="53"/>
        <v>0</v>
      </c>
      <c r="Q161" s="462"/>
      <c r="R161" s="587">
        <f t="shared" si="53"/>
        <v>4020</v>
      </c>
      <c r="S161" s="496"/>
      <c r="T161" s="83"/>
      <c r="U161" s="83"/>
      <c r="V161" s="118"/>
      <c r="W161" s="133"/>
      <c r="X161" s="146"/>
      <c r="Z161" s="114"/>
      <c r="AB161" s="103"/>
      <c r="AC161" s="103"/>
      <c r="AD161" s="103"/>
      <c r="AE161" s="103"/>
      <c r="AF161" s="103"/>
      <c r="AG161" s="103"/>
      <c r="AH161" s="365"/>
      <c r="AI161" s="365"/>
      <c r="AJ161" s="103"/>
      <c r="AK161" s="103"/>
      <c r="AL161" s="103"/>
      <c r="AM161" s="103"/>
      <c r="AN161" s="103"/>
      <c r="AO161" s="103"/>
      <c r="AP161" s="103"/>
      <c r="AQ161" s="103"/>
    </row>
    <row r="162" spans="1:43" s="79" customFormat="1" ht="25.5" x14ac:dyDescent="0.2">
      <c r="A162" s="536" t="s">
        <v>458</v>
      </c>
      <c r="B162" s="575" t="s">
        <v>634</v>
      </c>
      <c r="C162" s="520" t="s">
        <v>329</v>
      </c>
      <c r="D162" s="503" t="s">
        <v>635</v>
      </c>
      <c r="E162" s="563" t="s">
        <v>605</v>
      </c>
      <c r="F162" s="563"/>
      <c r="G162" s="507">
        <v>4000</v>
      </c>
      <c r="H162" s="600"/>
      <c r="I162" s="463"/>
      <c r="J162" s="463"/>
      <c r="K162" s="601"/>
      <c r="L162" s="464"/>
      <c r="M162" s="464"/>
      <c r="N162" s="464"/>
      <c r="O162" s="464"/>
      <c r="P162" s="464"/>
      <c r="Q162" s="462"/>
      <c r="R162" s="462">
        <f>G162*30%</f>
        <v>1200</v>
      </c>
      <c r="S162" s="496"/>
      <c r="T162" s="83"/>
      <c r="U162" s="83"/>
      <c r="V162" s="118"/>
      <c r="W162" s="133"/>
      <c r="X162" s="146"/>
      <c r="Z162" s="114"/>
      <c r="AB162" s="103"/>
      <c r="AC162" s="103"/>
      <c r="AD162" s="103"/>
      <c r="AE162" s="103"/>
      <c r="AF162" s="103"/>
      <c r="AG162" s="103"/>
      <c r="AH162" s="365"/>
      <c r="AI162" s="365"/>
      <c r="AJ162" s="103"/>
      <c r="AK162" s="103"/>
      <c r="AL162" s="103"/>
      <c r="AM162" s="103"/>
      <c r="AN162" s="103"/>
      <c r="AO162" s="103"/>
      <c r="AP162" s="103"/>
      <c r="AQ162" s="103"/>
    </row>
    <row r="163" spans="1:43" s="79" customFormat="1" ht="38.25" x14ac:dyDescent="0.2">
      <c r="A163" s="536" t="s">
        <v>468</v>
      </c>
      <c r="B163" s="519" t="s">
        <v>636</v>
      </c>
      <c r="C163" s="520" t="s">
        <v>637</v>
      </c>
      <c r="D163" s="503" t="s">
        <v>638</v>
      </c>
      <c r="E163" s="563" t="s">
        <v>605</v>
      </c>
      <c r="F163" s="563"/>
      <c r="G163" s="602">
        <v>2700</v>
      </c>
      <c r="H163" s="600"/>
      <c r="I163" s="463"/>
      <c r="J163" s="463"/>
      <c r="K163" s="601"/>
      <c r="L163" s="464"/>
      <c r="M163" s="464"/>
      <c r="N163" s="464"/>
      <c r="O163" s="464"/>
      <c r="P163" s="464"/>
      <c r="Q163" s="462"/>
      <c r="R163" s="462">
        <f t="shared" ref="R163:R164" si="54">G163*30%</f>
        <v>810</v>
      </c>
      <c r="S163" s="496"/>
      <c r="T163" s="83"/>
      <c r="U163" s="83"/>
      <c r="V163" s="118"/>
      <c r="W163" s="133"/>
      <c r="X163" s="146"/>
      <c r="Z163" s="114"/>
      <c r="AB163" s="103"/>
      <c r="AC163" s="103"/>
      <c r="AD163" s="103"/>
      <c r="AE163" s="103"/>
      <c r="AF163" s="103"/>
      <c r="AG163" s="103"/>
      <c r="AH163" s="365"/>
      <c r="AI163" s="365"/>
      <c r="AJ163" s="103"/>
      <c r="AK163" s="103"/>
      <c r="AL163" s="103"/>
      <c r="AM163" s="103"/>
      <c r="AN163" s="103"/>
      <c r="AO163" s="103"/>
      <c r="AP163" s="103"/>
      <c r="AQ163" s="103"/>
    </row>
    <row r="164" spans="1:43" s="79" customFormat="1" ht="38.25" x14ac:dyDescent="0.2">
      <c r="A164" s="536" t="s">
        <v>472</v>
      </c>
      <c r="B164" s="519" t="s">
        <v>639</v>
      </c>
      <c r="C164" s="520" t="s">
        <v>637</v>
      </c>
      <c r="D164" s="503" t="s">
        <v>638</v>
      </c>
      <c r="E164" s="563" t="s">
        <v>605</v>
      </c>
      <c r="F164" s="563"/>
      <c r="G164" s="602">
        <v>2700</v>
      </c>
      <c r="H164" s="600"/>
      <c r="I164" s="463"/>
      <c r="J164" s="463"/>
      <c r="K164" s="601"/>
      <c r="L164" s="464"/>
      <c r="M164" s="464"/>
      <c r="N164" s="464"/>
      <c r="O164" s="464"/>
      <c r="P164" s="464"/>
      <c r="Q164" s="462"/>
      <c r="R164" s="462">
        <f t="shared" si="54"/>
        <v>810</v>
      </c>
      <c r="S164" s="496"/>
      <c r="T164" s="83"/>
      <c r="U164" s="83"/>
      <c r="V164" s="118"/>
      <c r="W164" s="133"/>
      <c r="X164" s="146"/>
      <c r="Z164" s="114"/>
      <c r="AB164" s="103"/>
      <c r="AC164" s="103"/>
      <c r="AD164" s="103"/>
      <c r="AE164" s="103"/>
      <c r="AF164" s="103"/>
      <c r="AG164" s="103"/>
      <c r="AH164" s="365"/>
      <c r="AI164" s="365"/>
      <c r="AJ164" s="103"/>
      <c r="AK164" s="103"/>
      <c r="AL164" s="103"/>
      <c r="AM164" s="103"/>
      <c r="AN164" s="103"/>
      <c r="AO164" s="103"/>
      <c r="AP164" s="103"/>
      <c r="AQ164" s="103"/>
    </row>
    <row r="165" spans="1:43" s="79" customFormat="1" ht="26.25" thickBot="1" x14ac:dyDescent="0.25">
      <c r="A165" s="603" t="s">
        <v>504</v>
      </c>
      <c r="B165" s="604" t="s">
        <v>640</v>
      </c>
      <c r="C165" s="605" t="s">
        <v>255</v>
      </c>
      <c r="D165" s="606" t="s">
        <v>641</v>
      </c>
      <c r="E165" s="606" t="s">
        <v>605</v>
      </c>
      <c r="F165" s="606"/>
      <c r="G165" s="607">
        <v>4000</v>
      </c>
      <c r="H165" s="608"/>
      <c r="I165" s="609"/>
      <c r="J165" s="609"/>
      <c r="K165" s="610"/>
      <c r="L165" s="611"/>
      <c r="M165" s="611"/>
      <c r="N165" s="611"/>
      <c r="O165" s="611"/>
      <c r="P165" s="611"/>
      <c r="Q165" s="612"/>
      <c r="R165" s="612">
        <f>G165*30%</f>
        <v>1200</v>
      </c>
      <c r="S165" s="613"/>
      <c r="T165" s="83"/>
      <c r="U165" s="83"/>
      <c r="V165" s="118"/>
      <c r="W165" s="133"/>
      <c r="X165" s="146"/>
      <c r="Z165" s="114"/>
      <c r="AB165" s="103"/>
      <c r="AC165" s="103"/>
      <c r="AD165" s="103"/>
      <c r="AE165" s="103"/>
      <c r="AF165" s="103"/>
      <c r="AG165" s="103"/>
      <c r="AH165" s="365"/>
      <c r="AI165" s="365"/>
      <c r="AJ165" s="103"/>
      <c r="AK165" s="103"/>
      <c r="AL165" s="103"/>
      <c r="AM165" s="103"/>
      <c r="AN165" s="103"/>
      <c r="AO165" s="103"/>
      <c r="AP165" s="103"/>
      <c r="AQ165" s="103"/>
    </row>
    <row r="166" spans="1:43" ht="13.5" x14ac:dyDescent="0.2">
      <c r="A166" s="896"/>
      <c r="B166" s="896"/>
      <c r="C166" s="174"/>
      <c r="D166" s="174"/>
      <c r="E166" s="174"/>
      <c r="K166" s="76"/>
      <c r="L166" s="76"/>
      <c r="M166" s="76"/>
      <c r="N166" s="76"/>
      <c r="O166" s="76"/>
      <c r="P166" s="76"/>
      <c r="S166" s="83"/>
      <c r="T166" s="83"/>
      <c r="U166" s="83"/>
    </row>
    <row r="167" spans="1:43" x14ac:dyDescent="0.2">
      <c r="A167" s="94"/>
      <c r="B167" s="97" t="s">
        <v>405</v>
      </c>
      <c r="C167" s="97"/>
      <c r="D167" s="97"/>
      <c r="E167" s="97"/>
      <c r="F167" s="97"/>
      <c r="G167" s="96">
        <f>SUM(G168:G185)</f>
        <v>457297</v>
      </c>
      <c r="H167" s="96">
        <f>SUM(H168:H185)</f>
        <v>137639</v>
      </c>
      <c r="I167" s="96">
        <f t="shared" ref="I167:K167" si="55">SUM(I168:J185)</f>
        <v>191496.4</v>
      </c>
      <c r="J167" s="96">
        <f t="shared" si="55"/>
        <v>92881.383249999999</v>
      </c>
      <c r="K167" s="96">
        <f t="shared" si="55"/>
        <v>56968.407500000001</v>
      </c>
      <c r="L167" s="96">
        <f>SUM(L168:L185)</f>
        <v>26275.224249999999</v>
      </c>
      <c r="M167" s="96"/>
      <c r="N167" s="96"/>
      <c r="O167" s="96"/>
      <c r="P167" s="96"/>
      <c r="Q167" s="98">
        <f t="shared" ref="Q167:Q185" si="56">K167/H167*100</f>
        <v>41.389727838766625</v>
      </c>
      <c r="R167" s="98"/>
      <c r="S167" s="97"/>
      <c r="T167" s="164"/>
      <c r="U167" s="165"/>
      <c r="V167" s="166"/>
      <c r="W167" s="96">
        <f>SUM(W168:W185)</f>
        <v>93</v>
      </c>
    </row>
    <row r="168" spans="1:43" x14ac:dyDescent="0.2">
      <c r="A168" s="89">
        <v>1</v>
      </c>
      <c r="B168" s="90" t="s">
        <v>268</v>
      </c>
      <c r="C168" s="88"/>
      <c r="D168" s="88"/>
      <c r="E168" s="88"/>
      <c r="F168" s="88"/>
      <c r="G168" s="87">
        <f t="shared" ref="G168:G185" si="57">SUMIF($W$11:$W$160,B168,$G$11:$G$160)</f>
        <v>393115</v>
      </c>
      <c r="H168" s="87">
        <f t="shared" ref="H168:H185" si="58">SUMIF($W$11:$W$160,B168,$H$11:$H$160)</f>
        <v>113832</v>
      </c>
      <c r="I168" s="101">
        <f t="shared" ref="I168:I185" si="59">SUMIF($W$11:$W$160,B168,$I$11:$I$160)</f>
        <v>103192.2</v>
      </c>
      <c r="J168" s="87">
        <f t="shared" ref="J168:J185" si="60">SUMIF($W$11:$W$160,B168,$J$11:$J$160)</f>
        <v>56345.2</v>
      </c>
      <c r="K168" s="87">
        <f t="shared" ref="K168:K185" si="61">SUMIF($W$11:$W$160,B168,$K$11:$K$160)</f>
        <v>28383.761999999999</v>
      </c>
      <c r="L168" s="87">
        <f t="shared" ref="L168:L185" si="62">SUMIF($W$11:$W$160,B168,$L$11:$L$160)</f>
        <v>23965.803</v>
      </c>
      <c r="M168" s="87"/>
      <c r="N168" s="87"/>
      <c r="O168" s="87"/>
      <c r="P168" s="87"/>
      <c r="Q168" s="95">
        <f t="shared" si="56"/>
        <v>24.934782837866329</v>
      </c>
      <c r="R168" s="95"/>
      <c r="S168" s="88"/>
      <c r="T168" s="167"/>
      <c r="V168" s="168"/>
      <c r="W168" s="169">
        <f t="shared" ref="W168:W185" si="63">COUNTIF($W$9:$W$160,B168)</f>
        <v>46</v>
      </c>
    </row>
    <row r="169" spans="1:43" x14ac:dyDescent="0.2">
      <c r="A169" s="89">
        <v>2</v>
      </c>
      <c r="B169" s="88" t="s">
        <v>404</v>
      </c>
      <c r="C169" s="88"/>
      <c r="D169" s="88"/>
      <c r="E169" s="88"/>
      <c r="F169" s="88"/>
      <c r="G169" s="87">
        <f t="shared" si="57"/>
        <v>0</v>
      </c>
      <c r="H169" s="87">
        <f t="shared" si="58"/>
        <v>0</v>
      </c>
      <c r="I169" s="101">
        <f t="shared" si="59"/>
        <v>0</v>
      </c>
      <c r="J169" s="87">
        <f t="shared" si="60"/>
        <v>0</v>
      </c>
      <c r="K169" s="87">
        <f t="shared" si="61"/>
        <v>0</v>
      </c>
      <c r="L169" s="87">
        <f t="shared" si="62"/>
        <v>0</v>
      </c>
      <c r="M169" s="87"/>
      <c r="N169" s="87"/>
      <c r="O169" s="87"/>
      <c r="P169" s="87"/>
      <c r="Q169" s="95" t="e">
        <f t="shared" si="56"/>
        <v>#DIV/0!</v>
      </c>
      <c r="R169" s="95"/>
      <c r="S169" s="88"/>
      <c r="T169" s="167"/>
      <c r="V169" s="168"/>
      <c r="W169" s="169">
        <f t="shared" si="63"/>
        <v>0</v>
      </c>
    </row>
    <row r="170" spans="1:43" x14ac:dyDescent="0.2">
      <c r="A170" s="89">
        <v>3</v>
      </c>
      <c r="B170" s="74" t="s">
        <v>403</v>
      </c>
      <c r="C170" s="88"/>
      <c r="D170" s="88"/>
      <c r="E170" s="88"/>
      <c r="F170" s="88"/>
      <c r="G170" s="87">
        <f t="shared" si="57"/>
        <v>0</v>
      </c>
      <c r="H170" s="87">
        <f t="shared" si="58"/>
        <v>0</v>
      </c>
      <c r="I170" s="101">
        <f t="shared" si="59"/>
        <v>0</v>
      </c>
      <c r="J170" s="87">
        <f t="shared" si="60"/>
        <v>0</v>
      </c>
      <c r="K170" s="87">
        <f t="shared" si="61"/>
        <v>0</v>
      </c>
      <c r="L170" s="87">
        <f t="shared" si="62"/>
        <v>0</v>
      </c>
      <c r="M170" s="87"/>
      <c r="N170" s="87"/>
      <c r="O170" s="87"/>
      <c r="P170" s="87"/>
      <c r="Q170" s="95" t="e">
        <f t="shared" si="56"/>
        <v>#DIV/0!</v>
      </c>
      <c r="R170" s="95"/>
      <c r="S170" s="88"/>
      <c r="T170" s="167"/>
      <c r="V170" s="168"/>
      <c r="W170" s="169">
        <f t="shared" si="63"/>
        <v>0</v>
      </c>
    </row>
    <row r="171" spans="1:43" x14ac:dyDescent="0.2">
      <c r="A171" s="89">
        <v>4</v>
      </c>
      <c r="B171" s="91" t="s">
        <v>353</v>
      </c>
      <c r="C171" s="88"/>
      <c r="D171" s="88"/>
      <c r="E171" s="88"/>
      <c r="F171" s="88"/>
      <c r="G171" s="87">
        <f t="shared" si="57"/>
        <v>1500</v>
      </c>
      <c r="H171" s="87">
        <f t="shared" si="58"/>
        <v>450</v>
      </c>
      <c r="I171" s="101">
        <f t="shared" si="59"/>
        <v>570</v>
      </c>
      <c r="J171" s="87">
        <f t="shared" si="60"/>
        <v>120</v>
      </c>
      <c r="K171" s="87">
        <f t="shared" si="61"/>
        <v>377.10799999999995</v>
      </c>
      <c r="L171" s="87">
        <f t="shared" si="62"/>
        <v>377.10799999999995</v>
      </c>
      <c r="M171" s="87"/>
      <c r="N171" s="87"/>
      <c r="O171" s="87"/>
      <c r="P171" s="87"/>
      <c r="Q171" s="95">
        <f t="shared" si="56"/>
        <v>83.801777777777758</v>
      </c>
      <c r="R171" s="95"/>
      <c r="S171" s="88"/>
      <c r="T171" s="167"/>
      <c r="V171" s="168"/>
      <c r="W171" s="169">
        <f t="shared" si="63"/>
        <v>1</v>
      </c>
    </row>
    <row r="172" spans="1:43" x14ac:dyDescent="0.2">
      <c r="A172" s="89">
        <v>5</v>
      </c>
      <c r="B172" s="92" t="s">
        <v>274</v>
      </c>
      <c r="C172" s="88"/>
      <c r="D172" s="88"/>
      <c r="E172" s="88"/>
      <c r="F172" s="88"/>
      <c r="G172" s="87">
        <f t="shared" si="57"/>
        <v>5150</v>
      </c>
      <c r="H172" s="87">
        <f t="shared" si="58"/>
        <v>800</v>
      </c>
      <c r="I172" s="101">
        <f t="shared" si="59"/>
        <v>1760</v>
      </c>
      <c r="J172" s="87">
        <f t="shared" si="60"/>
        <v>300</v>
      </c>
      <c r="K172" s="87">
        <f t="shared" si="61"/>
        <v>0</v>
      </c>
      <c r="L172" s="87">
        <f t="shared" si="62"/>
        <v>0</v>
      </c>
      <c r="M172" s="87"/>
      <c r="N172" s="87"/>
      <c r="O172" s="87"/>
      <c r="P172" s="87"/>
      <c r="Q172" s="95">
        <f t="shared" si="56"/>
        <v>0</v>
      </c>
      <c r="R172" s="95"/>
      <c r="S172" s="88"/>
      <c r="T172" s="167"/>
      <c r="V172" s="168"/>
      <c r="W172" s="169">
        <f t="shared" si="63"/>
        <v>2</v>
      </c>
    </row>
    <row r="173" spans="1:43" x14ac:dyDescent="0.2">
      <c r="A173" s="89">
        <v>6</v>
      </c>
      <c r="B173" s="91" t="s">
        <v>279</v>
      </c>
      <c r="C173" s="88"/>
      <c r="D173" s="88"/>
      <c r="E173" s="88"/>
      <c r="F173" s="88"/>
      <c r="G173" s="87">
        <f t="shared" si="57"/>
        <v>2662</v>
      </c>
      <c r="H173" s="87">
        <f t="shared" si="58"/>
        <v>1050</v>
      </c>
      <c r="I173" s="101">
        <f t="shared" si="59"/>
        <v>1225</v>
      </c>
      <c r="J173" s="87">
        <f t="shared" si="60"/>
        <v>426</v>
      </c>
      <c r="K173" s="87">
        <f t="shared" si="61"/>
        <v>299.18525</v>
      </c>
      <c r="L173" s="87">
        <f t="shared" si="62"/>
        <v>299.18525</v>
      </c>
      <c r="M173" s="87"/>
      <c r="N173" s="87"/>
      <c r="O173" s="87"/>
      <c r="P173" s="87"/>
      <c r="Q173" s="95">
        <f t="shared" si="56"/>
        <v>28.493833333333335</v>
      </c>
      <c r="R173" s="95"/>
      <c r="S173" s="88"/>
      <c r="T173" s="167"/>
      <c r="V173" s="168"/>
      <c r="W173" s="169">
        <f t="shared" si="63"/>
        <v>3</v>
      </c>
    </row>
    <row r="174" spans="1:43" x14ac:dyDescent="0.2">
      <c r="A174" s="89">
        <v>7</v>
      </c>
      <c r="B174" s="91" t="s">
        <v>277</v>
      </c>
      <c r="C174" s="88"/>
      <c r="D174" s="88"/>
      <c r="E174" s="88"/>
      <c r="F174" s="88"/>
      <c r="G174" s="87">
        <f t="shared" si="57"/>
        <v>5420</v>
      </c>
      <c r="H174" s="87">
        <f t="shared" si="58"/>
        <v>2355</v>
      </c>
      <c r="I174" s="101">
        <f t="shared" si="59"/>
        <v>2015</v>
      </c>
      <c r="J174" s="87">
        <f t="shared" si="60"/>
        <v>646</v>
      </c>
      <c r="K174" s="87">
        <f t="shared" si="61"/>
        <v>500</v>
      </c>
      <c r="L174" s="87">
        <f t="shared" si="62"/>
        <v>500</v>
      </c>
      <c r="M174" s="87"/>
      <c r="N174" s="87"/>
      <c r="O174" s="87"/>
      <c r="P174" s="87"/>
      <c r="Q174" s="95">
        <f t="shared" si="56"/>
        <v>21.231422505307858</v>
      </c>
      <c r="R174" s="95"/>
      <c r="S174" s="88"/>
      <c r="T174" s="167"/>
      <c r="V174" s="168"/>
      <c r="W174" s="169">
        <f t="shared" si="63"/>
        <v>7</v>
      </c>
      <c r="Z174" s="74">
        <v>7</v>
      </c>
      <c r="AA174" s="77">
        <f>H174</f>
        <v>2355</v>
      </c>
    </row>
    <row r="175" spans="1:43" x14ac:dyDescent="0.2">
      <c r="A175" s="89">
        <v>8</v>
      </c>
      <c r="B175" s="91" t="s">
        <v>270</v>
      </c>
      <c r="C175" s="88"/>
      <c r="D175" s="88"/>
      <c r="E175" s="88"/>
      <c r="F175" s="88"/>
      <c r="G175" s="87">
        <f t="shared" si="57"/>
        <v>4980</v>
      </c>
      <c r="H175" s="87">
        <f t="shared" si="58"/>
        <v>1807</v>
      </c>
      <c r="I175" s="101">
        <f t="shared" si="59"/>
        <v>2511</v>
      </c>
      <c r="J175" s="87">
        <f t="shared" si="60"/>
        <v>606</v>
      </c>
      <c r="K175" s="87">
        <f t="shared" si="61"/>
        <v>70</v>
      </c>
      <c r="L175" s="87">
        <f t="shared" si="62"/>
        <v>70</v>
      </c>
      <c r="M175" s="87"/>
      <c r="N175" s="87"/>
      <c r="O175" s="87"/>
      <c r="P175" s="87"/>
      <c r="Q175" s="95">
        <f t="shared" si="56"/>
        <v>3.8738240177089098</v>
      </c>
      <c r="R175" s="95"/>
      <c r="S175" s="88"/>
      <c r="T175" s="167"/>
      <c r="V175" s="168"/>
      <c r="W175" s="169">
        <f t="shared" si="63"/>
        <v>3</v>
      </c>
      <c r="AA175" s="77"/>
    </row>
    <row r="176" spans="1:43" x14ac:dyDescent="0.2">
      <c r="A176" s="89">
        <v>9</v>
      </c>
      <c r="B176" s="93" t="s">
        <v>276</v>
      </c>
      <c r="C176" s="88"/>
      <c r="D176" s="88"/>
      <c r="E176" s="88"/>
      <c r="F176" s="88"/>
      <c r="G176" s="87">
        <f t="shared" si="57"/>
        <v>2300</v>
      </c>
      <c r="H176" s="87">
        <f t="shared" si="58"/>
        <v>1350</v>
      </c>
      <c r="I176" s="101">
        <f t="shared" si="59"/>
        <v>80</v>
      </c>
      <c r="J176" s="87">
        <f t="shared" si="60"/>
        <v>80</v>
      </c>
      <c r="K176" s="87">
        <f t="shared" si="61"/>
        <v>0</v>
      </c>
      <c r="L176" s="87">
        <f t="shared" si="62"/>
        <v>0</v>
      </c>
      <c r="M176" s="87"/>
      <c r="N176" s="87"/>
      <c r="O176" s="87"/>
      <c r="P176" s="87"/>
      <c r="Q176" s="95">
        <f t="shared" si="56"/>
        <v>0</v>
      </c>
      <c r="R176" s="95"/>
      <c r="S176" s="88"/>
      <c r="T176" s="167"/>
      <c r="V176" s="168"/>
      <c r="W176" s="169">
        <f t="shared" si="63"/>
        <v>2</v>
      </c>
    </row>
    <row r="177" spans="1:27" x14ac:dyDescent="0.2">
      <c r="A177" s="89">
        <v>10</v>
      </c>
      <c r="B177" s="91" t="s">
        <v>352</v>
      </c>
      <c r="C177" s="88"/>
      <c r="D177" s="88"/>
      <c r="E177" s="88"/>
      <c r="F177" s="88"/>
      <c r="G177" s="87">
        <f t="shared" si="57"/>
        <v>3600</v>
      </c>
      <c r="H177" s="87">
        <f t="shared" si="58"/>
        <v>1400</v>
      </c>
      <c r="I177" s="101">
        <f t="shared" si="59"/>
        <v>2250</v>
      </c>
      <c r="J177" s="87">
        <f t="shared" si="60"/>
        <v>250</v>
      </c>
      <c r="K177" s="87">
        <f t="shared" si="61"/>
        <v>753.49</v>
      </c>
      <c r="L177" s="87">
        <f t="shared" si="62"/>
        <v>753.49</v>
      </c>
      <c r="M177" s="87"/>
      <c r="N177" s="87"/>
      <c r="O177" s="87"/>
      <c r="P177" s="87"/>
      <c r="Q177" s="95">
        <f t="shared" si="56"/>
        <v>53.820714285714288</v>
      </c>
      <c r="R177" s="95"/>
      <c r="S177" s="88"/>
      <c r="T177" s="167"/>
      <c r="V177" s="168"/>
      <c r="W177" s="169">
        <f t="shared" si="63"/>
        <v>1</v>
      </c>
    </row>
    <row r="178" spans="1:27" x14ac:dyDescent="0.2">
      <c r="A178" s="89">
        <v>11</v>
      </c>
      <c r="B178" s="91" t="s">
        <v>280</v>
      </c>
      <c r="C178" s="88"/>
      <c r="D178" s="88"/>
      <c r="E178" s="88"/>
      <c r="F178" s="88"/>
      <c r="G178" s="87">
        <f t="shared" si="57"/>
        <v>600</v>
      </c>
      <c r="H178" s="87">
        <f t="shared" si="58"/>
        <v>170</v>
      </c>
      <c r="I178" s="101">
        <f t="shared" si="59"/>
        <v>241</v>
      </c>
      <c r="J178" s="87">
        <f t="shared" si="60"/>
        <v>130</v>
      </c>
      <c r="K178" s="87">
        <f t="shared" si="61"/>
        <v>0</v>
      </c>
      <c r="L178" s="87">
        <f t="shared" si="62"/>
        <v>0</v>
      </c>
      <c r="M178" s="87"/>
      <c r="N178" s="87"/>
      <c r="O178" s="87"/>
      <c r="P178" s="87"/>
      <c r="Q178" s="95">
        <f t="shared" si="56"/>
        <v>0</v>
      </c>
      <c r="R178" s="95"/>
      <c r="S178" s="88"/>
      <c r="T178" s="167"/>
      <c r="V178" s="168"/>
      <c r="W178" s="169">
        <f t="shared" si="63"/>
        <v>2</v>
      </c>
    </row>
    <row r="179" spans="1:27" x14ac:dyDescent="0.2">
      <c r="A179" s="89">
        <v>12</v>
      </c>
      <c r="B179" s="91" t="s">
        <v>272</v>
      </c>
      <c r="C179" s="88"/>
      <c r="D179" s="88"/>
      <c r="E179" s="88"/>
      <c r="F179" s="88"/>
      <c r="G179" s="87">
        <f t="shared" si="57"/>
        <v>4700</v>
      </c>
      <c r="H179" s="87">
        <f t="shared" si="58"/>
        <v>2028</v>
      </c>
      <c r="I179" s="101">
        <f t="shared" si="59"/>
        <v>1957</v>
      </c>
      <c r="J179" s="87">
        <f t="shared" si="60"/>
        <v>397</v>
      </c>
      <c r="K179" s="87">
        <f t="shared" si="61"/>
        <v>0</v>
      </c>
      <c r="L179" s="87">
        <f t="shared" si="62"/>
        <v>0</v>
      </c>
      <c r="M179" s="87"/>
      <c r="N179" s="87"/>
      <c r="O179" s="87"/>
      <c r="P179" s="87"/>
      <c r="Q179" s="95">
        <f t="shared" si="56"/>
        <v>0</v>
      </c>
      <c r="R179" s="95"/>
      <c r="S179" s="88"/>
      <c r="T179" s="167"/>
      <c r="V179" s="168"/>
      <c r="W179" s="169">
        <f t="shared" si="63"/>
        <v>2</v>
      </c>
      <c r="Z179" s="74">
        <v>3</v>
      </c>
      <c r="AA179" s="77">
        <f>H179</f>
        <v>2028</v>
      </c>
    </row>
    <row r="180" spans="1:27" x14ac:dyDescent="0.2">
      <c r="A180" s="89">
        <v>13</v>
      </c>
      <c r="B180" s="91" t="s">
        <v>278</v>
      </c>
      <c r="C180" s="88"/>
      <c r="D180" s="88"/>
      <c r="E180" s="88"/>
      <c r="F180" s="88"/>
      <c r="G180" s="87">
        <f t="shared" si="57"/>
        <v>10620</v>
      </c>
      <c r="H180" s="87">
        <f t="shared" si="58"/>
        <v>1891</v>
      </c>
      <c r="I180" s="101">
        <f t="shared" si="59"/>
        <v>4905</v>
      </c>
      <c r="J180" s="87">
        <f t="shared" si="60"/>
        <v>905</v>
      </c>
      <c r="K180" s="87">
        <f t="shared" si="61"/>
        <v>0</v>
      </c>
      <c r="L180" s="87">
        <f t="shared" si="62"/>
        <v>0</v>
      </c>
      <c r="M180" s="87"/>
      <c r="N180" s="87"/>
      <c r="O180" s="87"/>
      <c r="P180" s="87"/>
      <c r="Q180" s="95">
        <f t="shared" si="56"/>
        <v>0</v>
      </c>
      <c r="R180" s="95"/>
      <c r="S180" s="88"/>
      <c r="T180" s="167"/>
      <c r="V180" s="168"/>
      <c r="W180" s="169">
        <f t="shared" si="63"/>
        <v>3</v>
      </c>
    </row>
    <row r="181" spans="1:27" x14ac:dyDescent="0.2">
      <c r="A181" s="89">
        <v>14</v>
      </c>
      <c r="B181" s="91" t="s">
        <v>271</v>
      </c>
      <c r="C181" s="88"/>
      <c r="D181" s="88"/>
      <c r="E181" s="88"/>
      <c r="F181" s="88"/>
      <c r="G181" s="87">
        <f t="shared" si="57"/>
        <v>4690</v>
      </c>
      <c r="H181" s="87">
        <f t="shared" si="58"/>
        <v>2205</v>
      </c>
      <c r="I181" s="101">
        <f t="shared" si="59"/>
        <v>871</v>
      </c>
      <c r="J181" s="87">
        <f t="shared" si="60"/>
        <v>331</v>
      </c>
      <c r="K181" s="87">
        <f t="shared" si="61"/>
        <v>0</v>
      </c>
      <c r="L181" s="87">
        <f t="shared" si="62"/>
        <v>0</v>
      </c>
      <c r="M181" s="87"/>
      <c r="N181" s="87"/>
      <c r="O181" s="87"/>
      <c r="P181" s="87"/>
      <c r="Q181" s="95">
        <f t="shared" si="56"/>
        <v>0</v>
      </c>
      <c r="R181" s="95"/>
      <c r="S181" s="88"/>
      <c r="T181" s="167"/>
      <c r="V181" s="168"/>
      <c r="W181" s="169">
        <f t="shared" si="63"/>
        <v>7</v>
      </c>
      <c r="Z181" s="74">
        <v>5</v>
      </c>
      <c r="AA181" s="77">
        <f>H181</f>
        <v>2205</v>
      </c>
    </row>
    <row r="182" spans="1:27" x14ac:dyDescent="0.2">
      <c r="A182" s="89">
        <v>15</v>
      </c>
      <c r="B182" s="91" t="s">
        <v>269</v>
      </c>
      <c r="C182" s="88"/>
      <c r="D182" s="88"/>
      <c r="E182" s="88"/>
      <c r="F182" s="88"/>
      <c r="G182" s="87">
        <f t="shared" si="57"/>
        <v>2290</v>
      </c>
      <c r="H182" s="87">
        <f t="shared" si="58"/>
        <v>605</v>
      </c>
      <c r="I182" s="101">
        <f t="shared" si="59"/>
        <v>916</v>
      </c>
      <c r="J182" s="87">
        <f t="shared" si="60"/>
        <v>337</v>
      </c>
      <c r="K182" s="87">
        <f t="shared" si="61"/>
        <v>309.63799999999998</v>
      </c>
      <c r="L182" s="87">
        <f t="shared" si="62"/>
        <v>309.63799999999998</v>
      </c>
      <c r="M182" s="87"/>
      <c r="N182" s="87"/>
      <c r="O182" s="87"/>
      <c r="P182" s="87"/>
      <c r="Q182" s="95">
        <f t="shared" si="56"/>
        <v>51.179834710743798</v>
      </c>
      <c r="R182" s="95"/>
      <c r="S182" s="88"/>
      <c r="T182" s="167"/>
      <c r="V182" s="168"/>
      <c r="W182" s="169">
        <f t="shared" si="63"/>
        <v>4</v>
      </c>
      <c r="Z182" s="74">
        <v>6</v>
      </c>
      <c r="AA182" s="77">
        <f>H182</f>
        <v>605</v>
      </c>
    </row>
    <row r="183" spans="1:27" x14ac:dyDescent="0.2">
      <c r="A183" s="89">
        <v>16</v>
      </c>
      <c r="B183" s="91" t="s">
        <v>275</v>
      </c>
      <c r="C183" s="88"/>
      <c r="D183" s="88"/>
      <c r="E183" s="88"/>
      <c r="F183" s="88"/>
      <c r="G183" s="87">
        <f t="shared" si="57"/>
        <v>2000</v>
      </c>
      <c r="H183" s="87">
        <f t="shared" si="58"/>
        <v>600</v>
      </c>
      <c r="I183" s="101">
        <f t="shared" si="59"/>
        <v>1120</v>
      </c>
      <c r="J183" s="87">
        <f t="shared" si="60"/>
        <v>120</v>
      </c>
      <c r="K183" s="87">
        <f t="shared" si="61"/>
        <v>0</v>
      </c>
      <c r="L183" s="87">
        <f t="shared" si="62"/>
        <v>0</v>
      </c>
      <c r="M183" s="87"/>
      <c r="N183" s="87"/>
      <c r="O183" s="87"/>
      <c r="P183" s="87"/>
      <c r="Q183" s="95">
        <f t="shared" si="56"/>
        <v>0</v>
      </c>
      <c r="R183" s="95"/>
      <c r="S183" s="88"/>
      <c r="T183" s="167"/>
      <c r="V183" s="168"/>
      <c r="W183" s="169">
        <f t="shared" si="63"/>
        <v>1</v>
      </c>
      <c r="Z183" s="74">
        <v>3</v>
      </c>
      <c r="AA183" s="77">
        <f>H183</f>
        <v>600</v>
      </c>
    </row>
    <row r="184" spans="1:27" x14ac:dyDescent="0.2">
      <c r="A184" s="89">
        <v>17</v>
      </c>
      <c r="B184" s="91" t="s">
        <v>273</v>
      </c>
      <c r="C184" s="88"/>
      <c r="D184" s="88"/>
      <c r="E184" s="88"/>
      <c r="F184" s="88"/>
      <c r="G184" s="87">
        <f t="shared" si="57"/>
        <v>13670</v>
      </c>
      <c r="H184" s="87">
        <f t="shared" si="58"/>
        <v>3161</v>
      </c>
      <c r="I184" s="101">
        <f t="shared" si="59"/>
        <v>5695</v>
      </c>
      <c r="J184" s="87">
        <f t="shared" si="60"/>
        <v>1195</v>
      </c>
      <c r="K184" s="87">
        <f t="shared" si="61"/>
        <v>0</v>
      </c>
      <c r="L184" s="87">
        <f t="shared" si="62"/>
        <v>0</v>
      </c>
      <c r="M184" s="87"/>
      <c r="N184" s="87"/>
      <c r="O184" s="87"/>
      <c r="P184" s="87"/>
      <c r="Q184" s="95">
        <f t="shared" si="56"/>
        <v>0</v>
      </c>
      <c r="R184" s="95"/>
      <c r="S184" s="88"/>
      <c r="T184" s="167"/>
      <c r="V184" s="168"/>
      <c r="W184" s="169">
        <f t="shared" si="63"/>
        <v>7</v>
      </c>
      <c r="Z184" s="74">
        <v>4</v>
      </c>
      <c r="AA184" s="77">
        <f>H184</f>
        <v>3161</v>
      </c>
    </row>
    <row r="185" spans="1:27" x14ac:dyDescent="0.2">
      <c r="A185" s="86"/>
      <c r="B185" s="116" t="s">
        <v>536</v>
      </c>
      <c r="G185" s="87">
        <f t="shared" si="57"/>
        <v>0</v>
      </c>
      <c r="H185" s="87">
        <f t="shared" si="58"/>
        <v>3935</v>
      </c>
      <c r="I185" s="101">
        <f t="shared" si="59"/>
        <v>0</v>
      </c>
      <c r="J185" s="87">
        <f t="shared" si="60"/>
        <v>0</v>
      </c>
      <c r="K185" s="87">
        <f t="shared" si="61"/>
        <v>0</v>
      </c>
      <c r="L185" s="87">
        <f t="shared" si="62"/>
        <v>0</v>
      </c>
      <c r="M185" s="87"/>
      <c r="N185" s="87"/>
      <c r="O185" s="87"/>
      <c r="P185" s="87"/>
      <c r="Q185" s="95">
        <f t="shared" si="56"/>
        <v>0</v>
      </c>
      <c r="R185" s="381"/>
      <c r="W185" s="169">
        <f t="shared" si="63"/>
        <v>2</v>
      </c>
      <c r="Z185" s="74">
        <f>SUM(Z174:Z184)</f>
        <v>28</v>
      </c>
    </row>
    <row r="186" spans="1:27" x14ac:dyDescent="0.2">
      <c r="A186" s="86"/>
    </row>
    <row r="191" spans="1:27" x14ac:dyDescent="0.2">
      <c r="G191" s="77"/>
      <c r="H191" s="77"/>
      <c r="I191" s="77"/>
      <c r="J191" s="77"/>
      <c r="K191" s="99"/>
      <c r="L191" s="99"/>
      <c r="M191" s="99"/>
      <c r="N191" s="99"/>
      <c r="O191" s="99"/>
      <c r="P191" s="99"/>
    </row>
    <row r="230" spans="8:16" x14ac:dyDescent="0.2">
      <c r="H230" s="77">
        <f>H143</f>
        <v>1506</v>
      </c>
    </row>
    <row r="231" spans="8:16" x14ac:dyDescent="0.2">
      <c r="H231" s="77">
        <f>H77</f>
        <v>2429</v>
      </c>
    </row>
    <row r="232" spans="8:16" x14ac:dyDescent="0.2">
      <c r="H232" s="77">
        <f>H231+H230</f>
        <v>3935</v>
      </c>
      <c r="I232" s="76">
        <f>H8-H232</f>
        <v>133704</v>
      </c>
      <c r="J232" s="170">
        <f>I232/H8*100</f>
        <v>97.141071934553437</v>
      </c>
      <c r="K232" s="81">
        <v>41722</v>
      </c>
      <c r="L232" s="171">
        <f>K232/I232*100</f>
        <v>31.204750792796027</v>
      </c>
      <c r="M232" s="171"/>
      <c r="N232" s="171"/>
      <c r="O232" s="171"/>
      <c r="P232" s="171"/>
    </row>
    <row r="234" spans="8:16" x14ac:dyDescent="0.2">
      <c r="I234" s="76">
        <f>H11-H232</f>
        <v>133704</v>
      </c>
    </row>
  </sheetData>
  <mergeCells count="23">
    <mergeCell ref="A166:B166"/>
    <mergeCell ref="R5:R7"/>
    <mergeCell ref="S5:S7"/>
    <mergeCell ref="W5:W7"/>
    <mergeCell ref="Y5:Y7"/>
    <mergeCell ref="F6:F7"/>
    <mergeCell ref="G6:G7"/>
    <mergeCell ref="H5:H7"/>
    <mergeCell ref="I5:J6"/>
    <mergeCell ref="K5:L6"/>
    <mergeCell ref="M5:N6"/>
    <mergeCell ref="O5:P6"/>
    <mergeCell ref="Q5:Q7"/>
    <mergeCell ref="A1:S1"/>
    <mergeCell ref="A2:S2"/>
    <mergeCell ref="A3:S3"/>
    <mergeCell ref="P4:S4"/>
    <mergeCell ref="A5:A7"/>
    <mergeCell ref="B5:B7"/>
    <mergeCell ref="C5:C7"/>
    <mergeCell ref="D5:D7"/>
    <mergeCell ref="E5:E7"/>
    <mergeCell ref="F5:G5"/>
  </mergeCells>
  <printOptions horizontalCentered="1"/>
  <pageMargins left="0.19685039370078741" right="0.19685039370078741" top="0.59055118110236227" bottom="0.39370078740157483" header="0.31496062992125984" footer="0.31496062992125984"/>
  <pageSetup paperSize="9" scale="63" orientation="landscape" r:id="rId1"/>
  <headerFooter>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21</vt:i4>
      </vt:variant>
    </vt:vector>
  </HeadingPairs>
  <TitlesOfParts>
    <vt:vector size="34" baseType="lpstr">
      <vt:lpstr>Bieu CKGN (ko in)</vt:lpstr>
      <vt:lpstr>Biểu TH</vt:lpstr>
      <vt:lpstr>NSNN</vt:lpstr>
      <vt:lpstr>MTQG</vt:lpstr>
      <vt:lpstr>Định hướng năm 2024</vt:lpstr>
      <vt:lpstr>NSĐP (2)</vt:lpstr>
      <vt:lpstr>NSTW</vt:lpstr>
      <vt:lpstr>NSĐP</vt:lpstr>
      <vt:lpstr>CT MTQG</vt:lpstr>
      <vt:lpstr>Giải ngân vốn kéo dài</vt:lpstr>
      <vt:lpstr>Sheet1</vt:lpstr>
      <vt:lpstr>Sheet2</vt:lpstr>
      <vt:lpstr>TH MTQG</vt:lpstr>
      <vt:lpstr>'Biểu TH'!Print_Area</vt:lpstr>
      <vt:lpstr>'CT MTQG'!Print_Area</vt:lpstr>
      <vt:lpstr>'Định hướng năm 2024'!Print_Area</vt:lpstr>
      <vt:lpstr>'Giải ngân vốn kéo dài'!Print_Area</vt:lpstr>
      <vt:lpstr>MTQG!Print_Area</vt:lpstr>
      <vt:lpstr>NSĐP!Print_Area</vt:lpstr>
      <vt:lpstr>'NSĐP (2)'!Print_Area</vt:lpstr>
      <vt:lpstr>NSNN!Print_Area</vt:lpstr>
      <vt:lpstr>NSTW!Print_Area</vt:lpstr>
      <vt:lpstr>'TH MTQG'!Print_Area</vt:lpstr>
      <vt:lpstr>'Bieu CKGN (ko in)'!Print_Titles</vt:lpstr>
      <vt:lpstr>'Biểu TH'!Print_Titles</vt:lpstr>
      <vt:lpstr>'CT MTQG'!Print_Titles</vt:lpstr>
      <vt:lpstr>'Định hướng năm 2024'!Print_Titles</vt:lpstr>
      <vt:lpstr>'Giải ngân vốn kéo dài'!Print_Titles</vt:lpstr>
      <vt:lpstr>MTQG!Print_Titles</vt:lpstr>
      <vt:lpstr>NSĐP!Print_Titles</vt:lpstr>
      <vt:lpstr>'NSĐP (2)'!Print_Titles</vt:lpstr>
      <vt:lpstr>NSNN!Print_Titles</vt:lpstr>
      <vt:lpstr>NSTW!Print_Titles</vt:lpstr>
      <vt:lpstr>'TH MTQG'!Print_Titles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Chuyen vien</cp:lastModifiedBy>
  <cp:lastPrinted>2023-10-17T04:14:38Z</cp:lastPrinted>
  <dcterms:created xsi:type="dcterms:W3CDTF">2022-01-17T07:13:25Z</dcterms:created>
  <dcterms:modified xsi:type="dcterms:W3CDTF">2023-10-17T04:14:57Z</dcterms:modified>
</cp:coreProperties>
</file>