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ÀI LIỆU TỪ 05-7-2022\Phòng TC-KH\Năm 2023\BC\BC tháng 02 năm 2023\"/>
    </mc:Choice>
  </mc:AlternateContent>
  <bookViews>
    <workbookView xWindow="0" yWindow="0" windowWidth="20490" windowHeight="7665" firstSheet="2" activeTab="5"/>
  </bookViews>
  <sheets>
    <sheet name="Bieu CKGN (ko in)" sheetId="1" state="hidden" r:id="rId1"/>
    <sheet name="Sheet1" sheetId="3" state="hidden" r:id="rId2"/>
    <sheet name="Biểu 1" sheetId="4" r:id="rId3"/>
    <sheet name="Bieu 2" sheetId="5" r:id="rId4"/>
    <sheet name="Bieu 3" sheetId="6" r:id="rId5"/>
    <sheet name="Bieu 4" sheetId="2" r:id="rId6"/>
  </sheets>
  <definedNames>
    <definedName name="_xlnm.Print_Area" localSheetId="3">'Bieu 2'!$A$1:$S$88</definedName>
    <definedName name="_xlnm.Print_Area" localSheetId="4">'Bieu 3'!$A$1:$S$25</definedName>
    <definedName name="_xlnm.Print_Area" localSheetId="5">'Bieu 4'!$A$1:$N$117</definedName>
    <definedName name="_xlnm.Print_Titles" localSheetId="3">'Bieu 2'!$5:$7</definedName>
    <definedName name="_xlnm.Print_Titles" localSheetId="4">'Bieu 3'!$5:$7</definedName>
    <definedName name="_xlnm.Print_Titles" localSheetId="5">'Bieu 4'!$5:$7</definedName>
    <definedName name="_xlnm.Print_Titles" localSheetId="0">'Bieu CKGN (ko in)'!$5:$6</definedName>
  </definedNames>
  <calcPr calcId="162913"/>
</workbook>
</file>

<file path=xl/calcChain.xml><?xml version="1.0" encoding="utf-8"?>
<calcChain xmlns="http://schemas.openxmlformats.org/spreadsheetml/2006/main">
  <c r="N120" i="2" l="1"/>
  <c r="N121" i="2"/>
  <c r="N122" i="2"/>
  <c r="N123" i="2"/>
  <c r="N124" i="2"/>
  <c r="N125" i="2"/>
  <c r="N126" i="2"/>
  <c r="N127" i="2"/>
  <c r="N128" i="2"/>
  <c r="N129" i="2"/>
  <c r="N130" i="2"/>
  <c r="N131" i="2"/>
  <c r="N132" i="2"/>
  <c r="N133" i="2"/>
  <c r="N134" i="2"/>
  <c r="N135" i="2"/>
  <c r="N136" i="2"/>
  <c r="N137" i="2"/>
  <c r="N119" i="2"/>
  <c r="F118" i="2"/>
  <c r="K118" i="2"/>
  <c r="M118" i="2"/>
  <c r="D137" i="2"/>
  <c r="H137" i="2"/>
  <c r="I137" i="2"/>
  <c r="J137" i="2"/>
  <c r="L137" i="2"/>
  <c r="P137" i="2"/>
  <c r="N118" i="2" l="1"/>
  <c r="M67" i="2"/>
  <c r="H17" i="5" l="1"/>
  <c r="M20" i="6" l="1"/>
  <c r="N20" i="6" s="1"/>
  <c r="N23" i="6"/>
  <c r="N21" i="6"/>
  <c r="N19" i="6"/>
  <c r="E16" i="4" l="1"/>
  <c r="B19" i="4"/>
  <c r="B18" i="4"/>
  <c r="B17" i="4"/>
  <c r="I14" i="4"/>
  <c r="E14" i="4"/>
  <c r="I8" i="4"/>
  <c r="E8" i="4"/>
  <c r="E7" i="4" s="1"/>
  <c r="B13" i="4"/>
  <c r="B12" i="4"/>
  <c r="P83" i="5" l="1"/>
  <c r="P72" i="5"/>
  <c r="P71" i="5"/>
  <c r="P70" i="5"/>
  <c r="P68" i="5"/>
  <c r="P43" i="5"/>
  <c r="P42" i="5"/>
  <c r="P41" i="5"/>
  <c r="P39" i="5"/>
  <c r="P37" i="5"/>
  <c r="P26" i="5"/>
  <c r="P24" i="5"/>
  <c r="O83" i="5"/>
  <c r="O72" i="5"/>
  <c r="O71" i="5"/>
  <c r="O70" i="5"/>
  <c r="O68" i="5"/>
  <c r="O43" i="5"/>
  <c r="O42" i="5"/>
  <c r="O41" i="5"/>
  <c r="O39" i="5"/>
  <c r="O37" i="5"/>
  <c r="O26" i="5"/>
  <c r="O24" i="5"/>
  <c r="H52" i="5"/>
  <c r="H51" i="5"/>
  <c r="H50" i="5"/>
  <c r="H49" i="5"/>
  <c r="H48" i="5"/>
  <c r="H47" i="5"/>
  <c r="H46" i="5"/>
  <c r="H45" i="5"/>
  <c r="H43" i="5"/>
  <c r="H42" i="5"/>
  <c r="H41" i="5"/>
  <c r="H39" i="5"/>
  <c r="H38" i="5"/>
  <c r="H37" i="5"/>
  <c r="H34" i="5"/>
  <c r="H26" i="5"/>
  <c r="H24" i="5"/>
  <c r="H23" i="5"/>
  <c r="H22" i="5"/>
  <c r="H21" i="5"/>
  <c r="H20" i="5"/>
  <c r="H19" i="5"/>
  <c r="H18" i="5"/>
  <c r="H23" i="6" l="1"/>
  <c r="G91" i="2"/>
  <c r="I91" i="2"/>
  <c r="F66" i="2"/>
  <c r="G66" i="2"/>
  <c r="H66" i="2"/>
  <c r="I66" i="2"/>
  <c r="J66" i="2"/>
  <c r="K66" i="2"/>
  <c r="L66" i="2"/>
  <c r="M66" i="2"/>
  <c r="E67" i="2"/>
  <c r="E137" i="2" s="1"/>
  <c r="T137" i="2" s="1"/>
  <c r="E66" i="2" l="1"/>
  <c r="K111" i="2"/>
  <c r="K110" i="2"/>
  <c r="K109" i="2"/>
  <c r="K108" i="2"/>
  <c r="K107" i="2"/>
  <c r="K106" i="2"/>
  <c r="K89" i="2"/>
  <c r="K88" i="2"/>
  <c r="K85" i="2"/>
  <c r="K80" i="2"/>
  <c r="K77" i="2"/>
  <c r="K76" i="2"/>
  <c r="K75" i="2"/>
  <c r="K74" i="2"/>
  <c r="K73" i="2"/>
  <c r="K72" i="2"/>
  <c r="K71" i="2"/>
  <c r="K70" i="2"/>
  <c r="K69" i="2"/>
  <c r="K65" i="2"/>
  <c r="K64" i="2"/>
  <c r="K62" i="2"/>
  <c r="K57" i="2"/>
  <c r="K56" i="2"/>
  <c r="K53" i="2"/>
  <c r="K52" i="2"/>
  <c r="K51" i="2"/>
  <c r="K50" i="2"/>
  <c r="K49" i="2"/>
  <c r="K48" i="2"/>
  <c r="K47" i="2"/>
  <c r="K46" i="2"/>
  <c r="K45" i="2"/>
  <c r="K44" i="2"/>
  <c r="K43" i="2"/>
  <c r="K42" i="2"/>
  <c r="K41" i="2"/>
  <c r="K40" i="2"/>
  <c r="K39" i="2"/>
  <c r="K38" i="2"/>
  <c r="K37" i="2"/>
  <c r="K36" i="2"/>
  <c r="K21" i="2"/>
  <c r="K24" i="2"/>
  <c r="K31" i="2"/>
  <c r="K33" i="2"/>
  <c r="K18" i="2"/>
  <c r="K17" i="2"/>
  <c r="J111" i="2"/>
  <c r="J110" i="2"/>
  <c r="J109" i="2"/>
  <c r="J108" i="2"/>
  <c r="J107" i="2"/>
  <c r="J106" i="2"/>
  <c r="J89" i="2"/>
  <c r="J88" i="2"/>
  <c r="J85" i="2"/>
  <c r="J80" i="2"/>
  <c r="J77" i="2"/>
  <c r="J76" i="2"/>
  <c r="J75" i="2"/>
  <c r="J74" i="2"/>
  <c r="J73" i="2"/>
  <c r="J72" i="2"/>
  <c r="J71" i="2"/>
  <c r="J70" i="2"/>
  <c r="J69" i="2"/>
  <c r="J65" i="2"/>
  <c r="J64" i="2"/>
  <c r="J62" i="2"/>
  <c r="J37" i="2"/>
  <c r="J38" i="2"/>
  <c r="J39" i="2"/>
  <c r="J40" i="2"/>
  <c r="J41" i="2"/>
  <c r="J42" i="2"/>
  <c r="J43" i="2"/>
  <c r="J44" i="2"/>
  <c r="J45" i="2"/>
  <c r="J46" i="2"/>
  <c r="J47" i="2"/>
  <c r="J48" i="2"/>
  <c r="J49" i="2"/>
  <c r="J50" i="2"/>
  <c r="J51" i="2"/>
  <c r="J52" i="2"/>
  <c r="J53" i="2"/>
  <c r="J56" i="2"/>
  <c r="J57" i="2"/>
  <c r="J36" i="2"/>
  <c r="J18" i="2"/>
  <c r="J21" i="2"/>
  <c r="J24" i="2"/>
  <c r="J31" i="2"/>
  <c r="J33" i="2"/>
  <c r="J17" i="2"/>
  <c r="M78" i="2"/>
  <c r="M94" i="2"/>
  <c r="M93" i="2"/>
  <c r="M92" i="2"/>
  <c r="M115" i="2"/>
  <c r="M114" i="2"/>
  <c r="M113" i="2"/>
  <c r="M112" i="2"/>
  <c r="M111" i="2"/>
  <c r="M110" i="2"/>
  <c r="M109" i="2"/>
  <c r="M108" i="2"/>
  <c r="M107" i="2"/>
  <c r="M106" i="2"/>
  <c r="M104" i="2"/>
  <c r="M103" i="2"/>
  <c r="M102" i="2"/>
  <c r="M101" i="2"/>
  <c r="M100" i="2"/>
  <c r="M99" i="2"/>
  <c r="M98" i="2"/>
  <c r="M97" i="2"/>
  <c r="M96" i="2"/>
  <c r="M95" i="2"/>
  <c r="M89" i="2"/>
  <c r="M88" i="2"/>
  <c r="M86" i="2"/>
  <c r="M85" i="2"/>
  <c r="M84" i="2"/>
  <c r="M83" i="2"/>
  <c r="M82" i="2"/>
  <c r="M81" i="2"/>
  <c r="M80" i="2"/>
  <c r="M79" i="2"/>
  <c r="M77" i="2"/>
  <c r="M76" i="2"/>
  <c r="M75" i="2"/>
  <c r="M74" i="2"/>
  <c r="M73" i="2"/>
  <c r="M72" i="2"/>
  <c r="M71" i="2"/>
  <c r="M70" i="2"/>
  <c r="M69" i="2"/>
  <c r="M65" i="2"/>
  <c r="M64" i="2"/>
  <c r="M62" i="2"/>
  <c r="M61" i="2"/>
  <c r="M37" i="2"/>
  <c r="M38" i="2"/>
  <c r="M39" i="2"/>
  <c r="M40" i="2"/>
  <c r="M41" i="2"/>
  <c r="M42" i="2"/>
  <c r="M43" i="2"/>
  <c r="M44" i="2"/>
  <c r="M45" i="2"/>
  <c r="M46" i="2"/>
  <c r="M47" i="2"/>
  <c r="M48" i="2"/>
  <c r="M49" i="2"/>
  <c r="M50" i="2"/>
  <c r="M51" i="2"/>
  <c r="M52" i="2"/>
  <c r="M53" i="2"/>
  <c r="M54" i="2"/>
  <c r="M55" i="2"/>
  <c r="M56" i="2"/>
  <c r="M57" i="2"/>
  <c r="M36" i="2"/>
  <c r="M33" i="2"/>
  <c r="M32" i="2"/>
  <c r="M18" i="2"/>
  <c r="M21" i="2"/>
  <c r="M24" i="2"/>
  <c r="M17" i="2"/>
  <c r="M31" i="2"/>
  <c r="M30" i="2"/>
  <c r="M29" i="2"/>
  <c r="M91" i="2" l="1"/>
  <c r="F105" i="2"/>
  <c r="F91" i="2"/>
  <c r="F90" i="2" s="1"/>
  <c r="F87" i="2"/>
  <c r="F68" i="2"/>
  <c r="F63" i="2"/>
  <c r="F60" i="2"/>
  <c r="F35" i="2"/>
  <c r="F34" i="2" s="1"/>
  <c r="F16" i="2"/>
  <c r="F15" i="2" s="1"/>
  <c r="F13" i="2"/>
  <c r="F12" i="2"/>
  <c r="F11" i="2"/>
  <c r="F10" i="2"/>
  <c r="F9" i="2"/>
  <c r="G105" i="2"/>
  <c r="I105" i="2"/>
  <c r="L105" i="2"/>
  <c r="M105" i="2"/>
  <c r="G90" i="2"/>
  <c r="I90" i="2"/>
  <c r="M90" i="2"/>
  <c r="G87" i="2"/>
  <c r="H87" i="2"/>
  <c r="I87" i="2"/>
  <c r="J87" i="2"/>
  <c r="K87" i="2"/>
  <c r="L87" i="2"/>
  <c r="M87" i="2"/>
  <c r="G68" i="2"/>
  <c r="I68" i="2"/>
  <c r="L68" i="2"/>
  <c r="M68" i="2"/>
  <c r="G63" i="2"/>
  <c r="H63" i="2"/>
  <c r="I63" i="2"/>
  <c r="J63" i="2"/>
  <c r="K63" i="2"/>
  <c r="L63" i="2"/>
  <c r="M63" i="2"/>
  <c r="G60" i="2"/>
  <c r="I60" i="2"/>
  <c r="L60" i="2"/>
  <c r="M60" i="2"/>
  <c r="G35" i="2"/>
  <c r="G34" i="2" s="1"/>
  <c r="D18" i="4" s="1"/>
  <c r="I35" i="2"/>
  <c r="I34" i="2" s="1"/>
  <c r="L35" i="2"/>
  <c r="L34" i="2" s="1"/>
  <c r="M35" i="2"/>
  <c r="M34" i="2" s="1"/>
  <c r="G16" i="2"/>
  <c r="G15" i="2" s="1"/>
  <c r="D17" i="4" s="1"/>
  <c r="I16" i="2"/>
  <c r="I15" i="2" s="1"/>
  <c r="L16" i="2"/>
  <c r="L15" i="2" s="1"/>
  <c r="F59" i="2" l="1"/>
  <c r="C18" i="4"/>
  <c r="C17" i="4"/>
  <c r="F58" i="2"/>
  <c r="L59" i="2"/>
  <c r="L58" i="2" s="1"/>
  <c r="L14" i="2" s="1"/>
  <c r="L8" i="2" s="1"/>
  <c r="G59" i="2"/>
  <c r="G58" i="2" s="1"/>
  <c r="F14" i="2"/>
  <c r="F8" i="2" s="1"/>
  <c r="I59" i="2"/>
  <c r="I58" i="2" s="1"/>
  <c r="I14" i="2" s="1"/>
  <c r="I8" i="2" s="1"/>
  <c r="M59" i="2"/>
  <c r="M58" i="2" s="1"/>
  <c r="G22" i="6"/>
  <c r="H22" i="6"/>
  <c r="J22" i="6"/>
  <c r="J15" i="6" s="1"/>
  <c r="J8" i="6" s="1"/>
  <c r="K22" i="6"/>
  <c r="L22" i="6"/>
  <c r="M22" i="6"/>
  <c r="M15" i="6" s="1"/>
  <c r="M8" i="6" s="1"/>
  <c r="N22" i="6"/>
  <c r="Q22" i="6"/>
  <c r="R22" i="6"/>
  <c r="G18" i="6"/>
  <c r="J18" i="6"/>
  <c r="K18" i="6"/>
  <c r="L18" i="6"/>
  <c r="M18" i="6"/>
  <c r="N18" i="6"/>
  <c r="Q18" i="6"/>
  <c r="R18" i="6"/>
  <c r="K15" i="6"/>
  <c r="K8" i="6" s="1"/>
  <c r="L15" i="6"/>
  <c r="X45" i="6"/>
  <c r="U44" i="6"/>
  <c r="M44" i="6"/>
  <c r="L44" i="6"/>
  <c r="K44" i="6"/>
  <c r="J44" i="6"/>
  <c r="I44" i="6"/>
  <c r="Y44" i="6" s="1"/>
  <c r="H44" i="6"/>
  <c r="F44" i="6"/>
  <c r="U43" i="6"/>
  <c r="M43" i="6"/>
  <c r="K43" i="6"/>
  <c r="J43" i="6"/>
  <c r="I43" i="6"/>
  <c r="Y43" i="6" s="1"/>
  <c r="H43" i="6"/>
  <c r="F43" i="6"/>
  <c r="U42" i="6"/>
  <c r="M42" i="6"/>
  <c r="K42" i="6"/>
  <c r="I42" i="6"/>
  <c r="Y42" i="6" s="1"/>
  <c r="H42" i="6"/>
  <c r="F42" i="6"/>
  <c r="U41" i="6"/>
  <c r="M41" i="6"/>
  <c r="K41" i="6"/>
  <c r="I41" i="6"/>
  <c r="Y41" i="6" s="1"/>
  <c r="H41" i="6"/>
  <c r="F41" i="6"/>
  <c r="U40" i="6"/>
  <c r="M40" i="6"/>
  <c r="K40" i="6"/>
  <c r="J40" i="6"/>
  <c r="I40" i="6"/>
  <c r="H40" i="6"/>
  <c r="F40" i="6"/>
  <c r="U39" i="6"/>
  <c r="M39" i="6"/>
  <c r="K39" i="6"/>
  <c r="I39" i="6"/>
  <c r="Y39" i="6" s="1"/>
  <c r="H39" i="6"/>
  <c r="F39" i="6"/>
  <c r="U38" i="6"/>
  <c r="M38" i="6"/>
  <c r="K38" i="6"/>
  <c r="I38" i="6"/>
  <c r="H38" i="6"/>
  <c r="F38" i="6"/>
  <c r="U37" i="6"/>
  <c r="M37" i="6"/>
  <c r="K37" i="6"/>
  <c r="J37" i="6"/>
  <c r="I37" i="6"/>
  <c r="H37" i="6"/>
  <c r="F37" i="6"/>
  <c r="U36" i="6"/>
  <c r="M36" i="6"/>
  <c r="K36" i="6"/>
  <c r="J36" i="6"/>
  <c r="I36" i="6"/>
  <c r="H36" i="6"/>
  <c r="F36" i="6"/>
  <c r="U35" i="6"/>
  <c r="M35" i="6"/>
  <c r="K35" i="6"/>
  <c r="I35" i="6"/>
  <c r="H35" i="6"/>
  <c r="F35" i="6"/>
  <c r="U34" i="6"/>
  <c r="M34" i="6"/>
  <c r="K34" i="6"/>
  <c r="I34" i="6"/>
  <c r="Y34" i="6" s="1"/>
  <c r="H34" i="6"/>
  <c r="F34" i="6"/>
  <c r="U33" i="6"/>
  <c r="M33" i="6"/>
  <c r="K33" i="6"/>
  <c r="J33" i="6"/>
  <c r="I33" i="6"/>
  <c r="H33" i="6"/>
  <c r="F33" i="6"/>
  <c r="U32" i="6"/>
  <c r="M32" i="6"/>
  <c r="K32" i="6"/>
  <c r="J32" i="6"/>
  <c r="I32" i="6"/>
  <c r="H32" i="6"/>
  <c r="F32" i="6"/>
  <c r="U31" i="6"/>
  <c r="M31" i="6"/>
  <c r="K31" i="6"/>
  <c r="J31" i="6"/>
  <c r="I31" i="6"/>
  <c r="H31" i="6"/>
  <c r="F31" i="6"/>
  <c r="U30" i="6"/>
  <c r="P30" i="6"/>
  <c r="O30" i="6"/>
  <c r="L30" i="6"/>
  <c r="K30" i="6"/>
  <c r="J30" i="6"/>
  <c r="H30" i="6"/>
  <c r="U29" i="6"/>
  <c r="P29" i="6"/>
  <c r="O29" i="6"/>
  <c r="M29" i="6"/>
  <c r="K29" i="6"/>
  <c r="J29" i="6"/>
  <c r="H29" i="6"/>
  <c r="U28" i="6"/>
  <c r="P28" i="6"/>
  <c r="O28" i="6"/>
  <c r="M28" i="6"/>
  <c r="K28" i="6"/>
  <c r="J28" i="6"/>
  <c r="H28" i="6"/>
  <c r="U27" i="6"/>
  <c r="K27" i="6"/>
  <c r="G26" i="6"/>
  <c r="V24" i="6"/>
  <c r="J35" i="6"/>
  <c r="J39" i="6"/>
  <c r="J34" i="6"/>
  <c r="J41" i="6"/>
  <c r="J38" i="6"/>
  <c r="J42" i="6"/>
  <c r="R31" i="6"/>
  <c r="Q31" i="6"/>
  <c r="P31" i="6"/>
  <c r="L31" i="6"/>
  <c r="L35" i="6"/>
  <c r="R37" i="6"/>
  <c r="Q37" i="6"/>
  <c r="P37" i="6"/>
  <c r="L37" i="6"/>
  <c r="L40" i="6"/>
  <c r="R38" i="6"/>
  <c r="Q38" i="6"/>
  <c r="P38" i="6"/>
  <c r="O38" i="6"/>
  <c r="R33" i="6"/>
  <c r="P33" i="6"/>
  <c r="L33" i="6"/>
  <c r="R40" i="6"/>
  <c r="P40" i="6"/>
  <c r="O40" i="6"/>
  <c r="R36" i="6"/>
  <c r="P36" i="6"/>
  <c r="O36" i="6"/>
  <c r="L36" i="6"/>
  <c r="P43" i="6"/>
  <c r="R32" i="6"/>
  <c r="Q32" i="6"/>
  <c r="P32" i="6"/>
  <c r="O32" i="6"/>
  <c r="L32" i="6"/>
  <c r="R44" i="6"/>
  <c r="P44" i="6"/>
  <c r="O44" i="6"/>
  <c r="R39" i="6"/>
  <c r="Q39" i="6"/>
  <c r="P39" i="6"/>
  <c r="L39" i="6"/>
  <c r="R41" i="6"/>
  <c r="P41" i="6"/>
  <c r="O41" i="6"/>
  <c r="L41" i="6"/>
  <c r="P35" i="6"/>
  <c r="L28" i="6"/>
  <c r="I28" i="6"/>
  <c r="L29" i="6"/>
  <c r="F29" i="6"/>
  <c r="M30" i="6"/>
  <c r="I30" i="6"/>
  <c r="F30" i="6"/>
  <c r="AI23" i="6"/>
  <c r="AG23" i="6"/>
  <c r="X23" i="6"/>
  <c r="I23" i="6"/>
  <c r="F22" i="6"/>
  <c r="AG21" i="6"/>
  <c r="Y21" i="6"/>
  <c r="I21" i="6"/>
  <c r="F21" i="6"/>
  <c r="E21" i="6"/>
  <c r="B21" i="6"/>
  <c r="A21" i="6"/>
  <c r="AG20" i="6"/>
  <c r="Y20" i="6"/>
  <c r="I20" i="6"/>
  <c r="F20" i="6"/>
  <c r="E20" i="6"/>
  <c r="B20" i="6"/>
  <c r="A20" i="6"/>
  <c r="AJ19" i="6"/>
  <c r="AG19" i="6"/>
  <c r="Z19" i="6"/>
  <c r="Y19" i="6"/>
  <c r="I19" i="6"/>
  <c r="H18" i="6"/>
  <c r="H15" i="6" s="1"/>
  <c r="H8" i="6" s="1"/>
  <c r="F19" i="6"/>
  <c r="E19" i="6"/>
  <c r="B19" i="6"/>
  <c r="A19" i="6"/>
  <c r="B18" i="6"/>
  <c r="A18" i="6"/>
  <c r="B17" i="6"/>
  <c r="A17" i="6"/>
  <c r="B16" i="6"/>
  <c r="A16" i="6"/>
  <c r="B15" i="6"/>
  <c r="B15" i="4" s="1"/>
  <c r="A15" i="6"/>
  <c r="S13" i="6"/>
  <c r="M13" i="6"/>
  <c r="L13" i="6"/>
  <c r="K13" i="6"/>
  <c r="J13" i="6"/>
  <c r="H13" i="6"/>
  <c r="F13" i="6"/>
  <c r="S12" i="6"/>
  <c r="M12" i="6"/>
  <c r="L12" i="6"/>
  <c r="K12" i="6"/>
  <c r="J12" i="6"/>
  <c r="H12" i="6"/>
  <c r="S11" i="6"/>
  <c r="M11" i="6"/>
  <c r="L11" i="6"/>
  <c r="K11" i="6"/>
  <c r="J11" i="6"/>
  <c r="I11" i="6"/>
  <c r="H11" i="6"/>
  <c r="F11" i="6"/>
  <c r="S10" i="6"/>
  <c r="M10" i="6"/>
  <c r="L10" i="6"/>
  <c r="K10" i="6"/>
  <c r="J10" i="6"/>
  <c r="I10" i="6"/>
  <c r="H10" i="6"/>
  <c r="F10" i="6"/>
  <c r="S9" i="6"/>
  <c r="S8" i="6" s="1"/>
  <c r="K9" i="6"/>
  <c r="J9" i="6"/>
  <c r="I9" i="6"/>
  <c r="H9" i="6"/>
  <c r="F9" i="6"/>
  <c r="Y8" i="6"/>
  <c r="Y10" i="6" s="1"/>
  <c r="V5" i="6"/>
  <c r="F15" i="4" l="1"/>
  <c r="O18" i="6"/>
  <c r="I12" i="6"/>
  <c r="P19" i="6"/>
  <c r="O19" i="6"/>
  <c r="O27" i="6" s="1"/>
  <c r="AF21" i="6"/>
  <c r="P21" i="6"/>
  <c r="O21" i="6"/>
  <c r="AF23" i="6"/>
  <c r="P23" i="6"/>
  <c r="P22" i="6" s="1"/>
  <c r="O23" i="6"/>
  <c r="O22" i="6" s="1"/>
  <c r="I13" i="6"/>
  <c r="AF20" i="6"/>
  <c r="P20" i="6"/>
  <c r="P27" i="6" s="1"/>
  <c r="O20" i="6"/>
  <c r="L8" i="6"/>
  <c r="F12" i="6"/>
  <c r="G15" i="6"/>
  <c r="G8" i="6" s="1"/>
  <c r="G14" i="2"/>
  <c r="G8" i="2" s="1"/>
  <c r="D19" i="4"/>
  <c r="N15" i="6"/>
  <c r="N8" i="6" s="1"/>
  <c r="K26" i="6"/>
  <c r="I18" i="6"/>
  <c r="I22" i="6"/>
  <c r="U26" i="6"/>
  <c r="AB20" i="6"/>
  <c r="AD20" i="6" s="1"/>
  <c r="F27" i="6"/>
  <c r="F18" i="6"/>
  <c r="F15" i="6" s="1"/>
  <c r="F8" i="6" s="1"/>
  <c r="J27" i="6"/>
  <c r="J26" i="6" s="1"/>
  <c r="R29" i="6"/>
  <c r="I27" i="6"/>
  <c r="AF19" i="6"/>
  <c r="R15" i="6"/>
  <c r="R8" i="6" s="1"/>
  <c r="H27" i="6"/>
  <c r="H26" i="6" s="1"/>
  <c r="F28" i="6"/>
  <c r="I29" i="6"/>
  <c r="R35" i="6"/>
  <c r="Q35" i="6"/>
  <c r="L42" i="6"/>
  <c r="R42" i="6"/>
  <c r="O39" i="6"/>
  <c r="Q44" i="6"/>
  <c r="O43" i="6"/>
  <c r="Q36" i="6"/>
  <c r="L34" i="6"/>
  <c r="R34" i="6"/>
  <c r="O31" i="6"/>
  <c r="K51" i="6"/>
  <c r="O34" i="6"/>
  <c r="O33" i="6"/>
  <c r="L38" i="6"/>
  <c r="P42" i="6"/>
  <c r="O35" i="6"/>
  <c r="Q43" i="6"/>
  <c r="P34" i="6"/>
  <c r="R27" i="6"/>
  <c r="Q42" i="6"/>
  <c r="Q41" i="6"/>
  <c r="L43" i="6"/>
  <c r="R43" i="6"/>
  <c r="Q34" i="6"/>
  <c r="G85" i="5"/>
  <c r="H85" i="5"/>
  <c r="J85" i="5"/>
  <c r="K85" i="5"/>
  <c r="N85" i="5"/>
  <c r="Q85" i="5"/>
  <c r="R85" i="5"/>
  <c r="G75" i="5"/>
  <c r="G74" i="5" s="1"/>
  <c r="G73" i="5" s="1"/>
  <c r="H75" i="5"/>
  <c r="I75" i="5"/>
  <c r="K75" i="5"/>
  <c r="M75" i="5"/>
  <c r="N75" i="5"/>
  <c r="Q75" i="5"/>
  <c r="Q74" i="5" s="1"/>
  <c r="R75" i="5"/>
  <c r="R74" i="5" s="1"/>
  <c r="N74" i="5"/>
  <c r="N73" i="5" s="1"/>
  <c r="G69" i="5"/>
  <c r="H69" i="5"/>
  <c r="I69" i="5"/>
  <c r="D12" i="4" s="1"/>
  <c r="J69" i="5"/>
  <c r="K69" i="5"/>
  <c r="L69" i="5"/>
  <c r="M69" i="5"/>
  <c r="N69" i="5"/>
  <c r="P69" i="5"/>
  <c r="Q69" i="5"/>
  <c r="R69" i="5"/>
  <c r="G67" i="5"/>
  <c r="G63" i="5" s="1"/>
  <c r="H67" i="5"/>
  <c r="I67" i="5"/>
  <c r="K67" i="5"/>
  <c r="L67" i="5"/>
  <c r="M67" i="5"/>
  <c r="N67" i="5"/>
  <c r="O67" i="5"/>
  <c r="P67" i="5"/>
  <c r="Q67" i="5"/>
  <c r="R67" i="5"/>
  <c r="G64" i="5"/>
  <c r="H64" i="5"/>
  <c r="J64" i="5"/>
  <c r="K64" i="5"/>
  <c r="K63" i="5" s="1"/>
  <c r="M64" i="5"/>
  <c r="N64" i="5"/>
  <c r="Q64" i="5"/>
  <c r="R64" i="5"/>
  <c r="H63" i="5"/>
  <c r="N63" i="5"/>
  <c r="Q63" i="5"/>
  <c r="R63" i="5"/>
  <c r="G60" i="5"/>
  <c r="H60" i="5"/>
  <c r="J60" i="5"/>
  <c r="K60" i="5"/>
  <c r="K59" i="5" s="1"/>
  <c r="M60" i="5"/>
  <c r="N60" i="5"/>
  <c r="N59" i="5" s="1"/>
  <c r="Q60" i="5"/>
  <c r="R60" i="5"/>
  <c r="R59" i="5" s="1"/>
  <c r="Q59" i="5"/>
  <c r="G54" i="5"/>
  <c r="H54" i="5"/>
  <c r="J54" i="5"/>
  <c r="K54" i="5"/>
  <c r="L54" i="5"/>
  <c r="M54" i="5"/>
  <c r="N54" i="5"/>
  <c r="Q54" i="5"/>
  <c r="R54" i="5"/>
  <c r="G44" i="5"/>
  <c r="H44" i="5"/>
  <c r="K44" i="5"/>
  <c r="N44" i="5"/>
  <c r="Q44" i="5"/>
  <c r="R44" i="5"/>
  <c r="G40" i="5"/>
  <c r="H40" i="5"/>
  <c r="I40" i="5"/>
  <c r="J40" i="5"/>
  <c r="K40" i="5"/>
  <c r="L40" i="5"/>
  <c r="N40" i="5"/>
  <c r="P40" i="5"/>
  <c r="Q40" i="5"/>
  <c r="R40" i="5"/>
  <c r="G33" i="5"/>
  <c r="H33" i="5"/>
  <c r="J33" i="5"/>
  <c r="K33" i="5"/>
  <c r="N33" i="5"/>
  <c r="Q33" i="5"/>
  <c r="Q32" i="5" s="1"/>
  <c r="R33" i="5"/>
  <c r="N32" i="5"/>
  <c r="G29" i="5"/>
  <c r="H29" i="5"/>
  <c r="I29" i="5"/>
  <c r="J29" i="5"/>
  <c r="K29" i="5"/>
  <c r="M29" i="5"/>
  <c r="Q29" i="5"/>
  <c r="R29" i="5"/>
  <c r="G25" i="5"/>
  <c r="H25" i="5"/>
  <c r="I25" i="5"/>
  <c r="J25" i="5"/>
  <c r="K25" i="5"/>
  <c r="L25" i="5"/>
  <c r="N25" i="5"/>
  <c r="O25" i="5"/>
  <c r="P25" i="5"/>
  <c r="Q25" i="5"/>
  <c r="R25" i="5"/>
  <c r="G16" i="5"/>
  <c r="H16" i="5"/>
  <c r="J16" i="5"/>
  <c r="J15" i="5" s="1"/>
  <c r="J14" i="5" s="1"/>
  <c r="K16" i="5"/>
  <c r="K15" i="5" s="1"/>
  <c r="K14" i="5" s="1"/>
  <c r="N16" i="5"/>
  <c r="Q16" i="5"/>
  <c r="R16" i="5"/>
  <c r="R15" i="5" s="1"/>
  <c r="R14" i="5" s="1"/>
  <c r="Q15" i="5"/>
  <c r="Q14" i="5" s="1"/>
  <c r="H59" i="5" l="1"/>
  <c r="R32" i="5"/>
  <c r="K32" i="5"/>
  <c r="K31" i="5" s="1"/>
  <c r="K74" i="5"/>
  <c r="K73" i="5" s="1"/>
  <c r="H74" i="5"/>
  <c r="H73" i="5" s="1"/>
  <c r="N31" i="5"/>
  <c r="G15" i="5"/>
  <c r="G14" i="5" s="1"/>
  <c r="G8" i="5" s="1"/>
  <c r="O40" i="5"/>
  <c r="R31" i="5"/>
  <c r="R8" i="5" s="1"/>
  <c r="G59" i="5"/>
  <c r="C12" i="4"/>
  <c r="C19" i="4"/>
  <c r="C16" i="4" s="1"/>
  <c r="D16" i="4"/>
  <c r="M63" i="5"/>
  <c r="M59" i="5" s="1"/>
  <c r="F12" i="4"/>
  <c r="G12" i="4" s="1"/>
  <c r="O69" i="5"/>
  <c r="P18" i="6"/>
  <c r="P15" i="6" s="1"/>
  <c r="P8" i="6" s="1"/>
  <c r="F14" i="4"/>
  <c r="Q31" i="5"/>
  <c r="Q8" i="5" s="1"/>
  <c r="H32" i="5"/>
  <c r="H15" i="5"/>
  <c r="H14" i="5" s="1"/>
  <c r="G32" i="5"/>
  <c r="G31" i="5" s="1"/>
  <c r="I15" i="6"/>
  <c r="M9" i="6"/>
  <c r="R28" i="6"/>
  <c r="Q33" i="6"/>
  <c r="O37" i="6"/>
  <c r="P26" i="6"/>
  <c r="Q15" i="6"/>
  <c r="Q8" i="6" s="1"/>
  <c r="L27" i="6"/>
  <c r="L9" i="6"/>
  <c r="Q29" i="6"/>
  <c r="R30" i="6"/>
  <c r="M27" i="6"/>
  <c r="M26" i="6" s="1"/>
  <c r="F26" i="6"/>
  <c r="Q40" i="6"/>
  <c r="O42" i="6"/>
  <c r="I26" i="6"/>
  <c r="H31" i="5" l="1"/>
  <c r="D15" i="4"/>
  <c r="I8" i="6"/>
  <c r="O8" i="6" s="1"/>
  <c r="O15" i="6"/>
  <c r="P51" i="6"/>
  <c r="H12" i="4"/>
  <c r="O26" i="6"/>
  <c r="O51" i="6" s="1"/>
  <c r="R26" i="6"/>
  <c r="F51" i="6"/>
  <c r="Q27" i="6"/>
  <c r="I51" i="6"/>
  <c r="T7" i="6"/>
  <c r="L26" i="6"/>
  <c r="J51" i="6"/>
  <c r="V17" i="6"/>
  <c r="I46" i="6"/>
  <c r="M51" i="6"/>
  <c r="Q30" i="6"/>
  <c r="Q28" i="6"/>
  <c r="X8" i="6" l="1"/>
  <c r="H15" i="4"/>
  <c r="H14" i="4" s="1"/>
  <c r="D14" i="4"/>
  <c r="G14" i="4" s="1"/>
  <c r="C15" i="4"/>
  <c r="C14" i="4" s="1"/>
  <c r="G15" i="4"/>
  <c r="R51" i="6"/>
  <c r="Q26" i="6"/>
  <c r="Q51" i="6" l="1"/>
  <c r="L46" i="6"/>
  <c r="X17" i="6" l="1"/>
  <c r="Y17" i="6" s="1"/>
  <c r="L51" i="6" l="1"/>
  <c r="V8" i="6"/>
  <c r="A3" i="5" l="1"/>
  <c r="A3" i="6" s="1"/>
  <c r="A3" i="2" s="1"/>
  <c r="X108" i="5"/>
  <c r="U107" i="5"/>
  <c r="M107" i="5"/>
  <c r="L107" i="5"/>
  <c r="K107" i="5"/>
  <c r="J107" i="5"/>
  <c r="I107" i="5"/>
  <c r="Y107" i="5" s="1"/>
  <c r="H107" i="5"/>
  <c r="F107" i="5"/>
  <c r="U106" i="5"/>
  <c r="M106" i="5"/>
  <c r="K106" i="5"/>
  <c r="J106" i="5"/>
  <c r="I106" i="5"/>
  <c r="Y106" i="5" s="1"/>
  <c r="H106" i="5"/>
  <c r="F106" i="5"/>
  <c r="U105" i="5"/>
  <c r="M105" i="5"/>
  <c r="K105" i="5"/>
  <c r="I105" i="5"/>
  <c r="Y105" i="5" s="1"/>
  <c r="H105" i="5"/>
  <c r="F105" i="5"/>
  <c r="U104" i="5"/>
  <c r="M104" i="5"/>
  <c r="K104" i="5"/>
  <c r="I104" i="5"/>
  <c r="Y104" i="5" s="1"/>
  <c r="H104" i="5"/>
  <c r="F104" i="5"/>
  <c r="U103" i="5"/>
  <c r="M103" i="5"/>
  <c r="K103" i="5"/>
  <c r="J103" i="5"/>
  <c r="I103" i="5"/>
  <c r="H103" i="5"/>
  <c r="F103" i="5"/>
  <c r="U102" i="5"/>
  <c r="M102" i="5"/>
  <c r="K102" i="5"/>
  <c r="I102" i="5"/>
  <c r="Y102" i="5" s="1"/>
  <c r="H102" i="5"/>
  <c r="F102" i="5"/>
  <c r="U101" i="5"/>
  <c r="M101" i="5"/>
  <c r="K101" i="5"/>
  <c r="I101" i="5"/>
  <c r="H101" i="5"/>
  <c r="F101" i="5"/>
  <c r="U100" i="5"/>
  <c r="M100" i="5"/>
  <c r="K100" i="5"/>
  <c r="J100" i="5"/>
  <c r="I100" i="5"/>
  <c r="H100" i="5"/>
  <c r="F100" i="5"/>
  <c r="U99" i="5"/>
  <c r="M99" i="5"/>
  <c r="K99" i="5"/>
  <c r="J99" i="5"/>
  <c r="I99" i="5"/>
  <c r="H99" i="5"/>
  <c r="F99" i="5"/>
  <c r="U98" i="5"/>
  <c r="M98" i="5"/>
  <c r="K98" i="5"/>
  <c r="I98" i="5"/>
  <c r="H98" i="5"/>
  <c r="F98" i="5"/>
  <c r="U97" i="5"/>
  <c r="M97" i="5"/>
  <c r="K97" i="5"/>
  <c r="I97" i="5"/>
  <c r="Y97" i="5" s="1"/>
  <c r="H97" i="5"/>
  <c r="F97" i="5"/>
  <c r="U96" i="5"/>
  <c r="M96" i="5"/>
  <c r="K96" i="5"/>
  <c r="J96" i="5"/>
  <c r="I96" i="5"/>
  <c r="H96" i="5"/>
  <c r="F96" i="5"/>
  <c r="U95" i="5"/>
  <c r="M95" i="5"/>
  <c r="K95" i="5"/>
  <c r="J95" i="5"/>
  <c r="I95" i="5"/>
  <c r="H95" i="5"/>
  <c r="F95" i="5"/>
  <c r="U94" i="5"/>
  <c r="M94" i="5"/>
  <c r="K94" i="5"/>
  <c r="J94" i="5"/>
  <c r="I94" i="5"/>
  <c r="H94" i="5"/>
  <c r="F94" i="5"/>
  <c r="U93" i="5"/>
  <c r="Q93" i="5"/>
  <c r="L93" i="5"/>
  <c r="K93" i="5"/>
  <c r="J93" i="5"/>
  <c r="H93" i="5"/>
  <c r="U92" i="5"/>
  <c r="Q92" i="5"/>
  <c r="M92" i="5"/>
  <c r="K92" i="5"/>
  <c r="J92" i="5"/>
  <c r="H92" i="5"/>
  <c r="U91" i="5"/>
  <c r="Q91" i="5"/>
  <c r="M91" i="5"/>
  <c r="K91" i="5"/>
  <c r="J91" i="5"/>
  <c r="H91" i="5"/>
  <c r="U90" i="5"/>
  <c r="K90" i="5"/>
  <c r="I87" i="5"/>
  <c r="F85" i="5"/>
  <c r="L84" i="5"/>
  <c r="J84" i="5"/>
  <c r="AG84" i="5" s="1"/>
  <c r="AF83" i="5"/>
  <c r="J83" i="5"/>
  <c r="AG82" i="5"/>
  <c r="L82" i="5"/>
  <c r="AG81" i="5"/>
  <c r="L81" i="5"/>
  <c r="AG80" i="5"/>
  <c r="L80" i="5"/>
  <c r="AG79" i="5"/>
  <c r="L79" i="5"/>
  <c r="AG78" i="5"/>
  <c r="L78" i="5"/>
  <c r="AG77" i="5"/>
  <c r="L77" i="5"/>
  <c r="AG76" i="5"/>
  <c r="L76" i="5"/>
  <c r="F75" i="5"/>
  <c r="AG72" i="5"/>
  <c r="AF72" i="5"/>
  <c r="AG71" i="5"/>
  <c r="AF71" i="5"/>
  <c r="AG70" i="5"/>
  <c r="AF70" i="5"/>
  <c r="F69" i="5"/>
  <c r="J98" i="5"/>
  <c r="J102" i="5"/>
  <c r="R94" i="5"/>
  <c r="Q94" i="5"/>
  <c r="L94" i="5"/>
  <c r="Q100" i="5"/>
  <c r="R101" i="5"/>
  <c r="Q99" i="5"/>
  <c r="L99" i="5"/>
  <c r="Q104" i="5"/>
  <c r="X68" i="5"/>
  <c r="J68" i="5"/>
  <c r="F68" i="5"/>
  <c r="F67" i="5" s="1"/>
  <c r="E68" i="5"/>
  <c r="B68" i="5"/>
  <c r="A68" i="5"/>
  <c r="B67" i="5"/>
  <c r="A67" i="5"/>
  <c r="AG66" i="5"/>
  <c r="I66" i="5"/>
  <c r="AF66" i="5" s="1"/>
  <c r="F66" i="5"/>
  <c r="B66" i="5"/>
  <c r="A66" i="5"/>
  <c r="AG65" i="5"/>
  <c r="L65" i="5"/>
  <c r="I65" i="5"/>
  <c r="F65" i="5"/>
  <c r="F91" i="5" s="1"/>
  <c r="E65" i="5"/>
  <c r="B65" i="5"/>
  <c r="A65" i="5"/>
  <c r="B64" i="5"/>
  <c r="A64" i="5"/>
  <c r="B63" i="5"/>
  <c r="A63" i="5"/>
  <c r="AG62" i="5"/>
  <c r="L62" i="5"/>
  <c r="F62" i="5"/>
  <c r="E62" i="5"/>
  <c r="B62" i="5"/>
  <c r="A62" i="5"/>
  <c r="AG61" i="5"/>
  <c r="L61" i="5"/>
  <c r="I61" i="5"/>
  <c r="F61" i="5"/>
  <c r="E61" i="5"/>
  <c r="B61" i="5"/>
  <c r="A61" i="5"/>
  <c r="B60" i="5"/>
  <c r="A60" i="5"/>
  <c r="Y59" i="5"/>
  <c r="B59" i="5"/>
  <c r="B11" i="4" s="1"/>
  <c r="A59" i="5"/>
  <c r="AG58" i="5"/>
  <c r="I58" i="5"/>
  <c r="F58" i="5"/>
  <c r="E58" i="5"/>
  <c r="B58" i="5"/>
  <c r="A58" i="5"/>
  <c r="AG57" i="5"/>
  <c r="Y57" i="5"/>
  <c r="I57" i="5"/>
  <c r="F57" i="5"/>
  <c r="E57" i="5"/>
  <c r="B57" i="5"/>
  <c r="A57" i="5"/>
  <c r="AG56" i="5"/>
  <c r="I56" i="5"/>
  <c r="F56" i="5"/>
  <c r="E56" i="5"/>
  <c r="B56" i="5"/>
  <c r="A56" i="5"/>
  <c r="AG55" i="5"/>
  <c r="Z55" i="5"/>
  <c r="X55" i="5"/>
  <c r="I55" i="5"/>
  <c r="F55" i="5"/>
  <c r="E55" i="5"/>
  <c r="B55" i="5"/>
  <c r="A55" i="5"/>
  <c r="B54" i="5"/>
  <c r="AG53" i="5"/>
  <c r="AF53" i="5"/>
  <c r="B53" i="5"/>
  <c r="M52" i="5"/>
  <c r="AG52" i="5" s="1"/>
  <c r="I52" i="5"/>
  <c r="F52" i="5"/>
  <c r="E52" i="5"/>
  <c r="B52" i="5"/>
  <c r="A52" i="5"/>
  <c r="M51" i="5"/>
  <c r="AG51" i="5" s="1"/>
  <c r="I51" i="5"/>
  <c r="F51" i="5"/>
  <c r="E51" i="5"/>
  <c r="B51" i="5"/>
  <c r="A51" i="5"/>
  <c r="L50" i="5"/>
  <c r="I50" i="5"/>
  <c r="F50" i="5"/>
  <c r="E50" i="5"/>
  <c r="B50" i="5"/>
  <c r="A50" i="5"/>
  <c r="M49" i="5"/>
  <c r="J49" i="5"/>
  <c r="I49" i="5"/>
  <c r="F49" i="5"/>
  <c r="E49" i="5"/>
  <c r="B49" i="5"/>
  <c r="A49" i="5"/>
  <c r="M48" i="5"/>
  <c r="M93" i="5" s="1"/>
  <c r="I48" i="5"/>
  <c r="F48" i="5"/>
  <c r="F93" i="5" s="1"/>
  <c r="E48" i="5"/>
  <c r="B48" i="5"/>
  <c r="A48" i="5"/>
  <c r="L47" i="5"/>
  <c r="I47" i="5"/>
  <c r="F47" i="5"/>
  <c r="E47" i="5"/>
  <c r="B47" i="5"/>
  <c r="A47" i="5"/>
  <c r="L46" i="5"/>
  <c r="I46" i="5"/>
  <c r="P46" i="5" s="1"/>
  <c r="F46" i="5"/>
  <c r="E46" i="5"/>
  <c r="B46" i="5"/>
  <c r="A46" i="5"/>
  <c r="M45" i="5"/>
  <c r="J45" i="5"/>
  <c r="I45" i="5"/>
  <c r="F45" i="5"/>
  <c r="E45" i="5"/>
  <c r="B45" i="5"/>
  <c r="A45" i="5"/>
  <c r="B44" i="5"/>
  <c r="AF43" i="5"/>
  <c r="M43" i="5"/>
  <c r="AG43" i="5" s="1"/>
  <c r="F43" i="5"/>
  <c r="E43" i="5"/>
  <c r="B43" i="5"/>
  <c r="A43" i="5"/>
  <c r="AG42" i="5"/>
  <c r="AF42" i="5"/>
  <c r="F42" i="5"/>
  <c r="E42" i="5"/>
  <c r="B42" i="5"/>
  <c r="A42" i="5"/>
  <c r="AF41" i="5"/>
  <c r="Z41" i="5"/>
  <c r="AA41" i="5" s="1"/>
  <c r="M41" i="5"/>
  <c r="F41" i="5"/>
  <c r="E41" i="5"/>
  <c r="B41" i="5"/>
  <c r="A41" i="5"/>
  <c r="B40" i="5"/>
  <c r="AG39" i="5"/>
  <c r="AF39" i="5"/>
  <c r="AG38" i="5"/>
  <c r="I38" i="5"/>
  <c r="F38" i="5"/>
  <c r="E38" i="5"/>
  <c r="B38" i="5"/>
  <c r="A38" i="5"/>
  <c r="AF37" i="5"/>
  <c r="M37" i="5"/>
  <c r="AG37" i="5" s="1"/>
  <c r="F37" i="5"/>
  <c r="E37" i="5"/>
  <c r="B37" i="5"/>
  <c r="A37" i="5"/>
  <c r="AG36" i="5"/>
  <c r="L36" i="5"/>
  <c r="I36" i="5"/>
  <c r="F36" i="5"/>
  <c r="E36" i="5"/>
  <c r="B36" i="5"/>
  <c r="A36" i="5"/>
  <c r="M35" i="5"/>
  <c r="AG35" i="5" s="1"/>
  <c r="I35" i="5"/>
  <c r="F35" i="5"/>
  <c r="E35" i="5"/>
  <c r="B35" i="5"/>
  <c r="A35" i="5"/>
  <c r="I34" i="5"/>
  <c r="F34" i="5"/>
  <c r="E34" i="5"/>
  <c r="B34" i="5"/>
  <c r="A34" i="5"/>
  <c r="B33" i="5"/>
  <c r="A33" i="5"/>
  <c r="B32" i="5"/>
  <c r="B10" i="4" s="1"/>
  <c r="A32" i="5"/>
  <c r="B31" i="5"/>
  <c r="A31" i="5"/>
  <c r="AG30" i="5"/>
  <c r="L30" i="5"/>
  <c r="F30" i="5"/>
  <c r="E30" i="5"/>
  <c r="B30" i="5"/>
  <c r="A30" i="5"/>
  <c r="B29" i="5"/>
  <c r="A29" i="5"/>
  <c r="AG28" i="5"/>
  <c r="I28" i="5"/>
  <c r="AF28" i="5" s="1"/>
  <c r="B28" i="5"/>
  <c r="A28" i="5"/>
  <c r="AG27" i="5"/>
  <c r="I27" i="5"/>
  <c r="AF27" i="5" s="1"/>
  <c r="B27" i="5"/>
  <c r="A27" i="5"/>
  <c r="AF26" i="5"/>
  <c r="M26" i="5"/>
  <c r="M25" i="5" s="1"/>
  <c r="F26" i="5"/>
  <c r="F25" i="5" s="1"/>
  <c r="E26" i="5"/>
  <c r="B26" i="5"/>
  <c r="A26" i="5"/>
  <c r="B25" i="5"/>
  <c r="A25" i="5"/>
  <c r="AF24" i="5"/>
  <c r="AG24" i="5"/>
  <c r="L23" i="5"/>
  <c r="AG23" i="5"/>
  <c r="L22" i="5"/>
  <c r="AG22" i="5"/>
  <c r="L21" i="5"/>
  <c r="AG21" i="5"/>
  <c r="L20" i="5"/>
  <c r="AG20" i="5"/>
  <c r="L19" i="5"/>
  <c r="I18" i="5"/>
  <c r="E18" i="5"/>
  <c r="B18" i="5"/>
  <c r="A18" i="5"/>
  <c r="I17" i="5"/>
  <c r="E17" i="5"/>
  <c r="B17" i="5"/>
  <c r="A17" i="5"/>
  <c r="F16" i="5"/>
  <c r="B16" i="5"/>
  <c r="A16" i="5"/>
  <c r="B15" i="5"/>
  <c r="B9" i="4" s="1"/>
  <c r="S13" i="5"/>
  <c r="K13" i="5"/>
  <c r="H13" i="5"/>
  <c r="S12" i="5"/>
  <c r="M12" i="5"/>
  <c r="L12" i="5"/>
  <c r="K12" i="5"/>
  <c r="S11" i="5"/>
  <c r="K11" i="5"/>
  <c r="H11" i="5"/>
  <c r="S10" i="5"/>
  <c r="K10" i="5"/>
  <c r="J10" i="5"/>
  <c r="H10" i="5"/>
  <c r="S9" i="5"/>
  <c r="K9" i="5"/>
  <c r="H9" i="5"/>
  <c r="Y8" i="5"/>
  <c r="Y10" i="5" s="1"/>
  <c r="V5" i="5"/>
  <c r="M40" i="5" l="1"/>
  <c r="P50" i="5"/>
  <c r="P36" i="5"/>
  <c r="O47" i="5"/>
  <c r="AF19" i="5"/>
  <c r="O19" i="5"/>
  <c r="P19" i="5"/>
  <c r="AF21" i="5"/>
  <c r="P21" i="5"/>
  <c r="O21" i="5"/>
  <c r="AF23" i="5"/>
  <c r="P23" i="5"/>
  <c r="O23" i="5"/>
  <c r="P51" i="5"/>
  <c r="O51" i="5"/>
  <c r="P55" i="5"/>
  <c r="O55" i="5"/>
  <c r="I54" i="5"/>
  <c r="O54" i="5" s="1"/>
  <c r="O56" i="5"/>
  <c r="P56" i="5"/>
  <c r="P61" i="5"/>
  <c r="I60" i="5"/>
  <c r="I85" i="5"/>
  <c r="I74" i="5" s="1"/>
  <c r="I73" i="5" s="1"/>
  <c r="N30" i="5"/>
  <c r="N29" i="5" s="1"/>
  <c r="N15" i="5" s="1"/>
  <c r="N14" i="5" s="1"/>
  <c r="N8" i="5" s="1"/>
  <c r="P30" i="5"/>
  <c r="P29" i="5" s="1"/>
  <c r="O30" i="5"/>
  <c r="O29" i="5" s="1"/>
  <c r="L29" i="5"/>
  <c r="I33" i="5"/>
  <c r="O36" i="5"/>
  <c r="P38" i="5"/>
  <c r="O38" i="5"/>
  <c r="P48" i="5"/>
  <c r="P93" i="5" s="1"/>
  <c r="O48" i="5"/>
  <c r="O58" i="5"/>
  <c r="P58" i="5"/>
  <c r="O61" i="5"/>
  <c r="L60" i="5"/>
  <c r="P65" i="5"/>
  <c r="I64" i="5"/>
  <c r="I63" i="5" s="1"/>
  <c r="O63" i="5" s="1"/>
  <c r="P76" i="5"/>
  <c r="O76" i="5"/>
  <c r="O75" i="5" s="1"/>
  <c r="O74" i="5" s="1"/>
  <c r="O73" i="5" s="1"/>
  <c r="AF78" i="5"/>
  <c r="O78" i="5"/>
  <c r="P78" i="5"/>
  <c r="AF80" i="5"/>
  <c r="O80" i="5"/>
  <c r="P80" i="5"/>
  <c r="AF82" i="5"/>
  <c r="O82" i="5"/>
  <c r="P82" i="5"/>
  <c r="AF20" i="5"/>
  <c r="P20" i="5"/>
  <c r="O20" i="5"/>
  <c r="AF22" i="5"/>
  <c r="O22" i="5"/>
  <c r="P22" i="5"/>
  <c r="P35" i="5"/>
  <c r="O35" i="5"/>
  <c r="P45" i="5"/>
  <c r="O45" i="5"/>
  <c r="I44" i="5"/>
  <c r="O46" i="5"/>
  <c r="L44" i="5"/>
  <c r="P52" i="5"/>
  <c r="O52" i="5"/>
  <c r="O57" i="5"/>
  <c r="P57" i="5"/>
  <c r="L91" i="5"/>
  <c r="O65" i="5"/>
  <c r="O64" i="5" s="1"/>
  <c r="L64" i="5"/>
  <c r="L63" i="5" s="1"/>
  <c r="AF84" i="5"/>
  <c r="P84" i="5"/>
  <c r="O84" i="5"/>
  <c r="I16" i="5"/>
  <c r="I15" i="5" s="1"/>
  <c r="J44" i="5"/>
  <c r="J32" i="5" s="1"/>
  <c r="J31" i="5" s="1"/>
  <c r="P47" i="5"/>
  <c r="P49" i="5"/>
  <c r="O49" i="5"/>
  <c r="M50" i="5"/>
  <c r="AG50" i="5" s="1"/>
  <c r="O50" i="5"/>
  <c r="O62" i="5"/>
  <c r="P62" i="5"/>
  <c r="AG68" i="5"/>
  <c r="J67" i="5"/>
  <c r="J63" i="5" s="1"/>
  <c r="J59" i="5" s="1"/>
  <c r="AF77" i="5"/>
  <c r="P77" i="5"/>
  <c r="O77" i="5"/>
  <c r="AF79" i="5"/>
  <c r="O79" i="5"/>
  <c r="P79" i="5"/>
  <c r="P81" i="5"/>
  <c r="P96" i="5" s="1"/>
  <c r="O81" i="5"/>
  <c r="AG83" i="5"/>
  <c r="J75" i="5"/>
  <c r="J74" i="5" s="1"/>
  <c r="J73" i="5" s="1"/>
  <c r="AF81" i="5"/>
  <c r="L75" i="5"/>
  <c r="K89" i="5"/>
  <c r="L100" i="5"/>
  <c r="J101" i="5"/>
  <c r="M13" i="5"/>
  <c r="AF38" i="5"/>
  <c r="M18" i="5"/>
  <c r="L18" i="5" s="1"/>
  <c r="I93" i="5"/>
  <c r="AF76" i="5"/>
  <c r="L34" i="5"/>
  <c r="AF68" i="5"/>
  <c r="F12" i="5"/>
  <c r="Q95" i="5"/>
  <c r="F74" i="5"/>
  <c r="F73" i="5" s="1"/>
  <c r="J11" i="5"/>
  <c r="J90" i="5"/>
  <c r="M46" i="5"/>
  <c r="AG46" i="5" s="1"/>
  <c r="Q97" i="5"/>
  <c r="U89" i="5"/>
  <c r="S8" i="5"/>
  <c r="J13" i="5"/>
  <c r="F11" i="5"/>
  <c r="AF46" i="5"/>
  <c r="L11" i="5"/>
  <c r="J12" i="5"/>
  <c r="J104" i="5"/>
  <c r="AG49" i="5"/>
  <c r="J105" i="5"/>
  <c r="L92" i="5"/>
  <c r="J9" i="5"/>
  <c r="L10" i="5"/>
  <c r="H12" i="5"/>
  <c r="M17" i="5"/>
  <c r="F9" i="5"/>
  <c r="I11" i="5"/>
  <c r="F60" i="5"/>
  <c r="P104" i="5"/>
  <c r="F44" i="5"/>
  <c r="I10" i="5"/>
  <c r="M10" i="5"/>
  <c r="AF56" i="5"/>
  <c r="F64" i="5"/>
  <c r="F63" i="5" s="1"/>
  <c r="I9" i="5"/>
  <c r="F10" i="5"/>
  <c r="F54" i="5"/>
  <c r="F33" i="5"/>
  <c r="R102" i="5"/>
  <c r="I13" i="5"/>
  <c r="F13" i="5"/>
  <c r="F29" i="5"/>
  <c r="F15" i="5" s="1"/>
  <c r="F14" i="5" s="1"/>
  <c r="I91" i="5"/>
  <c r="Q98" i="5"/>
  <c r="P98" i="5"/>
  <c r="AF36" i="5"/>
  <c r="AF55" i="5"/>
  <c r="AF57" i="5"/>
  <c r="I92" i="5"/>
  <c r="R98" i="5"/>
  <c r="L102" i="5"/>
  <c r="Q107" i="5"/>
  <c r="I12" i="5"/>
  <c r="AF30" i="5"/>
  <c r="L13" i="5"/>
  <c r="Q102" i="5"/>
  <c r="P102" i="5"/>
  <c r="I90" i="5"/>
  <c r="AF51" i="5"/>
  <c r="AF52" i="5"/>
  <c r="F92" i="5"/>
  <c r="L104" i="5"/>
  <c r="R99" i="5"/>
  <c r="Q96" i="5"/>
  <c r="Q101" i="5"/>
  <c r="J97" i="5"/>
  <c r="R96" i="5"/>
  <c r="L98" i="5"/>
  <c r="F90" i="5"/>
  <c r="AF35" i="5"/>
  <c r="AG45" i="5"/>
  <c r="AF58" i="5"/>
  <c r="L105" i="5"/>
  <c r="R107" i="5"/>
  <c r="P99" i="5"/>
  <c r="R97" i="5"/>
  <c r="P100" i="5"/>
  <c r="AG17" i="5"/>
  <c r="AG26" i="5"/>
  <c r="M34" i="5"/>
  <c r="M33" i="5" s="1"/>
  <c r="F40" i="5"/>
  <c r="AF47" i="5"/>
  <c r="M47" i="5"/>
  <c r="H90" i="5"/>
  <c r="H89" i="5" s="1"/>
  <c r="AG19" i="5"/>
  <c r="V37" i="5"/>
  <c r="AG41" i="5"/>
  <c r="AF45" i="5"/>
  <c r="AG48" i="5"/>
  <c r="AF49" i="5"/>
  <c r="AF61" i="5"/>
  <c r="AF62" i="5"/>
  <c r="R105" i="5"/>
  <c r="R104" i="5"/>
  <c r="R95" i="5"/>
  <c r="P106" i="5"/>
  <c r="P101" i="5"/>
  <c r="AF50" i="5"/>
  <c r="AF65" i="5"/>
  <c r="L95" i="5"/>
  <c r="P105" i="5"/>
  <c r="R106" i="5"/>
  <c r="Q103" i="5"/>
  <c r="P103" i="5"/>
  <c r="AF48" i="5"/>
  <c r="Q105" i="5"/>
  <c r="P107" i="5"/>
  <c r="L106" i="5"/>
  <c r="L97" i="5"/>
  <c r="R103" i="5"/>
  <c r="L96" i="5"/>
  <c r="Q106" i="5"/>
  <c r="P97" i="5"/>
  <c r="L103" i="5"/>
  <c r="R100" i="5"/>
  <c r="L101" i="5"/>
  <c r="M87" i="5"/>
  <c r="M85" i="5" s="1"/>
  <c r="M74" i="5" s="1"/>
  <c r="M73" i="5" s="1"/>
  <c r="P94" i="5"/>
  <c r="H114" i="2"/>
  <c r="H113" i="2"/>
  <c r="H112" i="2"/>
  <c r="H86" i="2"/>
  <c r="H83" i="2"/>
  <c r="H82" i="2"/>
  <c r="H81" i="2"/>
  <c r="H79" i="2"/>
  <c r="H78" i="2"/>
  <c r="H61" i="2"/>
  <c r="H55" i="2"/>
  <c r="H54" i="2"/>
  <c r="H20" i="2"/>
  <c r="H19" i="2"/>
  <c r="M44" i="5" l="1"/>
  <c r="AG73" i="5"/>
  <c r="P95" i="5"/>
  <c r="J19" i="2"/>
  <c r="K19" i="2"/>
  <c r="M19" i="2"/>
  <c r="K61" i="2"/>
  <c r="K60" i="2" s="1"/>
  <c r="J61" i="2"/>
  <c r="J60" i="2" s="1"/>
  <c r="H60" i="2"/>
  <c r="J82" i="2"/>
  <c r="K82" i="2"/>
  <c r="K113" i="2"/>
  <c r="J113" i="2"/>
  <c r="K20" i="2"/>
  <c r="M20" i="2"/>
  <c r="J20" i="2"/>
  <c r="K78" i="2"/>
  <c r="J78" i="2"/>
  <c r="J83" i="2"/>
  <c r="K83" i="2"/>
  <c r="K114" i="2"/>
  <c r="J114" i="2"/>
  <c r="M32" i="5"/>
  <c r="M31" i="5" s="1"/>
  <c r="AF18" i="5"/>
  <c r="O18" i="5"/>
  <c r="P18" i="5"/>
  <c r="P75" i="5"/>
  <c r="I32" i="5"/>
  <c r="O60" i="5"/>
  <c r="I59" i="5"/>
  <c r="D11" i="4" s="1"/>
  <c r="K54" i="2"/>
  <c r="J54" i="2"/>
  <c r="H35" i="2"/>
  <c r="H34" i="2" s="1"/>
  <c r="F18" i="4" s="1"/>
  <c r="J79" i="2"/>
  <c r="K79" i="2"/>
  <c r="K86" i="2"/>
  <c r="J86" i="2"/>
  <c r="AF34" i="5"/>
  <c r="O34" i="5"/>
  <c r="L33" i="5"/>
  <c r="I14" i="5"/>
  <c r="D9" i="4"/>
  <c r="O44" i="5"/>
  <c r="P44" i="5"/>
  <c r="P34" i="5"/>
  <c r="P33" i="5" s="1"/>
  <c r="P60" i="5"/>
  <c r="P92" i="5"/>
  <c r="J55" i="2"/>
  <c r="K55" i="2"/>
  <c r="K81" i="2"/>
  <c r="J81" i="2"/>
  <c r="K112" i="2"/>
  <c r="J112" i="2"/>
  <c r="AG18" i="5"/>
  <c r="L17" i="5"/>
  <c r="M16" i="5"/>
  <c r="M15" i="5" s="1"/>
  <c r="M14" i="5" s="1"/>
  <c r="L59" i="5"/>
  <c r="P64" i="5"/>
  <c r="P63" i="5" s="1"/>
  <c r="P91" i="5"/>
  <c r="D13" i="4"/>
  <c r="P54" i="5"/>
  <c r="J89" i="5"/>
  <c r="AG75" i="5"/>
  <c r="F59" i="5"/>
  <c r="F32" i="5"/>
  <c r="M90" i="5"/>
  <c r="M89" i="5" s="1"/>
  <c r="I89" i="5"/>
  <c r="F89" i="5"/>
  <c r="J8" i="5"/>
  <c r="K8" i="5"/>
  <c r="K114" i="5" s="1"/>
  <c r="H8" i="5"/>
  <c r="AG47" i="5"/>
  <c r="M11" i="5"/>
  <c r="AG34" i="5"/>
  <c r="M9" i="5"/>
  <c r="R93" i="5"/>
  <c r="AG87" i="5"/>
  <c r="L87" i="5"/>
  <c r="AG74" i="5"/>
  <c r="AF75" i="5"/>
  <c r="Q90" i="5"/>
  <c r="Q89" i="5" s="1"/>
  <c r="P59" i="5" l="1"/>
  <c r="P32" i="5"/>
  <c r="F11" i="4"/>
  <c r="G11" i="4" s="1"/>
  <c r="O59" i="5"/>
  <c r="C9" i="4"/>
  <c r="C11" i="4"/>
  <c r="H11" i="4"/>
  <c r="C13" i="4"/>
  <c r="G18" i="4"/>
  <c r="H18" i="4"/>
  <c r="O87" i="5"/>
  <c r="O85" i="5" s="1"/>
  <c r="L85" i="5"/>
  <c r="L74" i="5" s="1"/>
  <c r="L73" i="5" s="1"/>
  <c r="P87" i="5"/>
  <c r="P85" i="5" s="1"/>
  <c r="P74" i="5" s="1"/>
  <c r="P73" i="5" s="1"/>
  <c r="P31" i="5" s="1"/>
  <c r="O33" i="5"/>
  <c r="L32" i="5"/>
  <c r="J35" i="2"/>
  <c r="D10" i="4"/>
  <c r="I31" i="5"/>
  <c r="F31" i="5"/>
  <c r="F8" i="5" s="1"/>
  <c r="F114" i="5" s="1"/>
  <c r="O17" i="5"/>
  <c r="L16" i="5"/>
  <c r="P17" i="5"/>
  <c r="P16" i="5" s="1"/>
  <c r="P15" i="5" s="1"/>
  <c r="P14" i="5" s="1"/>
  <c r="P8" i="5" s="1"/>
  <c r="AF17" i="5"/>
  <c r="K35" i="2"/>
  <c r="K34" i="2" s="1"/>
  <c r="J114" i="5"/>
  <c r="V32" i="5"/>
  <c r="I109" i="5"/>
  <c r="R91" i="5"/>
  <c r="M8" i="5"/>
  <c r="M114" i="5" s="1"/>
  <c r="R92" i="5"/>
  <c r="L90" i="5"/>
  <c r="AF87" i="5"/>
  <c r="L9" i="5"/>
  <c r="Q114" i="5"/>
  <c r="R90" i="5"/>
  <c r="P90" i="5" l="1"/>
  <c r="P89" i="5" s="1"/>
  <c r="P114" i="5" s="1"/>
  <c r="C10" i="4"/>
  <c r="C8" i="4"/>
  <c r="C7" i="4" s="1"/>
  <c r="O16" i="5"/>
  <c r="L15" i="5"/>
  <c r="L31" i="5"/>
  <c r="O31" i="5" s="1"/>
  <c r="F10" i="4"/>
  <c r="G10" i="4" s="1"/>
  <c r="O32" i="5"/>
  <c r="F13" i="4"/>
  <c r="AF73" i="5"/>
  <c r="D8" i="4"/>
  <c r="D7" i="4" s="1"/>
  <c r="R89" i="5"/>
  <c r="R114" i="5" s="1"/>
  <c r="I8" i="5"/>
  <c r="X15" i="5"/>
  <c r="L89" i="5"/>
  <c r="G13" i="4" l="1"/>
  <c r="H13" i="4"/>
  <c r="L14" i="5"/>
  <c r="O14" i="5" s="1"/>
  <c r="F9" i="4"/>
  <c r="O15" i="5"/>
  <c r="H10" i="4"/>
  <c r="X8" i="5"/>
  <c r="I114" i="5"/>
  <c r="T7" i="5"/>
  <c r="AF74" i="5"/>
  <c r="X32" i="5"/>
  <c r="Y32" i="5" s="1"/>
  <c r="L109" i="5"/>
  <c r="AA17" i="2"/>
  <c r="AA18" i="2"/>
  <c r="AA20" i="2"/>
  <c r="AA21" i="2"/>
  <c r="AA31" i="2"/>
  <c r="AA33" i="2"/>
  <c r="AA36" i="2"/>
  <c r="AA37" i="2"/>
  <c r="AA38" i="2"/>
  <c r="AA39" i="2"/>
  <c r="AA40" i="2"/>
  <c r="AA41" i="2"/>
  <c r="AA42" i="2"/>
  <c r="AA43" i="2"/>
  <c r="AA44" i="2"/>
  <c r="AA45" i="2"/>
  <c r="AA46" i="2"/>
  <c r="AA47" i="2"/>
  <c r="AA48" i="2"/>
  <c r="AA49" i="2"/>
  <c r="AA50" i="2"/>
  <c r="AA51" i="2"/>
  <c r="AA52" i="2"/>
  <c r="AA53" i="2"/>
  <c r="AA54" i="2"/>
  <c r="AA55" i="2"/>
  <c r="AA56" i="2"/>
  <c r="AA57" i="2"/>
  <c r="AA61" i="2"/>
  <c r="AA62" i="2"/>
  <c r="AA64" i="2"/>
  <c r="AA65" i="2"/>
  <c r="AA66" i="2"/>
  <c r="AA67" i="2"/>
  <c r="AA69" i="2"/>
  <c r="AA70" i="2"/>
  <c r="AA71" i="2"/>
  <c r="AA72" i="2"/>
  <c r="AA73" i="2"/>
  <c r="AA74" i="2"/>
  <c r="AA75" i="2"/>
  <c r="AA76" i="2"/>
  <c r="AA77" i="2"/>
  <c r="AA78" i="2"/>
  <c r="AA79" i="2"/>
  <c r="AA80" i="2"/>
  <c r="AA81" i="2"/>
  <c r="AA82" i="2"/>
  <c r="AA83" i="2"/>
  <c r="AA85" i="2"/>
  <c r="AA86" i="2"/>
  <c r="AA88" i="2"/>
  <c r="AA89" i="2"/>
  <c r="AA106" i="2"/>
  <c r="AA107" i="2"/>
  <c r="AA108" i="2"/>
  <c r="AA109" i="2"/>
  <c r="AA110" i="2"/>
  <c r="AA111" i="2"/>
  <c r="AA112" i="2"/>
  <c r="AA113" i="2"/>
  <c r="AA114" i="2"/>
  <c r="AB17" i="2"/>
  <c r="AB18" i="2"/>
  <c r="AB23" i="2"/>
  <c r="AB28" i="2"/>
  <c r="AB37" i="2"/>
  <c r="AB47" i="2"/>
  <c r="AB48" i="2"/>
  <c r="AB52" i="2"/>
  <c r="AB53" i="2"/>
  <c r="AB54" i="2"/>
  <c r="AB55" i="2"/>
  <c r="AB56" i="2"/>
  <c r="AB57" i="2"/>
  <c r="AB64" i="2"/>
  <c r="AB66" i="2"/>
  <c r="AB67" i="2"/>
  <c r="AB70" i="2"/>
  <c r="AB77" i="2"/>
  <c r="AB78" i="2"/>
  <c r="AB79" i="2"/>
  <c r="AB80" i="2"/>
  <c r="AB81" i="2"/>
  <c r="AB82" i="2"/>
  <c r="AB83" i="2"/>
  <c r="AB84" i="2"/>
  <c r="AB85" i="2"/>
  <c r="AB86" i="2"/>
  <c r="AB108" i="2"/>
  <c r="AB112" i="2"/>
  <c r="AB113" i="2"/>
  <c r="AB114" i="2"/>
  <c r="F8" i="4" l="1"/>
  <c r="G9" i="4"/>
  <c r="H9" i="4"/>
  <c r="H8" i="4" s="1"/>
  <c r="Y15" i="5"/>
  <c r="Z15" i="5" s="1"/>
  <c r="L8" i="5"/>
  <c r="O8" i="5" s="1"/>
  <c r="G8" i="4" l="1"/>
  <c r="L114" i="5"/>
  <c r="V8" i="5"/>
  <c r="H115" i="2" l="1"/>
  <c r="H84" i="2"/>
  <c r="AA84" i="2" l="1"/>
  <c r="K84" i="2"/>
  <c r="K68" i="2" s="1"/>
  <c r="J84" i="2"/>
  <c r="J68" i="2" s="1"/>
  <c r="H68" i="2"/>
  <c r="J115" i="2"/>
  <c r="J105" i="2" s="1"/>
  <c r="K115" i="2"/>
  <c r="K105" i="2" s="1"/>
  <c r="AA115" i="2"/>
  <c r="H105" i="2"/>
  <c r="H32" i="2"/>
  <c r="H22" i="2"/>
  <c r="H23" i="2"/>
  <c r="AA24" i="2"/>
  <c r="H25" i="2"/>
  <c r="H26" i="2"/>
  <c r="H27" i="2"/>
  <c r="H28" i="2"/>
  <c r="H29" i="2"/>
  <c r="H30" i="2"/>
  <c r="AA19" i="2"/>
  <c r="AA28" i="2" l="1"/>
  <c r="K28" i="2"/>
  <c r="M28" i="2"/>
  <c r="J28" i="2"/>
  <c r="AA27" i="2"/>
  <c r="J27" i="2"/>
  <c r="K27" i="2"/>
  <c r="M27" i="2"/>
  <c r="M23" i="2"/>
  <c r="K23" i="2"/>
  <c r="J23" i="2"/>
  <c r="AA30" i="2"/>
  <c r="K30" i="2"/>
  <c r="J30" i="2"/>
  <c r="AA26" i="2"/>
  <c r="K26" i="2"/>
  <c r="J26" i="2"/>
  <c r="M26" i="2"/>
  <c r="AA22" i="2"/>
  <c r="K22" i="2"/>
  <c r="J22" i="2"/>
  <c r="M22" i="2"/>
  <c r="AA29" i="2"/>
  <c r="K29" i="2"/>
  <c r="J29" i="2"/>
  <c r="AA25" i="2"/>
  <c r="K25" i="2"/>
  <c r="J25" i="2"/>
  <c r="M25" i="2"/>
  <c r="AA32" i="2"/>
  <c r="J32" i="2"/>
  <c r="K32" i="2"/>
  <c r="AA23" i="2"/>
  <c r="H16" i="2"/>
  <c r="H15" i="2" s="1"/>
  <c r="F17" i="4" s="1"/>
  <c r="AB19" i="2"/>
  <c r="AB20" i="2"/>
  <c r="AB21" i="2"/>
  <c r="AB22" i="2"/>
  <c r="AB24" i="2"/>
  <c r="AB25" i="2"/>
  <c r="AB26" i="2"/>
  <c r="AB27" i="2"/>
  <c r="AB29" i="2"/>
  <c r="AB30" i="2"/>
  <c r="AB31" i="2"/>
  <c r="AB32" i="2"/>
  <c r="AB33" i="2"/>
  <c r="M16" i="2" l="1"/>
  <c r="M15" i="2" s="1"/>
  <c r="M14" i="2" s="1"/>
  <c r="M8" i="2" s="1"/>
  <c r="J16" i="2"/>
  <c r="K16" i="2"/>
  <c r="K15" i="2" s="1"/>
  <c r="G17" i="4"/>
  <c r="H17" i="4"/>
  <c r="H93" i="2"/>
  <c r="H94" i="2"/>
  <c r="H95" i="2"/>
  <c r="H96" i="2"/>
  <c r="H97" i="2"/>
  <c r="H98" i="2"/>
  <c r="H99" i="2"/>
  <c r="H100" i="2"/>
  <c r="H101" i="2"/>
  <c r="H102" i="2"/>
  <c r="H103" i="2"/>
  <c r="H104" i="2"/>
  <c r="H92" i="2"/>
  <c r="AA92" i="2" l="1"/>
  <c r="H91" i="2"/>
  <c r="H90" i="2" s="1"/>
  <c r="H59" i="2" s="1"/>
  <c r="H58" i="2" s="1"/>
  <c r="K92" i="2"/>
  <c r="J92" i="2"/>
  <c r="AA101" i="2"/>
  <c r="K101" i="2"/>
  <c r="J101" i="2"/>
  <c r="AA97" i="2"/>
  <c r="K97" i="2"/>
  <c r="J97" i="2"/>
  <c r="AA93" i="2"/>
  <c r="J93" i="2"/>
  <c r="K93" i="2"/>
  <c r="AA104" i="2"/>
  <c r="K104" i="2"/>
  <c r="J104" i="2"/>
  <c r="AA100" i="2"/>
  <c r="K100" i="2"/>
  <c r="J100" i="2"/>
  <c r="AA96" i="2"/>
  <c r="K96" i="2"/>
  <c r="J96" i="2"/>
  <c r="AA103" i="2"/>
  <c r="K103" i="2"/>
  <c r="J103" i="2"/>
  <c r="AA99" i="2"/>
  <c r="J99" i="2"/>
  <c r="K99" i="2"/>
  <c r="AA95" i="2"/>
  <c r="K95" i="2"/>
  <c r="J95" i="2"/>
  <c r="AA102" i="2"/>
  <c r="J102" i="2"/>
  <c r="K102" i="2"/>
  <c r="AA98" i="2"/>
  <c r="J98" i="2"/>
  <c r="K98" i="2"/>
  <c r="AA94" i="2"/>
  <c r="J94" i="2"/>
  <c r="K94" i="2"/>
  <c r="AB36" i="2"/>
  <c r="J91" i="2" l="1"/>
  <c r="J90" i="2" s="1"/>
  <c r="J59" i="2" s="1"/>
  <c r="K91" i="2"/>
  <c r="K90" i="2" s="1"/>
  <c r="K59" i="2" s="1"/>
  <c r="K58" i="2" s="1"/>
  <c r="K14" i="2" s="1"/>
  <c r="K8" i="2" s="1"/>
  <c r="F19" i="4"/>
  <c r="H14" i="2"/>
  <c r="H8" i="2" s="1"/>
  <c r="S137" i="2"/>
  <c r="G19" i="4" l="1"/>
  <c r="H19" i="4"/>
  <c r="H16" i="4" s="1"/>
  <c r="H7" i="4" s="1"/>
  <c r="F16" i="4"/>
  <c r="P122" i="2"/>
  <c r="P123" i="2"/>
  <c r="L122" i="2"/>
  <c r="J122" i="2"/>
  <c r="I123" i="2"/>
  <c r="I124" i="2"/>
  <c r="I125" i="2"/>
  <c r="I126" i="2"/>
  <c r="I127" i="2"/>
  <c r="I128" i="2"/>
  <c r="I129" i="2"/>
  <c r="I130" i="2"/>
  <c r="I131" i="2"/>
  <c r="I132" i="2"/>
  <c r="I133" i="2"/>
  <c r="I134" i="2"/>
  <c r="I135" i="2"/>
  <c r="I136" i="2"/>
  <c r="H122" i="2"/>
  <c r="H123" i="2"/>
  <c r="E123" i="2"/>
  <c r="E124" i="2"/>
  <c r="E125" i="2"/>
  <c r="E126" i="2"/>
  <c r="T126" i="2" s="1"/>
  <c r="E127" i="2"/>
  <c r="E128" i="2"/>
  <c r="E129" i="2"/>
  <c r="E130" i="2"/>
  <c r="E131" i="2"/>
  <c r="T131" i="2" s="1"/>
  <c r="E132" i="2"/>
  <c r="E133" i="2"/>
  <c r="T133" i="2" s="1"/>
  <c r="E134" i="2"/>
  <c r="T134" i="2" s="1"/>
  <c r="E135" i="2"/>
  <c r="T135" i="2" s="1"/>
  <c r="E136" i="2"/>
  <c r="T136" i="2" s="1"/>
  <c r="D123" i="2"/>
  <c r="D124" i="2"/>
  <c r="D125" i="2"/>
  <c r="D126" i="2"/>
  <c r="D127" i="2"/>
  <c r="D128" i="2"/>
  <c r="D129" i="2"/>
  <c r="D130" i="2"/>
  <c r="D131" i="2"/>
  <c r="D132" i="2"/>
  <c r="D133" i="2"/>
  <c r="D134" i="2"/>
  <c r="D135" i="2"/>
  <c r="D136" i="2"/>
  <c r="L120" i="2"/>
  <c r="L121" i="2"/>
  <c r="J120" i="2"/>
  <c r="J121" i="2"/>
  <c r="I120" i="2"/>
  <c r="I121" i="2"/>
  <c r="H121" i="2"/>
  <c r="G16" i="4" l="1"/>
  <c r="F7" i="4"/>
  <c r="G7" i="4" s="1"/>
  <c r="P120" i="2"/>
  <c r="P121" i="2"/>
  <c r="P124" i="2"/>
  <c r="P125" i="2"/>
  <c r="P126" i="2"/>
  <c r="P127" i="2"/>
  <c r="P128" i="2"/>
  <c r="P129" i="2"/>
  <c r="P130" i="2"/>
  <c r="P131" i="2"/>
  <c r="P132" i="2"/>
  <c r="P133" i="2"/>
  <c r="P134" i="2"/>
  <c r="P135" i="2"/>
  <c r="P136" i="2"/>
  <c r="P119" i="2"/>
  <c r="P118" i="2" l="1"/>
  <c r="AB111" i="2" l="1"/>
  <c r="AB115" i="2"/>
  <c r="AB110" i="2"/>
  <c r="AB109" i="2"/>
  <c r="AB107" i="2"/>
  <c r="AB103" i="2"/>
  <c r="AB102" i="2"/>
  <c r="AB101" i="2"/>
  <c r="AB100" i="2"/>
  <c r="AB99" i="2"/>
  <c r="AB98" i="2"/>
  <c r="AB97" i="2"/>
  <c r="AB95" i="2"/>
  <c r="AB94" i="2"/>
  <c r="AB93" i="2"/>
  <c r="AB89" i="2"/>
  <c r="AB49" i="2"/>
  <c r="AB50" i="2"/>
  <c r="AB51" i="2"/>
  <c r="AB92" i="2" l="1"/>
  <c r="AB96" i="2"/>
  <c r="AB104" i="2"/>
  <c r="E87" i="2" l="1"/>
  <c r="E68" i="2"/>
  <c r="E63" i="2"/>
  <c r="E60" i="2"/>
  <c r="E35" i="2"/>
  <c r="L123" i="2"/>
  <c r="L129" i="2"/>
  <c r="L128" i="2"/>
  <c r="L125" i="2"/>
  <c r="L133" i="2"/>
  <c r="L131" i="2"/>
  <c r="L132" i="2" l="1"/>
  <c r="L130" i="2"/>
  <c r="L135" i="2"/>
  <c r="L127" i="2"/>
  <c r="L126" i="2"/>
  <c r="L124" i="2"/>
  <c r="L134" i="2"/>
  <c r="L136" i="2"/>
  <c r="J125" i="2"/>
  <c r="J128" i="2"/>
  <c r="J136" i="2"/>
  <c r="J131" i="2"/>
  <c r="J132" i="2"/>
  <c r="J123" i="2"/>
  <c r="J134" i="2"/>
  <c r="J133" i="2"/>
  <c r="J135" i="2"/>
  <c r="J129" i="2"/>
  <c r="J130" i="2"/>
  <c r="J126" i="2"/>
  <c r="J124" i="2"/>
  <c r="J127" i="2"/>
  <c r="H134" i="2" l="1"/>
  <c r="H127" i="2"/>
  <c r="H133" i="2"/>
  <c r="H131" i="2"/>
  <c r="H136" i="2"/>
  <c r="H128" i="2"/>
  <c r="H126" i="2"/>
  <c r="H132" i="2"/>
  <c r="H125" i="2"/>
  <c r="H130" i="2"/>
  <c r="H129" i="2" l="1"/>
  <c r="H135" i="2"/>
  <c r="H124" i="2"/>
  <c r="E105" i="2" l="1"/>
  <c r="D105" i="2"/>
  <c r="E91" i="2"/>
  <c r="E90" i="2" s="1"/>
  <c r="E59" i="2" s="1"/>
  <c r="D91" i="2"/>
  <c r="D90" i="2" s="1"/>
  <c r="D68" i="2"/>
  <c r="D35" i="2"/>
  <c r="E16" i="2"/>
  <c r="D16" i="2"/>
  <c r="AA90" i="2" l="1"/>
  <c r="AA91" i="2"/>
  <c r="AB90" i="2"/>
  <c r="AB91" i="2"/>
  <c r="AA105" i="2" l="1"/>
  <c r="AB106" i="2"/>
  <c r="AB88" i="2"/>
  <c r="AB76" i="2"/>
  <c r="AB75" i="2"/>
  <c r="AB74" i="2"/>
  <c r="AB73" i="2"/>
  <c r="AB72" i="2"/>
  <c r="AB71" i="2"/>
  <c r="AB69" i="2"/>
  <c r="AB65" i="2"/>
  <c r="AB62" i="2"/>
  <c r="AB61" i="2"/>
  <c r="AB46" i="2"/>
  <c r="AB45" i="2"/>
  <c r="AB44" i="2"/>
  <c r="AB43" i="2"/>
  <c r="AB42" i="2"/>
  <c r="AB41" i="2"/>
  <c r="AB40" i="2"/>
  <c r="AB39" i="2"/>
  <c r="AB38" i="2"/>
  <c r="AB105" i="2" l="1"/>
  <c r="T8" i="2"/>
  <c r="T10" i="2" s="1"/>
  <c r="D87" i="2" l="1"/>
  <c r="D63" i="2"/>
  <c r="D60" i="2"/>
  <c r="E34" i="2"/>
  <c r="J34" i="2" s="1"/>
  <c r="D34" i="2"/>
  <c r="E15" i="2"/>
  <c r="J15" i="2" s="1"/>
  <c r="D15" i="2"/>
  <c r="E58" i="2" l="1"/>
  <c r="D59" i="2"/>
  <c r="D58" i="2" s="1"/>
  <c r="D14" i="2" s="1"/>
  <c r="D8" i="2" s="1"/>
  <c r="E14" i="2" l="1"/>
  <c r="J58" i="2"/>
  <c r="Q116" i="2"/>
  <c r="H120" i="2"/>
  <c r="E8" i="2" l="1"/>
  <c r="J8" i="2" s="1"/>
  <c r="J14" i="2"/>
  <c r="Q5" i="2"/>
  <c r="I12" i="2" l="1"/>
  <c r="N10" i="2"/>
  <c r="N11" i="2"/>
  <c r="N12" i="2"/>
  <c r="N13" i="2"/>
  <c r="N9" i="2"/>
  <c r="N8" i="2" l="1"/>
  <c r="I122" i="2" l="1"/>
  <c r="H12" i="2" l="1"/>
  <c r="H11" i="2" l="1"/>
  <c r="H13" i="2" l="1"/>
  <c r="H10" i="2"/>
  <c r="I11" i="2"/>
  <c r="I10" i="2" l="1"/>
  <c r="I13" i="2"/>
  <c r="H18" i="1" l="1"/>
  <c r="H17" i="1" s="1"/>
  <c r="D49" i="1"/>
  <c r="F29" i="1"/>
  <c r="F12" i="1" l="1"/>
  <c r="F9" i="1" s="1"/>
  <c r="E12" i="1"/>
  <c r="E9" i="1" s="1"/>
  <c r="D12" i="1"/>
  <c r="D9" i="1" s="1"/>
  <c r="Q12" i="1"/>
  <c r="P12" i="1"/>
  <c r="N12" i="1"/>
  <c r="M12" i="1"/>
  <c r="M9" i="1" s="1"/>
  <c r="L12" i="1"/>
  <c r="L9" i="1" s="1"/>
  <c r="J12" i="1"/>
  <c r="J9" i="1" s="1"/>
  <c r="N9" i="1"/>
  <c r="P9" i="1"/>
  <c r="Q9" i="1"/>
  <c r="G39" i="1"/>
  <c r="D39" i="1"/>
  <c r="E35" i="1"/>
  <c r="G35" i="1"/>
  <c r="H35" i="1"/>
  <c r="I35" i="1"/>
  <c r="J35" i="1"/>
  <c r="K35" i="1"/>
  <c r="L35" i="1"/>
  <c r="M35" i="1"/>
  <c r="N35" i="1"/>
  <c r="O35" i="1"/>
  <c r="P35" i="1"/>
  <c r="Q35" i="1"/>
  <c r="D35" i="1"/>
  <c r="G24" i="1"/>
  <c r="H24" i="1"/>
  <c r="I24" i="1"/>
  <c r="J24" i="1"/>
  <c r="K24" i="1"/>
  <c r="L24" i="1"/>
  <c r="M24" i="1"/>
  <c r="N24" i="1"/>
  <c r="O24" i="1"/>
  <c r="P24" i="1"/>
  <c r="Q24" i="1"/>
  <c r="E24" i="1"/>
  <c r="F20" i="1"/>
  <c r="G20" i="1"/>
  <c r="I20" i="1"/>
  <c r="J20" i="1"/>
  <c r="K20" i="1"/>
  <c r="L20" i="1"/>
  <c r="M20" i="1"/>
  <c r="N20" i="1"/>
  <c r="O20" i="1"/>
  <c r="P20" i="1"/>
  <c r="Q20" i="1"/>
  <c r="E20" i="1"/>
  <c r="G17" i="1"/>
  <c r="I17" i="1"/>
  <c r="J17" i="1"/>
  <c r="K17" i="1"/>
  <c r="L17" i="1"/>
  <c r="M17" i="1"/>
  <c r="N17" i="1"/>
  <c r="O17" i="1"/>
  <c r="P17" i="1"/>
  <c r="Q17" i="1"/>
  <c r="Q16" i="1" s="1"/>
  <c r="I16" i="1"/>
  <c r="J16" i="1"/>
  <c r="G12" i="1"/>
  <c r="G9" i="1" s="1"/>
  <c r="H12" i="1"/>
  <c r="H9" i="1" s="1"/>
  <c r="I12" i="1"/>
  <c r="I9" i="1" s="1"/>
  <c r="I8" i="1" s="1"/>
  <c r="K12" i="1"/>
  <c r="K9" i="1" s="1"/>
  <c r="O12" i="1"/>
  <c r="O9" i="1" s="1"/>
  <c r="R50" i="1"/>
  <c r="F53" i="1"/>
  <c r="R53" i="1" s="1"/>
  <c r="H52" i="1"/>
  <c r="R52" i="1" s="1"/>
  <c r="H51" i="1"/>
  <c r="R51" i="1" s="1"/>
  <c r="F44" i="1"/>
  <c r="R44" i="1" s="1"/>
  <c r="F43" i="1"/>
  <c r="R43" i="1" s="1"/>
  <c r="P46" i="1"/>
  <c r="R46" i="1" s="1"/>
  <c r="P47" i="1"/>
  <c r="R47" i="1" s="1"/>
  <c r="P45" i="1"/>
  <c r="R45" i="1" s="1"/>
  <c r="O42" i="1"/>
  <c r="R42" i="1" s="1"/>
  <c r="N41" i="1"/>
  <c r="R41" i="1" s="1"/>
  <c r="L40" i="1"/>
  <c r="R40" i="1" s="1"/>
  <c r="F38" i="1"/>
  <c r="R38" i="1" s="1"/>
  <c r="F37" i="1"/>
  <c r="R37" i="1" s="1"/>
  <c r="F36" i="1"/>
  <c r="H34" i="1"/>
  <c r="H33" i="1"/>
  <c r="R33" i="1" s="1"/>
  <c r="H32" i="1"/>
  <c r="R32" i="1" s="1"/>
  <c r="H31" i="1"/>
  <c r="H30" i="1"/>
  <c r="H29" i="1"/>
  <c r="R29" i="1" s="1"/>
  <c r="R31" i="1"/>
  <c r="F25" i="1"/>
  <c r="F24" i="1" s="1"/>
  <c r="H21" i="1"/>
  <c r="H20" i="1" s="1"/>
  <c r="F19" i="1"/>
  <c r="F17" i="1" s="1"/>
  <c r="R18" i="1"/>
  <c r="R14" i="1"/>
  <c r="R15" i="1"/>
  <c r="R13" i="1"/>
  <c r="R21" i="1" l="1"/>
  <c r="R20" i="1" s="1"/>
  <c r="M16" i="1"/>
  <c r="O16" i="1"/>
  <c r="O8" i="1" s="1"/>
  <c r="N16" i="1"/>
  <c r="N8" i="1" s="1"/>
  <c r="F35" i="1"/>
  <c r="R12" i="1"/>
  <c r="R9" i="1" s="1"/>
  <c r="J8" i="1"/>
  <c r="M8" i="1"/>
  <c r="Q8" i="1"/>
  <c r="R36" i="1"/>
  <c r="R35" i="1" s="1"/>
  <c r="F16" i="1"/>
  <c r="F8" i="1" s="1"/>
  <c r="R25" i="1"/>
  <c r="R24" i="1" s="1"/>
  <c r="R19" i="1"/>
  <c r="R17" i="1" s="1"/>
  <c r="H28" i="1"/>
  <c r="K16" i="1"/>
  <c r="K8" i="1" s="1"/>
  <c r="G16" i="1"/>
  <c r="G8" i="1" s="1"/>
  <c r="P16" i="1"/>
  <c r="P8" i="1" s="1"/>
  <c r="L16" i="1"/>
  <c r="L8" i="1" s="1"/>
  <c r="H16" i="1"/>
  <c r="H8" i="1" s="1"/>
  <c r="R30" i="1"/>
  <c r="R34" i="1"/>
  <c r="E122" i="2"/>
  <c r="E121" i="2"/>
  <c r="E120" i="2"/>
  <c r="D122" i="2"/>
  <c r="D121" i="2"/>
  <c r="D120" i="2" l="1"/>
  <c r="D119" i="2"/>
  <c r="E119" i="2"/>
  <c r="E118" i="2" s="1"/>
  <c r="E9" i="2"/>
  <c r="D12" i="2"/>
  <c r="D9" i="2"/>
  <c r="E12" i="2"/>
  <c r="E13" i="2"/>
  <c r="D13" i="2"/>
  <c r="E11" i="2"/>
  <c r="D11" i="2"/>
  <c r="R16" i="1"/>
  <c r="R8" i="1" s="1"/>
  <c r="D10" i="2"/>
  <c r="E10" i="2"/>
  <c r="D17" i="1"/>
  <c r="D20" i="1"/>
  <c r="D28" i="1"/>
  <c r="D27" i="1" s="1"/>
  <c r="E62" i="1"/>
  <c r="F62" i="1"/>
  <c r="G62" i="1"/>
  <c r="H62" i="1"/>
  <c r="I62" i="1"/>
  <c r="J62" i="1"/>
  <c r="K62" i="1"/>
  <c r="L62" i="1"/>
  <c r="M62" i="1"/>
  <c r="N62" i="1"/>
  <c r="O62" i="1"/>
  <c r="P62" i="1"/>
  <c r="Q62" i="1"/>
  <c r="R62" i="1"/>
  <c r="D62" i="1"/>
  <c r="E59" i="1"/>
  <c r="E58" i="1" s="1"/>
  <c r="F59" i="1"/>
  <c r="G59" i="1"/>
  <c r="H59" i="1"/>
  <c r="I59" i="1"/>
  <c r="I58" i="1" s="1"/>
  <c r="J59" i="1"/>
  <c r="K59" i="1"/>
  <c r="L59" i="1"/>
  <c r="M59" i="1"/>
  <c r="M58" i="1" s="1"/>
  <c r="N59" i="1"/>
  <c r="O59" i="1"/>
  <c r="P59" i="1"/>
  <c r="Q59" i="1"/>
  <c r="Q58" i="1" s="1"/>
  <c r="R59" i="1"/>
  <c r="D59" i="1"/>
  <c r="E55" i="1"/>
  <c r="F55" i="1"/>
  <c r="G55" i="1"/>
  <c r="H55" i="1"/>
  <c r="I55" i="1"/>
  <c r="J55" i="1"/>
  <c r="K55" i="1"/>
  <c r="L55" i="1"/>
  <c r="M55" i="1"/>
  <c r="N55" i="1"/>
  <c r="O55" i="1"/>
  <c r="P55" i="1"/>
  <c r="Q55" i="1"/>
  <c r="R55" i="1"/>
  <c r="D55" i="1"/>
  <c r="E49" i="1"/>
  <c r="F49" i="1"/>
  <c r="G49" i="1"/>
  <c r="H49" i="1"/>
  <c r="I49" i="1"/>
  <c r="J49" i="1"/>
  <c r="K49" i="1"/>
  <c r="L49" i="1"/>
  <c r="M49" i="1"/>
  <c r="N49" i="1"/>
  <c r="O49" i="1"/>
  <c r="P49" i="1"/>
  <c r="Q49" i="1"/>
  <c r="R49" i="1"/>
  <c r="F39" i="1"/>
  <c r="H39" i="1"/>
  <c r="I39" i="1"/>
  <c r="J39" i="1"/>
  <c r="K39" i="1"/>
  <c r="L39" i="1"/>
  <c r="M39" i="1"/>
  <c r="N39" i="1"/>
  <c r="O39" i="1"/>
  <c r="O27" i="1" s="1"/>
  <c r="O26" i="1" s="1"/>
  <c r="O7" i="1" s="1"/>
  <c r="P39" i="1"/>
  <c r="Q39" i="1"/>
  <c r="R39" i="1"/>
  <c r="E39" i="1"/>
  <c r="F28" i="1"/>
  <c r="G28" i="1"/>
  <c r="G27" i="1" s="1"/>
  <c r="G26" i="1" s="1"/>
  <c r="G7" i="1" s="1"/>
  <c r="I28" i="1"/>
  <c r="J28" i="1"/>
  <c r="K28" i="1"/>
  <c r="L28" i="1"/>
  <c r="M28" i="1"/>
  <c r="N28" i="1"/>
  <c r="O28" i="1"/>
  <c r="P28" i="1"/>
  <c r="Q28" i="1"/>
  <c r="R28" i="1"/>
  <c r="E28" i="1"/>
  <c r="E17" i="1"/>
  <c r="E16" i="1" s="1"/>
  <c r="E8" i="1" s="1"/>
  <c r="R58" i="1" l="1"/>
  <c r="N58" i="1"/>
  <c r="J58" i="1"/>
  <c r="F58" i="1"/>
  <c r="Q27" i="1"/>
  <c r="Q26" i="1" s="1"/>
  <c r="Q7" i="1" s="1"/>
  <c r="D58" i="1"/>
  <c r="O58" i="1"/>
  <c r="K58" i="1"/>
  <c r="G58" i="1"/>
  <c r="D16" i="1"/>
  <c r="D8" i="1" s="1"/>
  <c r="J27" i="1"/>
  <c r="J26" i="1" s="1"/>
  <c r="J7" i="1" s="1"/>
  <c r="P58" i="1"/>
  <c r="H58" i="1"/>
  <c r="G119" i="2"/>
  <c r="G118" i="2" s="1"/>
  <c r="D118" i="2"/>
  <c r="L119" i="2"/>
  <c r="L118" i="2" s="1"/>
  <c r="H119" i="2"/>
  <c r="H118" i="2" s="1"/>
  <c r="N27" i="1"/>
  <c r="N26" i="1" s="1"/>
  <c r="N7" i="1" s="1"/>
  <c r="L58" i="1"/>
  <c r="M27" i="1"/>
  <c r="M26" i="1" s="1"/>
  <c r="M7" i="1" s="1"/>
  <c r="E27" i="1"/>
  <c r="K27" i="1"/>
  <c r="K26" i="1" s="1"/>
  <c r="K7" i="1" s="1"/>
  <c r="P27" i="1"/>
  <c r="P26" i="1" s="1"/>
  <c r="P7" i="1" s="1"/>
  <c r="D54" i="1"/>
  <c r="D26" i="1" s="1"/>
  <c r="D7" i="1" s="1"/>
  <c r="I27" i="1"/>
  <c r="I26" i="1" s="1"/>
  <c r="I7" i="1" s="1"/>
  <c r="L27" i="1"/>
  <c r="L26" i="1" s="1"/>
  <c r="L7" i="1" s="1"/>
  <c r="E54" i="1"/>
  <c r="F27" i="1"/>
  <c r="F26" i="1" s="1"/>
  <c r="F7" i="1" s="1"/>
  <c r="H27" i="1"/>
  <c r="H26" i="1" s="1"/>
  <c r="H7" i="1" s="1"/>
  <c r="R27" i="1"/>
  <c r="R26" i="1" s="1"/>
  <c r="R7" i="1" s="1"/>
  <c r="J119" i="2" l="1"/>
  <c r="J118" i="2" s="1"/>
  <c r="I119" i="2"/>
  <c r="I118" i="2" s="1"/>
  <c r="L143" i="2"/>
  <c r="D143" i="2"/>
  <c r="E26" i="1"/>
  <c r="E7" i="1" s="1"/>
  <c r="O7" i="2" l="1"/>
  <c r="E143" i="2"/>
  <c r="S8" i="2"/>
  <c r="I9" i="2" l="1"/>
  <c r="H9" i="2"/>
  <c r="I143" i="2" l="1"/>
  <c r="Q8" i="2" l="1"/>
  <c r="H143" i="2"/>
</calcChain>
</file>

<file path=xl/comments1.xml><?xml version="1.0" encoding="utf-8"?>
<comments xmlns="http://schemas.openxmlformats.org/spreadsheetml/2006/main">
  <authors>
    <author>dell</author>
  </authors>
  <commentList>
    <comment ref="B38" authorId="0" shapeId="0">
      <text>
        <r>
          <rPr>
            <b/>
            <sz val="9"/>
            <color indexed="81"/>
            <rFont val="Tahoma"/>
            <family val="2"/>
          </rPr>
          <t>dell:</t>
        </r>
        <r>
          <rPr>
            <sz val="9"/>
            <color indexed="81"/>
            <rFont val="Tahoma"/>
            <family val="2"/>
          </rPr>
          <t xml:space="preserve">
LG NTM</t>
        </r>
      </text>
    </comment>
  </commentList>
</comments>
</file>

<file path=xl/sharedStrings.xml><?xml version="1.0" encoding="utf-8"?>
<sst xmlns="http://schemas.openxmlformats.org/spreadsheetml/2006/main" count="964" uniqueCount="466">
  <si>
    <t>Cấp tỉnh quản lý</t>
  </si>
  <si>
    <t>Nguồn vốn NSTW</t>
  </si>
  <si>
    <t>Sắp xếp ổn định các điểm dân cư: Mò Lò, Sa Thàng xã Mù Cả, điểm Nậm Kha Á, Pà Khà, U Na1-2, Tia Ma Mủ, Pa Tết xã Tà Tổng, huyện Mường Tè;</t>
  </si>
  <si>
    <t>1734-04/12/2020</t>
  </si>
  <si>
    <t>Sắp xếp ổn định dân cư 02 xã Tà Tổng, Mù Cả</t>
  </si>
  <si>
    <t>1735-04/12/2020</t>
  </si>
  <si>
    <t>Nâng cấp đường giao thông Nậm Lằn - Mốc 17</t>
  </si>
  <si>
    <t>997-30/07/2021</t>
  </si>
  <si>
    <t>Nguồn vốn NSĐP tỉnh quản lý</t>
  </si>
  <si>
    <t>Đường giao thông đến điểm ĐCĐC Nậm Khá A (Tia Sùng Cái), xã Tà Tổng, huyện Mường Tè</t>
  </si>
  <si>
    <t>Điểm vui chơi trẻ em huyện Mường Tè (Giai đoạn I)</t>
  </si>
  <si>
    <t>Nâng cấp đường Pa Ủ - Hà Xi, xã Pa Ủ, huyện Mường Tè</t>
  </si>
  <si>
    <t>50-31/3/2016</t>
  </si>
  <si>
    <t>Nâng cấp hệ thống nước sinh hoạt thị trấn Mường Tè</t>
  </si>
  <si>
    <t>Cân đối ngân sách cấp huyện</t>
  </si>
  <si>
    <t>I</t>
  </si>
  <si>
    <t>Đầu tư xây dựng phòng học các trường MN, TH huyện Mường Tè</t>
  </si>
  <si>
    <t>566-07/06/2017</t>
  </si>
  <si>
    <t>Nước sinh hoạt điểm ĐCĐC Xé Ma xã Tà Tổng</t>
  </si>
  <si>
    <t>2174-30/10/2014</t>
  </si>
  <si>
    <t>Đầu tư 12 phòng học các trường MN huyện Mường Tè</t>
  </si>
  <si>
    <t>1322-27/10/2017</t>
  </si>
  <si>
    <t>1626-06/12/2021</t>
  </si>
  <si>
    <t>Tổng số</t>
  </si>
  <si>
    <t>A</t>
  </si>
  <si>
    <t>II</t>
  </si>
  <si>
    <t>B</t>
  </si>
  <si>
    <t>Cấp huyện quản lý</t>
  </si>
  <si>
    <t>a</t>
  </si>
  <si>
    <t>Dự án hoàn thành bàn giao, đưa vào sử dụng trước 31/12/2021</t>
  </si>
  <si>
    <t>b</t>
  </si>
  <si>
    <t>Dự án dự kiến hoàn thành năm 2022</t>
  </si>
  <si>
    <t>c</t>
  </si>
  <si>
    <t>Các dự án chuyển tiếp hoàn thành sau năm 2022</t>
  </si>
  <si>
    <t>Dự án hoàn thành, đã phê duyệt quyết toán</t>
  </si>
  <si>
    <t>Dự án hoàn thành bàn giao, đưa vào sử dụng trước ngày 31/12/2021</t>
  </si>
  <si>
    <t>d</t>
  </si>
  <si>
    <t>Dự án chuyển tiếp hoàn thành sau năm 2022</t>
  </si>
  <si>
    <t>đ</t>
  </si>
  <si>
    <t>Dự án khởi công mới năm 2022</t>
  </si>
  <si>
    <t>Cấp điện sinh hoạt cho nhân dân tại các điểm sắp xếp dân cư bị ảnh hưởng do mưa lũ năm 2018, huyện Mường Tè</t>
  </si>
  <si>
    <t>214-28/02/2019</t>
  </si>
  <si>
    <t>Nhà văn hóa bản Nậm Củm 1 xã Mường Tè</t>
  </si>
  <si>
    <t>Trường PTDT bán trú THCS xã Thu Lũm</t>
  </si>
  <si>
    <t>1931-28/08/2015</t>
  </si>
  <si>
    <t>1509A-31/10/2017</t>
  </si>
  <si>
    <t>Mặt bằng hạ tầng kỹ thuật điểm ĐCĐC  Là Si, xã Tá Bạ</t>
  </si>
  <si>
    <t>Xây dựng phòng họp Huyện ủy, huyện Mường Tè</t>
  </si>
  <si>
    <t>Sắp xếp dân cư vùng thiên tai bản Pa Thoóng trên với bản Đầu Nậm Xả</t>
  </si>
  <si>
    <t>2048-31/10/18</t>
  </si>
  <si>
    <t>2824-18/10/19</t>
  </si>
  <si>
    <t>2946a/31.10.19</t>
  </si>
  <si>
    <t>Xây dựng bổ sung trường PTDTBT TH, THCS xã Can Hồ</t>
  </si>
  <si>
    <t>Nhà hiệu bộ, phòng học chức năng trường THCS Thu Lũm</t>
  </si>
  <si>
    <t>Phòng học chức năng trường TH, THCS Bum Nưa</t>
  </si>
  <si>
    <t>Sửa chữa nhà lớp học, nhà bán trú và các HMPT trường THCS xã Mù Cả</t>
  </si>
  <si>
    <t>Kè chống sạt bảo vệ trường TH, THCS, xã Tá Bạ</t>
  </si>
  <si>
    <t>Thủy lợi Nhù Cư Ló Cá, xã Thu Lũm</t>
  </si>
  <si>
    <t>Thủy lợi Phu Khà Ló Cá, xã Thu Lũm</t>
  </si>
  <si>
    <t>Nâng cấp thủy lợi Nậm Dính, xã Tà Tổng</t>
  </si>
  <si>
    <t>3557-31/12/2020</t>
  </si>
  <si>
    <t>3559-31/12/2020</t>
  </si>
  <si>
    <t>3558-31/12/2020</t>
  </si>
  <si>
    <t>3561-31/12/2020</t>
  </si>
  <si>
    <t>3554-31/12/2020</t>
  </si>
  <si>
    <t>Trường mầm non xã Ka Lăng, huyện Mường Tè (Hạng mục phụ trợ)</t>
  </si>
  <si>
    <t>Phòng họp trực tuyến Huyện ủy, huyện Mường Tè (GĐII)</t>
  </si>
  <si>
    <t>Nhà đa năng trường THCS thị trấn, huyện Mường Tè</t>
  </si>
  <si>
    <t>Hạ tầng đô thị, điện chiếu sáng thị trấn Mường Tè, huyện Mường Tè</t>
  </si>
  <si>
    <t>Vốn đầu tư từ nguồn thu sử dụng đất</t>
  </si>
  <si>
    <t>II.1</t>
  </si>
  <si>
    <t>Kinh phí đo đạc, lập cơ sở dữ liệu hồ sơ địa chính và cấp giấy chứng nhận quyền sử dụng đất, quy hoạch sử dụng đất và kiểm kê đất đai</t>
  </si>
  <si>
    <t>Kinh phí đo đạc bổ sung bản đồ địa chính, lập hồ sơ địa chính, cấp GCNQSD đất 02 xã Vàng San và Bum Nưa</t>
  </si>
  <si>
    <t>1202A-24/6/2019</t>
  </si>
  <si>
    <t>Kiểm kê đất đai, lập bản đồ hiện trạng sử dụng đất năm 2019</t>
  </si>
  <si>
    <t>904-03/6/2020</t>
  </si>
  <si>
    <t>II.2</t>
  </si>
  <si>
    <t>Chi đầu tư các dự án</t>
  </si>
  <si>
    <t>Bến xe khách huyện Mường Tè (GĐ2)</t>
  </si>
  <si>
    <t>2816-16/10/19</t>
  </si>
  <si>
    <t>Xây dựng hạ tầng kỹ thuật và chỉnh trang đô thị, thị trấn Mường Tè, huyện Mường Tè</t>
  </si>
  <si>
    <t>628-02/4/2021</t>
  </si>
  <si>
    <t>(Kèm theo Văn bản số:             /UBND-TH ngày          tháng 01 năm 2022 của UBND huyện Mường Tè)</t>
  </si>
  <si>
    <t>BIỂU CAM KẾT GIẢI NGÂN KẾ HOẠCH VỐN ĐẦU TƯ CÔNG NĂM 2022</t>
  </si>
  <si>
    <t>TT</t>
  </si>
  <si>
    <t>Danh mục dự án</t>
  </si>
  <si>
    <t>Quyết định đầu tư</t>
  </si>
  <si>
    <t>Kế hoạch giao năm 2022</t>
  </si>
  <si>
    <t>Ghi chú</t>
  </si>
  <si>
    <t>Số QĐ, ngày tháng năm ban hành</t>
  </si>
  <si>
    <t>Tổng mức đầu tư</t>
  </si>
  <si>
    <t>Tháng 1</t>
  </si>
  <si>
    <t>Tháng 2</t>
  </si>
  <si>
    <t>Tháng 3</t>
  </si>
  <si>
    <t>Tháng 4</t>
  </si>
  <si>
    <t>Tháng 5</t>
  </si>
  <si>
    <t>Tháng 6</t>
  </si>
  <si>
    <t>Tháng 7</t>
  </si>
  <si>
    <t>Tháng 8</t>
  </si>
  <si>
    <t>Tháng 9</t>
  </si>
  <si>
    <t>Tháng 10</t>
  </si>
  <si>
    <t>Tháng 11</t>
  </si>
  <si>
    <t>Tháng 12</t>
  </si>
  <si>
    <t>Giải ngân cả năm 2022</t>
  </si>
  <si>
    <t>ĐVT: Triệu đồng</t>
  </si>
  <si>
    <t>Cam kết giải ngân kế hoạch năm 2022</t>
  </si>
  <si>
    <t>Khó khăn vướng mắc</t>
  </si>
  <si>
    <t>Lũy kế từ khởi công đến thời điểm báo cáo</t>
  </si>
  <si>
    <t>Riêng năm 2022</t>
  </si>
  <si>
    <t>3552-31/12/2020</t>
  </si>
  <si>
    <t>3553-31/12/2020</t>
  </si>
  <si>
    <t>3491-29/12/2020</t>
  </si>
  <si>
    <t>2225-15/12/2021</t>
  </si>
  <si>
    <t>2224-15/12/2021</t>
  </si>
  <si>
    <t>2223-15/12/2021</t>
  </si>
  <si>
    <t>2207-10/12/2021</t>
  </si>
  <si>
    <t>Tỷ lệ giải ngân (%)</t>
  </si>
  <si>
    <t>196a-24/02/2012; 1320-25/10/2012</t>
  </si>
  <si>
    <t>1332-27/10/2014</t>
  </si>
  <si>
    <t>Nâng cấp đường giao thông đến trung tâm các xã huyện Mường Tè</t>
  </si>
  <si>
    <t>1611-06/12/2021</t>
  </si>
  <si>
    <t>Dư 66 triệu. Hết nhiệm vụ chi, dự kiến xin chuyển nguồn</t>
  </si>
  <si>
    <t>BÁO CÁO TÌNH HÌNH THỰC HIỆN KẾ HOẠCH VỐN ĐẦU TƯ CÔNG NĂM 2022 - HUYỆN MƯỜNG TÈ</t>
  </si>
  <si>
    <t>CT</t>
  </si>
  <si>
    <t>KCM</t>
  </si>
  <si>
    <t>QT</t>
  </si>
  <si>
    <t>HT</t>
  </si>
  <si>
    <t>DK</t>
  </si>
  <si>
    <t>Các dự án đã phê duyệt quyết toán</t>
  </si>
  <si>
    <t>Các dự án hoàn thành trước 31/12/2021</t>
  </si>
  <si>
    <t>Các dự án dự kiến hoàn thành trong năm 2022</t>
  </si>
  <si>
    <t>Các dự án chuyển tiếp, hoàn thành sau năm 2022</t>
  </si>
  <si>
    <t>Các dự án khởi công mới</t>
  </si>
  <si>
    <t>Giải ngân kế hoạch năm 2022 đến thời điểm báo cáo</t>
  </si>
  <si>
    <t>Địa điểm xây dựng</t>
  </si>
  <si>
    <t>Thời gian KC-HT</t>
  </si>
  <si>
    <t>Mù Cả + Tà Tổng</t>
  </si>
  <si>
    <t>Tà Tổng</t>
  </si>
  <si>
    <t>huyện Mường Tè</t>
  </si>
  <si>
    <t>Mường Tè</t>
  </si>
  <si>
    <t>Thị trấn</t>
  </si>
  <si>
    <t>Pa Ủ</t>
  </si>
  <si>
    <t>H. Mường Tè</t>
  </si>
  <si>
    <t>H.Mường Tè</t>
  </si>
  <si>
    <t>Thu Lũm</t>
  </si>
  <si>
    <t>Tá Bạ</t>
  </si>
  <si>
    <t>Bum Tở</t>
  </si>
  <si>
    <t>Can Hồ</t>
  </si>
  <si>
    <t>Bum Nưa</t>
  </si>
  <si>
    <t>Mù Cả</t>
  </si>
  <si>
    <t>Ka Lăng</t>
  </si>
  <si>
    <t>20-23</t>
  </si>
  <si>
    <t>21-24</t>
  </si>
  <si>
    <t>22-25</t>
  </si>
  <si>
    <t>15-16</t>
  </si>
  <si>
    <t>12-13</t>
  </si>
  <si>
    <t>16-18</t>
  </si>
  <si>
    <t>16-17</t>
  </si>
  <si>
    <t>17-18</t>
  </si>
  <si>
    <t>19-20</t>
  </si>
  <si>
    <t>21-22</t>
  </si>
  <si>
    <t>e</t>
  </si>
  <si>
    <t>Các chương trình MTQG</t>
  </si>
  <si>
    <t>Chương trinh MTQG NTM</t>
  </si>
  <si>
    <t xml:space="preserve">Sửa chữa, nâng cấp phòng lớp học, nhà công vụ và phụ trợ khác các điểm trường mầm non các bản, xã Nậm Khao </t>
  </si>
  <si>
    <t>Nậm Khao</t>
  </si>
  <si>
    <t>Nâng cấp đường giao thông Ló Mé, Lè Giằng, Là Pê 1,2; trung tâm xã Tá Pạ</t>
  </si>
  <si>
    <t>Cấp điện nông thôn đến các bản Các xã Tà Tổng ( A Mé); Pa Vệ Sử (Chà Gá, Sín Chải C); Mù Cả (Mò Su);  Tá Pạ (Là Si; Vạ Pù)</t>
  </si>
  <si>
    <t>Đường giao thông liên vùng từ bản Mo Chi - bản Cờ Lò, xã Pa Ủ - bản Nậm Phìn, xã Nậm Khao, huyện Mường Tè.</t>
  </si>
  <si>
    <t>Kiên cố thủy lợi Na Cai Bảng bản Giẳng, xã Mường Tè</t>
  </si>
  <si>
    <t>Thuỷ lợi Lọng Co Cu + Huổi Y Lin xã Mường Tè</t>
  </si>
  <si>
    <t>Thuỷ lợi Cư Phu Á Te bản Thu Lũm 1 xã Thu lũm</t>
  </si>
  <si>
    <t>Kiên cố thủy lợi Nà Cấu, xã Mường Tè</t>
  </si>
  <si>
    <t>Nhà lớp học bộ môn trường THCS xã Mường Tè, huyện Mường Tè</t>
  </si>
  <si>
    <t>Cấp điện nông thôn từ điện lưới quốc gia bản (A Chè, Suối Voi, Nậm Phìn, Cờ Lò) thuộc các xã, huyện Mường Tè</t>
  </si>
  <si>
    <t>Thuỷ lợi Xé Giá bản Pa Thắng</t>
  </si>
  <si>
    <t>Nâng cấp thủy lợi Na Mứn bản Nậm Củm xã Mường Tè</t>
  </si>
  <si>
    <t>22-24</t>
  </si>
  <si>
    <t>1717-12/8/2022</t>
  </si>
  <si>
    <t>1684-05/8/2022</t>
  </si>
  <si>
    <t>1718-12/8/2022</t>
  </si>
  <si>
    <t>1666-05/8/2022</t>
  </si>
  <si>
    <t>1678-05/8/2022</t>
  </si>
  <si>
    <t>1671-05/8/2022</t>
  </si>
  <si>
    <t>1673-05/8/2022</t>
  </si>
  <si>
    <t>1686-05/8/2022</t>
  </si>
  <si>
    <t>1683-05/8/2022</t>
  </si>
  <si>
    <t>1670-05/8/2022</t>
  </si>
  <si>
    <t>1672-05/8/2022</t>
  </si>
  <si>
    <t>Chương trình MTQG phát triển KTXH vùng ĐBDTTS&amp;MN</t>
  </si>
  <si>
    <t>Dự án 1- nội dung 4: Giải quyết tình trạng thiếu đất ở, nhà ở, đất sản xuất, nước sinh hoạt</t>
  </si>
  <si>
    <t>Nước sinh hoạt bản Huổi Han, xã Bum Tở, huyện Mường Tè</t>
  </si>
  <si>
    <t>Nâng cấp, sửa chữa NSH các bản Nậm Cấu, Tả Phìn, xã Bum Tở, huyện Mường Tè</t>
  </si>
  <si>
    <t>1680-05/8/2022</t>
  </si>
  <si>
    <t>1681-05/8/2022</t>
  </si>
  <si>
    <t>Dự án 2 - Quy hoạch sắp xếp bố trí ổn định dân cư ở những nơi cần thiết</t>
  </si>
  <si>
    <t>1696-08/8/2022</t>
  </si>
  <si>
    <t>1716-12/8/2022</t>
  </si>
  <si>
    <t>Sắp xếp ổn định dân cư vùng biên giới bản A Chè, xã Thu Lũm, huyện Mường Tè</t>
  </si>
  <si>
    <t>Sắp xếp ổn định dân cư vùng thiên tai bản Chà Dì, xã Bum Tở huyện Mường Tè</t>
  </si>
  <si>
    <t>Dự án 3: Tiểu dự án 2 - Nội dung số 02: Đầu tư, hôc trợ vùng trồng dược liệu quý</t>
  </si>
  <si>
    <t>(Dự kiến thực hiện trồng 32 ha Sâm Lai Châu (04 dự án) tại các xã Pa Vệ Sủ, Tá Pạ, Thu Lũm, Ka Lăng)</t>
  </si>
  <si>
    <t>Dự án 4 - Tiểu dự án 1; Nội dung 1: Đầu tư cơ sở hạ tầng cho các xã, thôn đặc biệt khó khăn</t>
  </si>
  <si>
    <t>Nâng cấp, sửa chữa các công trình thủy lợi nhỏ các bản Còong Khà, Ló Na, Gò Khà, U Ma xã Thu Lũm</t>
  </si>
  <si>
    <t>Nâng cấp, sửa chữa các công trình thủy lợi nhỏ, xã Mù Cả</t>
  </si>
  <si>
    <t>Nâng cấp, sửa chữa các công trình thủy lợi nhỏ, xã Pa Ủ</t>
  </si>
  <si>
    <t>Nâng cấp, sửa chữa các công trình thủy lợi nhỏ, xã Pa Vệ Sủ</t>
  </si>
  <si>
    <t>Đường giao thông đến bản A Mé</t>
  </si>
  <si>
    <t>Nâng cấp, sửa chữa các công trình thủy lợi nhỏ, xã Bum Tở</t>
  </si>
  <si>
    <t>Đường đến điểm ĐCĐC Suối Voi</t>
  </si>
  <si>
    <t>Nâng cấp, sửa chữa các công trình thủy lợi nhỏ, xã Vàng San</t>
  </si>
  <si>
    <t>1677-05/8/2022</t>
  </si>
  <si>
    <t>1676-05/8/2022</t>
  </si>
  <si>
    <t>1674-05/8/2022</t>
  </si>
  <si>
    <t>1679-05/8/2022</t>
  </si>
  <si>
    <t>1697-08/8/2022</t>
  </si>
  <si>
    <t>1675-05/8/2022</t>
  </si>
  <si>
    <t>1695-08/8/2022</t>
  </si>
  <si>
    <t>1669-05/8/2022</t>
  </si>
  <si>
    <t>Vàng San</t>
  </si>
  <si>
    <t>Dự án 5 - Tiểu dự án 1; Đổi mới hoạt động củng cố phát trển các trường phổ thôn dân tộc nội trú, trường phổ thông dân tộc bán trú, trường PTDT có học sinh ở bán trú và xóa mù chữ cho người dân tộc vùng đồng bào thiểu số và miền núi.</t>
  </si>
  <si>
    <t>Trường Phổ thông dân tộc bán trú TH&amp; THCS Bum Tở</t>
  </si>
  <si>
    <t>Trường Phổ thông dân tộc bán trú TH&amp;THCS Tà Tổng</t>
  </si>
  <si>
    <t>1690-05/8/2022</t>
  </si>
  <si>
    <t>1661-05/8/2022</t>
  </si>
  <si>
    <t>Dự án 6 -  Bảo tồn, phát huy giá trị văn hóa truyền thống tốt đẹp của các dân tộc thiểu số gắn với phát triển du lịch</t>
  </si>
  <si>
    <t>Xây dựng các thiết chế văn hóa, thể thao và trang thiết bị tại các bản (34 nhà văn hóa thôn, bản)</t>
  </si>
  <si>
    <t>Dự án 9 - Tiểu dự án 1: Đầu tư xây dựng nâng cấp, cải tạo cơ sở hạ tầng các thôn tập trung đông đồng bào dân tộc thiểu số có khó khăn đặc thù</t>
  </si>
  <si>
    <t>Nâng cấp đường giao thông đến bản A Mại xã Pa Vệ Sủ</t>
  </si>
  <si>
    <t>Sửa chữa thủy lợi Huổi Ngô, xã Can Hồ</t>
  </si>
  <si>
    <t>Sửa chữa thủy lợi Huổi Cởm, xã Can Hồ</t>
  </si>
  <si>
    <t>Kè bảo vệ khu dân cư bản Nậm Củm</t>
  </si>
  <si>
    <t xml:space="preserve">Kè bảo vệ mặt bằng cho khu dân cư, trường học bản Lắng Phiếu </t>
  </si>
  <si>
    <t>1668-05/8/2022</t>
  </si>
  <si>
    <t>1667-05/8/2022</t>
  </si>
  <si>
    <t>1665-05/8/2022</t>
  </si>
  <si>
    <t>1689-05/8/2022</t>
  </si>
  <si>
    <t>III</t>
  </si>
  <si>
    <t xml:space="preserve">IV </t>
  </si>
  <si>
    <t xml:space="preserve">Các dự án phát triển hạ tầng thiết yếu khu sản xuất nông, lâm nghiệp </t>
  </si>
  <si>
    <t>Đường giao thông các xã Bum Tở, Can hồ, huyện Mường Tè( Vùng Quế đã trồng, nhân dân trồng)</t>
  </si>
  <si>
    <t>Đường giao thông các xã Bum Tở, Can Hồ, huyện Mường Tè (Vùng Quế trồng mới, nhân dân trồng)</t>
  </si>
  <si>
    <t>Nâng cấp, sửa chữa hệ thống thủy lợi xã Bum Nưa, Vàng San</t>
  </si>
  <si>
    <t>Xã Bum Tở</t>
  </si>
  <si>
    <t>Xã Bum Nưa + Vàng San</t>
  </si>
  <si>
    <t>1693-08/08/2022</t>
  </si>
  <si>
    <t>1694-08/08/2022</t>
  </si>
  <si>
    <t>1685-05/08/2022</t>
  </si>
  <si>
    <t>Đường giao thông Cao Chải đến điểm ĐCĐC Tia Ma Mủ, xã Tà Tổng, huyện Mường Tè</t>
  </si>
  <si>
    <t>1330-27/10/2014</t>
  </si>
  <si>
    <t>Tuyến giai thông đến điểm ĐCĐC Mù Su, Mù Cả huyện Mường Tè</t>
  </si>
  <si>
    <t>122-28/10/2016</t>
  </si>
  <si>
    <t>Mặt đường thoát nước đường GT đến bản Nậm Xuổng + Nậm Sẻ xã Vàng San</t>
  </si>
  <si>
    <t>93-28/10/2016</t>
  </si>
  <si>
    <t>Đường giao thông đến bản U Na xã Tà Tổng</t>
  </si>
  <si>
    <t>1325-29/10/2016</t>
  </si>
  <si>
    <t xml:space="preserve">Đường Nậm Lằn - Tá Bạ (đoạn nâng cấp ngã ba Nậm Lằn -Km7+587 đi Tá Bạ) huyện Mường Tè </t>
  </si>
  <si>
    <t>1152-30/9/2011</t>
  </si>
  <si>
    <t>44-31/03/2016</t>
  </si>
  <si>
    <t>Xây dựng sân thể thao trung tâm xã Can Hồ</t>
  </si>
  <si>
    <t>Nâng cấp thủy lợi Vạ Pù, xã Tá Bạ</t>
  </si>
  <si>
    <t>Đường giao thông nông thôn phục vụ sản xuất bản Là Pê xã Tá Bạ</t>
  </si>
  <si>
    <t>Đường giao thông nông thôn phục vụ sản xuất Nậm Lọ xã Can Hồ</t>
  </si>
  <si>
    <t>Tu sửa, nâng cấp nước sinh hoạt các bản (Thăm Pa, Chà Kế, Xà Hồ ) xã Pa Ủ</t>
  </si>
  <si>
    <t>Sửa chữa NSH các bản (Ma Ký, Mù Cả, Phìn Khò) xã Mù Cả</t>
  </si>
  <si>
    <t>Đường giao thông trục bản, nội bản, rãnh thoát nước môi trường các bản xã Thu Lũm</t>
  </si>
  <si>
    <t>Đường giao thông trục bản, nội bản, rãnh thoát nước môi trường các bản xã Bum Nưa</t>
  </si>
  <si>
    <t>Đường giao thông trục bản, nội bản, rãnh thoát nước môi trường các bản xã Ka Lăng</t>
  </si>
  <si>
    <t>Sửa chữa, nâng cấp nhà văn hóa các bản xã Ka Lăng</t>
  </si>
  <si>
    <t>Tu sửa, nâng cấp nước sinh hoạt các bản (Phìn Khò, Nậm Xả, Đầu Nậm Xả) xã Bum Tở</t>
  </si>
  <si>
    <t>Tu sửa, nâng cấp nước sinh hoạt các bản Pa Vệ Sủ</t>
  </si>
  <si>
    <t>Đường giao thông đến bản Phí Chi B, xã Pa Vệ Sủ</t>
  </si>
  <si>
    <t>Nâng cấp, làm mới đường giao thông trục bản, nội bản, rãnh thoát nước các bản xã Mường Tè</t>
  </si>
  <si>
    <t>Tu sửa, nâng cấp nước sinh hoạt các bản xã Vàng San</t>
  </si>
  <si>
    <t>Nâng cấp, làm mới đường giao thông trục bản, nội bản, rãnh thoát nước các bản xã Tà Tổng</t>
  </si>
  <si>
    <t>1993-19/9/2022</t>
  </si>
  <si>
    <t>309-26/9/2022</t>
  </si>
  <si>
    <t>310-26/9/2022</t>
  </si>
  <si>
    <t>277-29/9/2022</t>
  </si>
  <si>
    <t>200-29/9/2022</t>
  </si>
  <si>
    <t>300-28/9/2022</t>
  </si>
  <si>
    <t>157-29/9/2022</t>
  </si>
  <si>
    <t>125-26/9/2022</t>
  </si>
  <si>
    <t>107-28/9/2022</t>
  </si>
  <si>
    <t>108-28/9/2022</t>
  </si>
  <si>
    <t>465-29/9/2022</t>
  </si>
  <si>
    <t>330-27/9/2022</t>
  </si>
  <si>
    <t>331-27/9/2022</t>
  </si>
  <si>
    <t>266-30/9/2022</t>
  </si>
  <si>
    <t>262a-26/9/2022</t>
  </si>
  <si>
    <t>428-30/9/2022</t>
  </si>
  <si>
    <t>CĐT</t>
  </si>
  <si>
    <t>Ban QLCT DA PT KT-XH huyện</t>
  </si>
  <si>
    <t>UBND xã Tá Bạ</t>
  </si>
  <si>
    <t>UBND xã Can Hồ</t>
  </si>
  <si>
    <t>UBND xã Pa Ủ</t>
  </si>
  <si>
    <t>UBND xã Mù Cả</t>
  </si>
  <si>
    <t>UBND xã Thu Lũm</t>
  </si>
  <si>
    <t>UBND xã Bum Nưa</t>
  </si>
  <si>
    <t>UBND xã Ka Lăng</t>
  </si>
  <si>
    <t>UBND xã Bum Tở</t>
  </si>
  <si>
    <t>UBND xã Pa Vệ Sủ</t>
  </si>
  <si>
    <t>UBND xã Mường Tè</t>
  </si>
  <si>
    <t>UBND xã Vàng San</t>
  </si>
  <si>
    <t>UBND xã Tà Tổng</t>
  </si>
  <si>
    <t>Trường PTDT bán trú THCS Thu Lũm</t>
  </si>
  <si>
    <t>Trường PTDT bán trú Tiểu học Thu Lũm</t>
  </si>
  <si>
    <t>Nâng cấp hệ thống phòng học + phụ trợ các Trường mầm non trên địa bàn các xã Mường Tè, Bum Nưa, Thu Lũm, huyện Mường Tè</t>
  </si>
  <si>
    <t>Bổ sung các phòng học mầm non trên địa bàn huyện Mường Tè</t>
  </si>
  <si>
    <t>Nâng cấp hệ thống phòng học và phụ trợ các trường Tiểu học trên địa bàn các xã Mường Tè, Bum Nưa, Thu Lũm, huyện Mường Tè</t>
  </si>
  <si>
    <t>Hệ thống đường giao thông nội đồng các bản xã Bum Nưa, huyện Mường Tè</t>
  </si>
  <si>
    <t>Xây dựng sân thể thao xã Bum Nưa</t>
  </si>
  <si>
    <t>Nâng cấp nước sinh hoạt trung tâm xã Mường Tè</t>
  </si>
  <si>
    <t>Hệ thống đường giao thông ra khu sản xuất bản Nậm Hản, Nậm Củm xã Mường Tè</t>
  </si>
  <si>
    <t>Hệ thống đường giao thông nội đồng các bản xã Thu Lũm, huyện Mường Tè</t>
  </si>
  <si>
    <t>Xây dựng sân thể thao xã Thu Lũm</t>
  </si>
  <si>
    <t>2026-22/9/2022</t>
  </si>
  <si>
    <t>2025-22/9/2022</t>
  </si>
  <si>
    <t>2045-28/9/2022</t>
  </si>
  <si>
    <t>2036-26/9/2022</t>
  </si>
  <si>
    <t>2037-26/9/2022</t>
  </si>
  <si>
    <t>126a-26/9/2022</t>
  </si>
  <si>
    <t>126-26/9/2022</t>
  </si>
  <si>
    <t>256-28/9/2022</t>
  </si>
  <si>
    <t>255-28/9/2022</t>
  </si>
  <si>
    <t>155-29/9/2022</t>
  </si>
  <si>
    <t>153-26/9/2022</t>
  </si>
  <si>
    <t>LG NSĐP</t>
  </si>
  <si>
    <t>Đường giao thông nông thôn phục vụ sản xuất các bản xã Thu Lũm</t>
  </si>
  <si>
    <t>Đường giao thông nông thôn phục vụ sản xuất các bản xã Ka Lăng</t>
  </si>
  <si>
    <t>Đường giao thông nội bản các bản ( Ló Mé, Lè Giằng, Vạ Pù, Nhóm Pố) xã Tá Bạ</t>
  </si>
  <si>
    <t>Đường giao thông nông thôn phục vụ sản xuất các bản xã Mù Cả</t>
  </si>
  <si>
    <t>Đường giao thông nội bản các bản ( Xà Hồ, Pha Bu, Cờ Lò) xã Pa Ủ</t>
  </si>
  <si>
    <t>Đường giao thông nông thôn phục vụ sản xuất các bản (Dèn Thàng, Khoang Thèn, Sín Chải A+C) xã Pa Vệ Sủ</t>
  </si>
  <si>
    <t>Đường giao thông nông thôn phục vụ sản xuất xã Nậm Khao</t>
  </si>
  <si>
    <t>Đường vào khu sản xuất điểm dân cư Suối Voi</t>
  </si>
  <si>
    <t>Đường giao thông nội bản các bản (Vàng San, Pắc Pạ, Sang Sui) xã Vàng San</t>
  </si>
  <si>
    <t>Nâng cấp, sửa chữa nước sinh hoạt Khu phố 11, Thị trấn Mường Tè, huyện Mường Tè</t>
  </si>
  <si>
    <t>156-29/9/2022</t>
  </si>
  <si>
    <t>109-28/9/2022</t>
  </si>
  <si>
    <t>311-26/9/2022</t>
  </si>
  <si>
    <t>299-28/9/2022</t>
  </si>
  <si>
    <t>201-29/9/2022</t>
  </si>
  <si>
    <t>329-26/9/2022</t>
  </si>
  <si>
    <t>321-28/9/2022</t>
  </si>
  <si>
    <t>286-29/9/2022</t>
  </si>
  <si>
    <t>266-28/9/2022</t>
  </si>
  <si>
    <t>98-29/9/2022</t>
  </si>
  <si>
    <t>UBND xã Nậm Khao</t>
  </si>
  <si>
    <t>UBND Thị Trấn Mường Tè</t>
  </si>
  <si>
    <t>Nhà văn hóa bản Vạ Pù xã Tá Bạ</t>
  </si>
  <si>
    <t>Nhà văn hóa bản Nhóm Pố xã Tá Bạ</t>
  </si>
  <si>
    <t>Nhà văn hóa bản Là Si xã Tá Bạ</t>
  </si>
  <si>
    <t>Nhà văn hóa bản Pà Khà xã Tà Tổng</t>
  </si>
  <si>
    <t>Nhà văn hóa bản Nậm Dính xã Tà Tổng</t>
  </si>
  <si>
    <t>Nhà văn hóa bản Nhú Ma xã Pa Ủ</t>
  </si>
  <si>
    <t>Nhà văn hóa bản Hà Xi xã Pa Ủ</t>
  </si>
  <si>
    <t>Nhà văn hóa bản Chà Kế xã Pa Ủ</t>
  </si>
  <si>
    <t>Nhà văn hóa bản Khoang Thèn xã Pa Vệ Sủ</t>
  </si>
  <si>
    <t>Nhà văn hóa bản Pá Hạ xã Pa Vệ Sủ</t>
  </si>
  <si>
    <t>Nhà văn hóa bản Xà Phìn xã Pa Vệ Sủ</t>
  </si>
  <si>
    <t>Nhà văn hóa bản Mù Cả xã Mù Cả</t>
  </si>
  <si>
    <t>Nhà văn hóa bản Sì Thâu Chải xã Can Hồ</t>
  </si>
  <si>
    <t>-</t>
  </si>
  <si>
    <t>313-26/9/2022</t>
  </si>
  <si>
    <t>314-26/9/2022</t>
  </si>
  <si>
    <t>315-26/9/2022</t>
  </si>
  <si>
    <t>429-30/9/2022</t>
  </si>
  <si>
    <t>431-30/9/2022</t>
  </si>
  <si>
    <t>198-20/9/2022</t>
  </si>
  <si>
    <t>199-21/9/2022</t>
  </si>
  <si>
    <t>199a-27/9/2022</t>
  </si>
  <si>
    <t>338-27/9/2022</t>
  </si>
  <si>
    <t>340-27/9/2022</t>
  </si>
  <si>
    <t>339-27/9/2022</t>
  </si>
  <si>
    <t>300a-28/9/2022</t>
  </si>
  <si>
    <t>287-29/9/2022</t>
  </si>
  <si>
    <t>Đầu tư cơ sở hạ tầng bản Nậm Xuổng, xã Vàng San, huyện Mường Tè</t>
  </si>
  <si>
    <t>Sửa chữa, nâng cấp TL Pu Khen 1 Bản Nậm Sẻ</t>
  </si>
  <si>
    <t>Sửa chữa, nâng cấp TL Nậm Khum bản Nậm Xuổng</t>
  </si>
  <si>
    <t xml:space="preserve">Thủy lợi Ty Tông 1 bản A Mại </t>
  </si>
  <si>
    <t>Sửa chữa, nâng cấp đường giao thông nội bản Seo Hai + Sì thâu Chải xã Can Hồ</t>
  </si>
  <si>
    <t>2077a-30/9/2022</t>
  </si>
  <si>
    <t>262b-26/9/2022</t>
  </si>
  <si>
    <t>265-28/9/2022</t>
  </si>
  <si>
    <t>328-27/9/2022</t>
  </si>
  <si>
    <t>278-29/9/2022</t>
  </si>
  <si>
    <t>Xây dựng phòng học các trường MN, TH huyện Mường Tè</t>
  </si>
  <si>
    <t>Nhà bán trú học sinh trường PTDT bán trú Tà Tổng ( điểm cao chải ) xã Tà tổng</t>
  </si>
  <si>
    <t>Hạ tầng sắp xếp dân cư điểm ĐCĐC Vạ Pù Nhóm Pố xã Tá Bạ</t>
  </si>
  <si>
    <t>Thủy lợi Huổi Vặng Mặn</t>
  </si>
  <si>
    <t>Tu sửa nước sinh hoạt các bản Nà Hừ , Phiêng Kham</t>
  </si>
  <si>
    <t>Đường ra khu sản xuất và khu dân cư bản Nà Lang</t>
  </si>
  <si>
    <t>Đường giao thông nội bản trục bản, nội đồng các bản xã Vàng San</t>
  </si>
  <si>
    <t>Tu sửa nâng cấp thủy lợi bãi Văn bản Nậm Pục xã Nậm Khao</t>
  </si>
  <si>
    <t>742-16/4/2020</t>
  </si>
  <si>
    <t>2051-31/10/2018</t>
  </si>
  <si>
    <t>2045-31/10/2018</t>
  </si>
  <si>
    <t>302-30/10/2018</t>
  </si>
  <si>
    <t>303-30/10/2018</t>
  </si>
  <si>
    <t>227-31/10/2018</t>
  </si>
  <si>
    <t>20-24/10/2019</t>
  </si>
  <si>
    <t>Xây dựng trường mầm non xã Tà Tổng, huyện Mường Tè (điểm trường cao trải)</t>
  </si>
  <si>
    <t>946-20/5/2021</t>
  </si>
  <si>
    <t>V</t>
  </si>
  <si>
    <t>Các dự án đã hoàn thành quyết toán</t>
  </si>
  <si>
    <t>Các nguồn vốn khác bổ sung trong năm</t>
  </si>
  <si>
    <t>BS NS huyện</t>
  </si>
  <si>
    <t>Chương trinh MTQG giảm nghèo bền vững</t>
  </si>
  <si>
    <t>V.1</t>
  </si>
  <si>
    <t xml:space="preserve">Tăng thu ngân sách huyện năm 2021 chuyển sang năm 2022 </t>
  </si>
  <si>
    <t>V.2</t>
  </si>
  <si>
    <t>Nguồn vốn tiết kiêm chi ngân sách năm 2021</t>
  </si>
  <si>
    <t>Phòng GD&amp;ĐT</t>
  </si>
  <si>
    <t>Phòng TN&amp;MT</t>
  </si>
  <si>
    <t>Phòng Kinh tế &amp; Hạ tầng</t>
  </si>
  <si>
    <t>Thống kê theo chủ đầu tư</t>
  </si>
  <si>
    <t>Nâng cấp bổ sung, các hạng mục phụ trợ trường MN Pa Ủ (trung tâm và các điểm bản)</t>
  </si>
  <si>
    <t>San gạt mặt bằng cấp nước sinh hoạt các điểm dân cư Nậm Suổng, Nậm Sẻ xã Vàng San</t>
  </si>
  <si>
    <t>2004-22/9/2022</t>
  </si>
  <si>
    <t>2110-0710/2022</t>
  </si>
  <si>
    <t>1698-08/8/2022</t>
  </si>
  <si>
    <t>Chưa giải ngân</t>
  </si>
  <si>
    <t>SL anh tâm</t>
  </si>
  <si>
    <t>KL TH năm 2022</t>
  </si>
  <si>
    <t>TỔNG HỢP KẾT QUẢ THỰC HIỆN KẾ HOẠCH VỐN ĐẦU TƯ CÔNG NĂM 2022</t>
  </si>
  <si>
    <t>Nguồn vốn</t>
  </si>
  <si>
    <t>Kế hoạch vốn giao</t>
  </si>
  <si>
    <t>Đã giao chi tiết</t>
  </si>
  <si>
    <t>Chưa giao chi tiết</t>
  </si>
  <si>
    <t>Kết quả giải ngân kế hoạch vốn năm 2022</t>
  </si>
  <si>
    <t>Số KH vốn còn lại không giải ngân được</t>
  </si>
  <si>
    <t>Nợ đọng XDCB (nếu có)</t>
  </si>
  <si>
    <t>Kế hoạch trung hạn nguồn ngân sách địa phương giai đoạn 2021-2025</t>
  </si>
  <si>
    <t>Lũy kế bố trí từ khởi công đến năm 2022</t>
  </si>
  <si>
    <t>Giá trị khối lượng thực hiện</t>
  </si>
  <si>
    <t>Thanh toán khối lượng hoàn thành</t>
  </si>
  <si>
    <t>Tỷ lệ giải ngân</t>
  </si>
  <si>
    <t xml:space="preserve">Số KH vốn còn lại không giải ngân được </t>
  </si>
  <si>
    <t xml:space="preserve">Số vốn còn lại không giải ngân hết kế hoạch vốn </t>
  </si>
  <si>
    <t>Nguyên nhân không giải ngân hết kế hoạch vốn</t>
  </si>
  <si>
    <t>Số Quyết định, ngày tháng năm ban hành</t>
  </si>
  <si>
    <t>TÌNH HÌNH THỰC HIỆN KẾ HOẠCH VỐN THỰC HIỆN 03 CHƯƠNG TRÌNH MTQG - HUYỆN MƯỜNG TÈ</t>
  </si>
  <si>
    <t>Đơn vị thực hiện/chương trình</t>
  </si>
  <si>
    <t>Kế hoạch vốn đầu tư năm 2022</t>
  </si>
  <si>
    <t>Tổng số tất cả các nguồn vốn</t>
  </si>
  <si>
    <t>Trong đó: NSTW</t>
  </si>
  <si>
    <t>Kế hoạch vốn đã giao đến các đơn vị</t>
  </si>
  <si>
    <t>Kết quả giải ngân KH vốn năm 2022</t>
  </si>
  <si>
    <t>Tổng số (tất cả các nguông vốn)</t>
  </si>
  <si>
    <t>Số vốn còn lại không giải ngân được</t>
  </si>
  <si>
    <t>Số vốn còn lại không giải ngân hết kế hoạch vốn</t>
  </si>
  <si>
    <t>VỐN ĐẦU TƯ TRONG NƯỚC CÂN ĐỐI NGÂN SÁCH ĐỊA PHƯƠNG</t>
  </si>
  <si>
    <t>VỐN NGÂN SÁCH TRUNG ƯƠNG</t>
  </si>
  <si>
    <t>CHƯƠNG TRÌNH MTQG</t>
  </si>
  <si>
    <t>TỔNG SỐ</t>
  </si>
  <si>
    <t>ĐÁNH GIÁ TÌNH HÌNH THỰC HIỆN KẾ HOẠCH VỐN NGÂN SÁCH ĐỊA PHƯƠNG NĂM 2022 - HUYỆN MƯỜNG TÈ</t>
  </si>
  <si>
    <t>Hết nhu cầu chi</t>
  </si>
  <si>
    <t>Số vốn đề xuất kéo dài</t>
  </si>
  <si>
    <t>Giao KH vốn muộn, chưa đủ KLHT để thanh toán</t>
  </si>
  <si>
    <t>Thanh toán tạm ứng</t>
  </si>
  <si>
    <t>Phụ biểu 01</t>
  </si>
  <si>
    <t xml:space="preserve">Phụ biểu 01.1 </t>
  </si>
  <si>
    <t>Phụ biểu 01.2</t>
  </si>
  <si>
    <t>Phụ biểu 01.3</t>
  </si>
  <si>
    <t xml:space="preserve">(Kèm theo Báo cáo số:             /UBND-TH, ngày        tháng 02 năm 2023 của UBND huyện Mường Tè)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</si>
</sst>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00\ _₫_-;\-* #,##0.00\ _₫_-;_-* &quot;-&quot;??\ _₫_-;_-@_-"/>
    <numFmt numFmtId="165" formatCode="_(* #,##0_);_(* \(#,##0\);_(* &quot;-&quot;??_);_(@_)"/>
    <numFmt numFmtId="166" formatCode="_-* #,##0\ _₫_-;\-* #,##0\ _₫_-;_-* &quot;-&quot;??\ _₫_-;_-@_-"/>
    <numFmt numFmtId="167" formatCode="_(* #,##0.000_);_(* \(#,##0.000\);_(* &quot;-&quot;??_);_(@_)"/>
    <numFmt numFmtId="168" formatCode="_(* #,##0.0_);_(* \(#,##0.0\);_(* &quot;-&quot;??_);_(@_)"/>
    <numFmt numFmtId="169" formatCode="_(* #,##0.000_);_(* \(#,##0.000\);_(* &quot;-&quot;???_);_(@_)"/>
    <numFmt numFmtId="170" formatCode="_(* #,##0.0000_);_(* \(#,##0.0000\);_(* &quot;-&quot;??_);_(@_)"/>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i/>
      <sz val="10"/>
      <name val="Times New Roman"/>
      <family val="1"/>
    </font>
    <font>
      <b/>
      <sz val="10"/>
      <name val="Times New Roman"/>
      <family val="1"/>
    </font>
    <font>
      <sz val="10"/>
      <color rgb="FF000000"/>
      <name val="Times New Roman"/>
      <family val="1"/>
    </font>
    <font>
      <sz val="10"/>
      <name val="Arial"/>
      <family val="2"/>
    </font>
    <font>
      <sz val="8"/>
      <color theme="1"/>
      <name val="Times New Roman"/>
      <family val="1"/>
    </font>
    <font>
      <sz val="12"/>
      <name val=".VnTime"/>
      <family val="2"/>
    </font>
    <font>
      <sz val="12"/>
      <name val="Times New Roman"/>
      <family val="1"/>
    </font>
    <font>
      <b/>
      <sz val="9"/>
      <color indexed="81"/>
      <name val="Tahoma"/>
      <family val="2"/>
    </font>
    <font>
      <sz val="9"/>
      <color indexed="81"/>
      <name val="Tahoma"/>
      <family val="2"/>
    </font>
    <font>
      <b/>
      <i/>
      <sz val="10"/>
      <color rgb="FF000000"/>
      <name val="Times New Roman"/>
      <family val="1"/>
    </font>
    <font>
      <b/>
      <sz val="10"/>
      <color rgb="FF000000"/>
      <name val="Times New Roman"/>
      <family val="1"/>
    </font>
    <font>
      <b/>
      <i/>
      <sz val="10"/>
      <color theme="1"/>
      <name val="Times New Roman"/>
      <family val="1"/>
    </font>
    <font>
      <sz val="10"/>
      <color theme="1"/>
      <name val="Times New Roman"/>
      <family val="1"/>
    </font>
    <font>
      <b/>
      <sz val="10"/>
      <color theme="1"/>
      <name val="Times New Roman"/>
      <family val="1"/>
    </font>
    <font>
      <sz val="8"/>
      <color rgb="FF000000"/>
      <name val="Times New Roman"/>
      <family val="1"/>
    </font>
    <font>
      <sz val="12"/>
      <color rgb="FF000000"/>
      <name val="Times New Roman"/>
      <family val="1"/>
    </font>
    <font>
      <b/>
      <sz val="12"/>
      <name val="Times New Roman"/>
      <family val="1"/>
    </font>
    <font>
      <i/>
      <sz val="12"/>
      <name val="Times New Roman"/>
      <family val="1"/>
    </font>
    <font>
      <b/>
      <i/>
      <sz val="12"/>
      <name val="Times New Roman"/>
      <family val="1"/>
    </font>
    <font>
      <sz val="9"/>
      <name val="Times New Roman"/>
      <family val="1"/>
    </font>
    <font>
      <b/>
      <sz val="9"/>
      <name val="Times New Roman"/>
      <family val="1"/>
    </font>
    <font>
      <sz val="10"/>
      <color rgb="FFFF0000"/>
      <name val="Times New Roman"/>
      <family val="1"/>
    </font>
    <font>
      <i/>
      <sz val="10"/>
      <name val="Times New Roman"/>
      <family val="1"/>
    </font>
    <font>
      <i/>
      <sz val="9"/>
      <name val="Times New Roman"/>
      <family val="1"/>
    </font>
    <font>
      <sz val="10"/>
      <name val="Arial"/>
      <family val="2"/>
      <charset val="1"/>
    </font>
    <font>
      <sz val="11"/>
      <color indexed="8"/>
      <name val="Calibri"/>
      <family val="2"/>
      <charset val="163"/>
    </font>
    <font>
      <b/>
      <i/>
      <sz val="9"/>
      <name val="Times New Roman"/>
      <family val="1"/>
    </font>
    <font>
      <sz val="8"/>
      <name val="Times New Roman"/>
      <family val="1"/>
    </font>
    <font>
      <b/>
      <sz val="8"/>
      <name val="Times New Roman"/>
      <family val="1"/>
    </font>
    <font>
      <b/>
      <i/>
      <sz val="8"/>
      <name val="Times New Roman"/>
      <family val="1"/>
    </font>
    <font>
      <i/>
      <sz val="8"/>
      <name val="Times New Roman"/>
      <family val="1"/>
    </font>
    <font>
      <sz val="11"/>
      <name val="Times New Roman"/>
      <family val="1"/>
    </font>
    <font>
      <i/>
      <sz val="10"/>
      <color rgb="FFFF0000"/>
      <name val="Times New Roman"/>
      <family val="1"/>
    </font>
    <font>
      <b/>
      <sz val="10"/>
      <color rgb="FFFF0000"/>
      <name val="Times New Roman"/>
      <family val="1"/>
    </font>
    <font>
      <sz val="9"/>
      <color theme="0"/>
      <name val="Times New Roman"/>
      <family val="1"/>
    </font>
    <font>
      <sz val="10"/>
      <color theme="0"/>
      <name val="Times New Roman"/>
      <family val="1"/>
    </font>
    <font>
      <i/>
      <sz val="9"/>
      <color theme="0"/>
      <name val="Times New Roman"/>
      <family val="1"/>
    </font>
    <font>
      <b/>
      <sz val="10"/>
      <color theme="0"/>
      <name val="Times New Roman"/>
      <family val="1"/>
    </font>
    <font>
      <i/>
      <sz val="10"/>
      <color theme="0"/>
      <name val="Times New Roman"/>
      <family val="1"/>
    </font>
    <font>
      <b/>
      <sz val="9"/>
      <color theme="0"/>
      <name val="Times New Roman"/>
      <family val="1"/>
    </font>
    <font>
      <b/>
      <sz val="12"/>
      <color rgb="FF000000"/>
      <name val="Times New Roman"/>
      <family val="1"/>
    </font>
    <font>
      <i/>
      <sz val="12"/>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0000"/>
        <bgColor indexed="64"/>
      </patternFill>
    </fill>
  </fills>
  <borders count="3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hair">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diagonal/>
    </border>
    <border>
      <left style="thin">
        <color indexed="64"/>
      </left>
      <right style="thin">
        <color indexed="64"/>
      </right>
      <top style="hair">
        <color indexed="64"/>
      </top>
      <bottom style="hair">
        <color indexed="64"/>
      </bottom>
      <diagonal/>
    </border>
    <border>
      <left style="thin">
        <color rgb="FF000000"/>
      </left>
      <right style="medium">
        <color rgb="FF000000"/>
      </right>
      <top/>
      <bottom style="hair">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hair">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style="hair">
        <color rgb="FF000000"/>
      </bottom>
      <diagonal/>
    </border>
    <border>
      <left style="thin">
        <color rgb="FF000000"/>
      </left>
      <right/>
      <top style="hair">
        <color rgb="FF000000"/>
      </top>
      <bottom style="hair">
        <color rgb="FF000000"/>
      </bottom>
      <diagonal/>
    </border>
    <border>
      <left style="thin">
        <color indexed="64"/>
      </left>
      <right style="thin">
        <color indexed="64"/>
      </right>
      <top/>
      <bottom/>
      <diagonal/>
    </border>
    <border>
      <left style="thin">
        <color rgb="FF000000"/>
      </left>
      <right style="thin">
        <color rgb="FF000000"/>
      </right>
      <top style="hair">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hair">
        <color rgb="FF000000"/>
      </top>
      <bottom style="thin">
        <color rgb="FF000000"/>
      </bottom>
      <diagonal/>
    </border>
    <border>
      <left/>
      <right/>
      <top style="thin">
        <color rgb="FF000000"/>
      </top>
      <bottom style="thin">
        <color rgb="FF000000"/>
      </bottom>
      <diagonal/>
    </border>
  </borders>
  <cellStyleXfs count="19">
    <xf numFmtId="0" fontId="0" fillId="0" borderId="0"/>
    <xf numFmtId="43" fontId="7" fillId="0" borderId="0" applyFont="0" applyFill="0" applyBorder="0" applyAlignment="0" applyProtection="0"/>
    <xf numFmtId="0" fontId="8" fillId="0" borderId="0"/>
    <xf numFmtId="43" fontId="10" fillId="0" borderId="0" applyFont="0" applyFill="0" applyBorder="0" applyAlignment="0" applyProtection="0"/>
    <xf numFmtId="0" fontId="8" fillId="0" borderId="0"/>
    <xf numFmtId="43" fontId="11" fillId="0" borderId="0" applyFont="0" applyFill="0" applyBorder="0" applyAlignment="0" applyProtection="0"/>
    <xf numFmtId="0" fontId="11" fillId="0" borderId="0"/>
    <xf numFmtId="43" fontId="8" fillId="0" borderId="0" applyFont="0" applyFill="0" applyBorder="0" applyAlignment="0" applyProtection="0"/>
    <xf numFmtId="0" fontId="8" fillId="0" borderId="0"/>
    <xf numFmtId="0" fontId="3" fillId="0" borderId="0"/>
    <xf numFmtId="164" fontId="2" fillId="0" borderId="0" applyFont="0" applyFill="0" applyBorder="0" applyAlignment="0" applyProtection="0"/>
    <xf numFmtId="0" fontId="29" fillId="0" borderId="0"/>
    <xf numFmtId="0" fontId="3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1" fillId="0" borderId="0"/>
    <xf numFmtId="43" fontId="10" fillId="0" borderId="0" applyFont="0" applyFill="0" applyBorder="0" applyAlignment="0" applyProtection="0"/>
  </cellStyleXfs>
  <cellXfs count="364">
    <xf numFmtId="0" fontId="0" fillId="0" borderId="0" xfId="0" applyFill="1" applyBorder="1" applyAlignment="1">
      <alignment horizontal="left" vertical="top"/>
    </xf>
    <xf numFmtId="0" fontId="9" fillId="2" borderId="3" xfId="4" applyFont="1" applyFill="1" applyBorder="1" applyAlignment="1">
      <alignment horizontal="center" vertical="center" wrapText="1"/>
    </xf>
    <xf numFmtId="166" fontId="9" fillId="2" borderId="3" xfId="1"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166" fontId="9" fillId="2" borderId="3" xfId="5"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0" borderId="0" xfId="0" applyFill="1" applyBorder="1" applyAlignment="1">
      <alignment horizontal="left" vertical="center" wrapText="1"/>
    </xf>
    <xf numFmtId="3" fontId="0" fillId="0" borderId="0" xfId="0" applyNumberFormat="1" applyFill="1" applyBorder="1" applyAlignment="1">
      <alignment horizontal="right" vertical="center" wrapText="1"/>
    </xf>
    <xf numFmtId="165" fontId="14" fillId="0" borderId="3" xfId="1" applyNumberFormat="1" applyFont="1" applyFill="1" applyBorder="1" applyAlignment="1">
      <alignment horizontal="left" vertical="center" wrapText="1"/>
    </xf>
    <xf numFmtId="165" fontId="14" fillId="4" borderId="3" xfId="1"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15" fillId="6" borderId="5"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left" vertical="center" wrapText="1"/>
    </xf>
    <xf numFmtId="165" fontId="15" fillId="3" borderId="3" xfId="1" applyNumberFormat="1"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16" fillId="2" borderId="3" xfId="0" applyFont="1" applyFill="1" applyBorder="1" applyAlignment="1">
      <alignment horizontal="center" vertical="center" wrapText="1"/>
    </xf>
    <xf numFmtId="1" fontId="16" fillId="2" borderId="3" xfId="2" applyNumberFormat="1" applyFont="1" applyFill="1" applyBorder="1" applyAlignment="1">
      <alignment vertical="center" wrapText="1"/>
    </xf>
    <xf numFmtId="0" fontId="16" fillId="0" borderId="3" xfId="0" applyFont="1" applyBorder="1" applyAlignment="1">
      <alignment horizontal="center" vertical="center" wrapText="1"/>
    </xf>
    <xf numFmtId="1" fontId="16" fillId="0" borderId="3" xfId="2" applyNumberFormat="1" applyFont="1" applyFill="1" applyBorder="1" applyAlignment="1">
      <alignment vertical="center" wrapText="1"/>
    </xf>
    <xf numFmtId="1" fontId="7" fillId="0" borderId="3" xfId="0" applyNumberFormat="1" applyFont="1" applyFill="1" applyBorder="1" applyAlignment="1">
      <alignment horizontal="center" vertical="center" wrapText="1" shrinkToFit="1"/>
    </xf>
    <xf numFmtId="1" fontId="17" fillId="0" borderId="3" xfId="2" applyNumberFormat="1" applyFont="1" applyFill="1" applyBorder="1" applyAlignment="1">
      <alignment vertical="center" wrapText="1"/>
    </xf>
    <xf numFmtId="165" fontId="7" fillId="0" borderId="3" xfId="1" applyNumberFormat="1" applyFont="1" applyFill="1" applyBorder="1" applyAlignment="1">
      <alignment horizontal="left" vertical="center" wrapText="1"/>
    </xf>
    <xf numFmtId="165" fontId="17" fillId="0" borderId="3" xfId="1" quotePrefix="1" applyNumberFormat="1" applyFont="1" applyFill="1" applyBorder="1" applyAlignment="1">
      <alignment horizontal="right" vertical="center" wrapText="1"/>
    </xf>
    <xf numFmtId="165" fontId="17" fillId="0" borderId="3" xfId="1" applyNumberFormat="1" applyFont="1" applyBorder="1" applyAlignment="1">
      <alignment vertical="center" wrapText="1"/>
    </xf>
    <xf numFmtId="0" fontId="16" fillId="2" borderId="3" xfId="0" applyFont="1" applyFill="1" applyBorder="1" applyAlignment="1">
      <alignment vertical="center" wrapText="1"/>
    </xf>
    <xf numFmtId="0" fontId="17" fillId="2" borderId="3" xfId="0" applyFont="1" applyFill="1" applyBorder="1" applyAlignment="1">
      <alignment horizontal="left" vertical="center" wrapText="1"/>
    </xf>
    <xf numFmtId="165" fontId="17" fillId="2" borderId="3" xfId="3" applyNumberFormat="1" applyFont="1" applyFill="1" applyBorder="1" applyAlignment="1">
      <alignment vertical="center" wrapText="1"/>
    </xf>
    <xf numFmtId="165" fontId="17" fillId="2" borderId="3" xfId="1" applyNumberFormat="1" applyFont="1" applyFill="1" applyBorder="1" applyAlignment="1">
      <alignment horizontal="right" vertical="center" wrapText="1"/>
    </xf>
    <xf numFmtId="0" fontId="6" fillId="4" borderId="3" xfId="0" applyFont="1" applyFill="1" applyBorder="1" applyAlignment="1">
      <alignment horizontal="center" vertical="center" wrapText="1"/>
    </xf>
    <xf numFmtId="0" fontId="18" fillId="4"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165" fontId="14" fillId="0" borderId="3" xfId="1" applyNumberFormat="1" applyFont="1" applyFill="1" applyBorder="1" applyAlignment="1">
      <alignment horizontal="right" vertical="center" wrapText="1"/>
    </xf>
    <xf numFmtId="0" fontId="4" fillId="0"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1" fontId="17" fillId="2" borderId="3" xfId="2" applyNumberFormat="1" applyFont="1" applyFill="1" applyBorder="1" applyAlignment="1">
      <alignment vertical="center" wrapText="1"/>
    </xf>
    <xf numFmtId="165" fontId="7" fillId="0" borderId="3" xfId="1" applyNumberFormat="1" applyFont="1" applyFill="1" applyBorder="1" applyAlignment="1">
      <alignment vertical="center" wrapText="1"/>
    </xf>
    <xf numFmtId="0" fontId="7" fillId="0" borderId="3" xfId="0" applyFont="1" applyFill="1" applyBorder="1" applyAlignment="1">
      <alignment horizontal="center" vertical="center" wrapText="1"/>
    </xf>
    <xf numFmtId="0" fontId="17" fillId="2" borderId="3" xfId="0" applyFont="1" applyFill="1" applyBorder="1" applyAlignment="1">
      <alignment vertical="center" wrapText="1"/>
    </xf>
    <xf numFmtId="0" fontId="18" fillId="4" borderId="3" xfId="0" applyFont="1" applyFill="1" applyBorder="1" applyAlignment="1">
      <alignment horizontal="center" vertical="center" wrapText="1"/>
    </xf>
    <xf numFmtId="0" fontId="18" fillId="4" borderId="3" xfId="0" applyFont="1" applyFill="1" applyBorder="1" applyAlignment="1">
      <alignment vertical="center" wrapText="1"/>
    </xf>
    <xf numFmtId="3" fontId="7" fillId="4" borderId="3" xfId="0" applyNumberFormat="1" applyFont="1" applyFill="1" applyBorder="1" applyAlignment="1">
      <alignment horizontal="right" vertical="center" wrapText="1"/>
    </xf>
    <xf numFmtId="165" fontId="17" fillId="2" borderId="3" xfId="1" applyNumberFormat="1" applyFont="1" applyFill="1" applyBorder="1" applyAlignment="1">
      <alignment vertical="center" wrapText="1"/>
    </xf>
    <xf numFmtId="165" fontId="16" fillId="2" borderId="3" xfId="1" applyNumberFormat="1" applyFont="1" applyFill="1" applyBorder="1" applyAlignment="1">
      <alignment vertical="center" wrapText="1"/>
    </xf>
    <xf numFmtId="0" fontId="7" fillId="0" borderId="4" xfId="0" applyFont="1" applyFill="1" applyBorder="1" applyAlignment="1">
      <alignment horizontal="center" vertical="center" wrapText="1"/>
    </xf>
    <xf numFmtId="0" fontId="17" fillId="2" borderId="4" xfId="0" applyFont="1" applyFill="1" applyBorder="1" applyAlignment="1">
      <alignment vertical="center" wrapText="1"/>
    </xf>
    <xf numFmtId="165" fontId="17" fillId="2" borderId="4" xfId="1" applyNumberFormat="1" applyFont="1" applyFill="1" applyBorder="1" applyAlignment="1">
      <alignment vertical="center" wrapText="1"/>
    </xf>
    <xf numFmtId="165" fontId="14" fillId="0" borderId="3" xfId="1" applyNumberFormat="1" applyFont="1" applyFill="1" applyBorder="1" applyAlignment="1">
      <alignment horizontal="center" vertical="center" wrapText="1"/>
    </xf>
    <xf numFmtId="165" fontId="7" fillId="0" borderId="3" xfId="1" applyNumberFormat="1" applyFont="1" applyFill="1" applyBorder="1" applyAlignment="1">
      <alignment horizontal="right" vertical="center" wrapText="1"/>
    </xf>
    <xf numFmtId="165" fontId="16" fillId="2" borderId="3" xfId="1" applyNumberFormat="1" applyFont="1" applyFill="1" applyBorder="1" applyAlignment="1">
      <alignment horizontal="right" vertical="center" wrapText="1"/>
    </xf>
    <xf numFmtId="165" fontId="7" fillId="0" borderId="4" xfId="1" applyNumberFormat="1" applyFont="1" applyFill="1" applyBorder="1" applyAlignment="1">
      <alignment horizontal="right" vertical="center" wrapText="1"/>
    </xf>
    <xf numFmtId="165" fontId="7" fillId="0" borderId="4" xfId="1" applyNumberFormat="1" applyFont="1" applyFill="1" applyBorder="1" applyAlignment="1">
      <alignment horizontal="left" vertical="center" wrapText="1"/>
    </xf>
    <xf numFmtId="165" fontId="15" fillId="6" borderId="5" xfId="1" applyNumberFormat="1" applyFont="1" applyFill="1" applyBorder="1" applyAlignment="1">
      <alignment horizontal="left" vertical="center" wrapText="1"/>
    </xf>
    <xf numFmtId="165" fontId="15" fillId="6" borderId="5" xfId="1" applyNumberFormat="1" applyFont="1" applyFill="1" applyBorder="1" applyAlignment="1">
      <alignment horizontal="right" vertical="center" wrapText="1"/>
    </xf>
    <xf numFmtId="165" fontId="7" fillId="3" borderId="3" xfId="1" applyNumberFormat="1" applyFont="1" applyFill="1" applyBorder="1" applyAlignment="1">
      <alignment horizontal="left" vertical="center" wrapText="1"/>
    </xf>
    <xf numFmtId="165" fontId="15" fillId="5" borderId="3" xfId="1" applyNumberFormat="1" applyFont="1" applyFill="1" applyBorder="1" applyAlignment="1">
      <alignment horizontal="left" vertical="center" wrapText="1"/>
    </xf>
    <xf numFmtId="165" fontId="7" fillId="5" borderId="3" xfId="1" applyNumberFormat="1" applyFont="1" applyFill="1" applyBorder="1" applyAlignment="1">
      <alignment horizontal="left" vertical="center" wrapText="1"/>
    </xf>
    <xf numFmtId="165" fontId="15" fillId="5" borderId="3" xfId="1" applyNumberFormat="1" applyFont="1" applyFill="1" applyBorder="1" applyAlignment="1">
      <alignment horizontal="right" vertical="center" wrapText="1"/>
    </xf>
    <xf numFmtId="165" fontId="7" fillId="2" borderId="3" xfId="1" applyNumberFormat="1" applyFont="1" applyFill="1" applyBorder="1" applyAlignment="1">
      <alignment horizontal="right" vertical="center" wrapText="1"/>
    </xf>
    <xf numFmtId="165" fontId="15" fillId="3" borderId="3" xfId="1" applyNumberFormat="1" applyFont="1" applyFill="1" applyBorder="1" applyAlignment="1">
      <alignment horizontal="right" vertical="center" wrapText="1"/>
    </xf>
    <xf numFmtId="165" fontId="15" fillId="4" borderId="3" xfId="1" applyNumberFormat="1" applyFont="1" applyFill="1" applyBorder="1" applyAlignment="1">
      <alignment horizontal="left" vertical="center" wrapText="1"/>
    </xf>
    <xf numFmtId="165" fontId="15" fillId="4" borderId="3" xfId="1" applyNumberFormat="1" applyFont="1" applyFill="1" applyBorder="1" applyAlignment="1">
      <alignment horizontal="right" vertical="center" wrapText="1"/>
    </xf>
    <xf numFmtId="165" fontId="7" fillId="4" borderId="3" xfId="1" applyNumberFormat="1" applyFont="1" applyFill="1" applyBorder="1" applyAlignment="1">
      <alignment horizontal="left" vertical="center" wrapText="1"/>
    </xf>
    <xf numFmtId="165" fontId="17" fillId="2" borderId="3" xfId="1" quotePrefix="1" applyNumberFormat="1" applyFont="1" applyFill="1" applyBorder="1" applyAlignment="1">
      <alignment horizontal="right" vertical="center" wrapText="1"/>
    </xf>
    <xf numFmtId="0" fontId="19" fillId="3" borderId="3"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0" borderId="3" xfId="0" applyFont="1" applyFill="1" applyBorder="1" applyAlignment="1">
      <alignment horizontal="left" vertical="center" wrapText="1"/>
    </xf>
    <xf numFmtId="1" fontId="9" fillId="0" borderId="3" xfId="2" applyNumberFormat="1" applyFont="1" applyFill="1" applyBorder="1" applyAlignment="1">
      <alignment horizontal="center" vertical="center" wrapText="1"/>
    </xf>
    <xf numFmtId="0" fontId="19" fillId="4" borderId="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3" fontId="4" fillId="0" borderId="0" xfId="0" applyNumberFormat="1" applyFont="1" applyFill="1" applyBorder="1" applyAlignment="1">
      <alignment horizontal="right" vertical="center" wrapText="1"/>
    </xf>
    <xf numFmtId="165" fontId="4" fillId="0" borderId="0" xfId="0" applyNumberFormat="1" applyFont="1" applyFill="1" applyBorder="1" applyAlignment="1">
      <alignment horizontal="left" vertical="center" wrapText="1"/>
    </xf>
    <xf numFmtId="167" fontId="4" fillId="0" borderId="0" xfId="1" applyNumberFormat="1" applyFont="1" applyFill="1" applyBorder="1" applyAlignment="1">
      <alignment horizontal="left" vertical="center" wrapText="1"/>
    </xf>
    <xf numFmtId="167" fontId="4" fillId="0" borderId="0" xfId="0" applyNumberFormat="1" applyFont="1" applyFill="1" applyBorder="1" applyAlignment="1">
      <alignment horizontal="left" vertical="center" wrapText="1"/>
    </xf>
    <xf numFmtId="43" fontId="4" fillId="0" borderId="0" xfId="1" applyFont="1" applyFill="1" applyBorder="1" applyAlignment="1">
      <alignment horizontal="left" vertical="center" wrapText="1"/>
    </xf>
    <xf numFmtId="0" fontId="4" fillId="2" borderId="3" xfId="0" applyFont="1" applyFill="1" applyBorder="1" applyAlignment="1">
      <alignment horizontal="left" vertical="center" wrapText="1"/>
    </xf>
    <xf numFmtId="165" fontId="4" fillId="2" borderId="3" xfId="1" applyNumberFormat="1" applyFont="1" applyFill="1" applyBorder="1" applyAlignment="1">
      <alignment horizontal="left" vertical="center" wrapText="1"/>
    </xf>
    <xf numFmtId="165" fontId="4" fillId="2" borderId="3" xfId="1" applyNumberFormat="1" applyFont="1" applyFill="1" applyBorder="1" applyAlignment="1">
      <alignment horizontal="right" vertical="center" wrapText="1"/>
    </xf>
    <xf numFmtId="0" fontId="4" fillId="2" borderId="0" xfId="0" applyFont="1" applyFill="1" applyBorder="1" applyAlignment="1">
      <alignment horizontal="left" vertical="center" wrapText="1"/>
    </xf>
    <xf numFmtId="165" fontId="4" fillId="2" borderId="0" xfId="0" applyNumberFormat="1" applyFont="1" applyFill="1" applyBorder="1" applyAlignment="1">
      <alignment horizontal="left" vertical="center" wrapText="1"/>
    </xf>
    <xf numFmtId="43" fontId="4" fillId="0" borderId="0" xfId="0" applyNumberFormat="1" applyFont="1" applyFill="1" applyBorder="1" applyAlignment="1">
      <alignment horizontal="left" vertical="center" wrapText="1"/>
    </xf>
    <xf numFmtId="0" fontId="23" fillId="0" borderId="0" xfId="0" applyFont="1" applyFill="1" applyBorder="1" applyAlignment="1">
      <alignment vertical="center" wrapText="1"/>
    </xf>
    <xf numFmtId="169" fontId="4" fillId="0" borderId="0" xfId="0" applyNumberFormat="1" applyFont="1" applyFill="1" applyBorder="1" applyAlignment="1">
      <alignment horizontal="left" vertical="center" wrapText="1"/>
    </xf>
    <xf numFmtId="165" fontId="4" fillId="0" borderId="0" xfId="1" applyNumberFormat="1" applyFont="1" applyFill="1" applyBorder="1" applyAlignment="1">
      <alignment horizontal="center" vertical="center" wrapText="1"/>
    </xf>
    <xf numFmtId="165" fontId="6" fillId="0" borderId="0" xfId="0" applyNumberFormat="1" applyFont="1" applyFill="1" applyBorder="1" applyAlignment="1">
      <alignment horizontal="left" vertical="center" wrapText="1"/>
    </xf>
    <xf numFmtId="43" fontId="4" fillId="2" borderId="0" xfId="1" applyFont="1" applyFill="1" applyBorder="1" applyAlignment="1">
      <alignment horizontal="center" vertical="center" wrapText="1"/>
    </xf>
    <xf numFmtId="43" fontId="4" fillId="2" borderId="0" xfId="0" applyNumberFormat="1" applyFont="1" applyFill="1" applyBorder="1" applyAlignment="1">
      <alignment horizontal="left" vertical="center" wrapText="1"/>
    </xf>
    <xf numFmtId="0" fontId="27" fillId="0" borderId="0" xfId="0"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170" fontId="4" fillId="0" borderId="0" xfId="1" applyNumberFormat="1"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0" borderId="0" xfId="0" applyFont="1" applyFill="1" applyBorder="1" applyAlignment="1">
      <alignment horizontal="left" vertical="center" wrapText="1"/>
    </xf>
    <xf numFmtId="165" fontId="4" fillId="0" borderId="0" xfId="1" applyNumberFormat="1" applyFont="1" applyFill="1" applyBorder="1" applyAlignment="1">
      <alignment horizontal="left" vertical="center" wrapText="1"/>
    </xf>
    <xf numFmtId="165" fontId="4" fillId="2" borderId="0" xfId="1" applyNumberFormat="1" applyFont="1" applyFill="1" applyBorder="1" applyAlignment="1">
      <alignment horizontal="left" vertical="center" wrapText="1"/>
    </xf>
    <xf numFmtId="0" fontId="27" fillId="2" borderId="0" xfId="0" applyFont="1" applyFill="1" applyBorder="1" applyAlignment="1">
      <alignment horizontal="left" vertical="center" wrapText="1"/>
    </xf>
    <xf numFmtId="0" fontId="6" fillId="2" borderId="3" xfId="0" applyFont="1" applyFill="1" applyBorder="1" applyAlignment="1">
      <alignment horizontal="left" vertical="center" wrapText="1"/>
    </xf>
    <xf numFmtId="165" fontId="6" fillId="2" borderId="3" xfId="1" applyNumberFormat="1" applyFont="1" applyFill="1" applyBorder="1" applyAlignment="1">
      <alignment horizontal="left" vertical="center" wrapText="1"/>
    </xf>
    <xf numFmtId="0" fontId="4" fillId="2" borderId="5" xfId="0" applyFont="1" applyFill="1" applyBorder="1" applyAlignment="1">
      <alignment horizontal="left" vertical="center" wrapText="1"/>
    </xf>
    <xf numFmtId="0" fontId="24" fillId="2" borderId="5" xfId="0" applyFont="1" applyFill="1" applyBorder="1" applyAlignment="1">
      <alignment horizontal="left" vertical="center" wrapText="1"/>
    </xf>
    <xf numFmtId="165" fontId="4" fillId="2" borderId="5" xfId="1" applyNumberFormat="1" applyFont="1" applyFill="1" applyBorder="1" applyAlignment="1">
      <alignment horizontal="right" vertical="center" wrapText="1"/>
    </xf>
    <xf numFmtId="165" fontId="24" fillId="0" borderId="10" xfId="5" applyNumberFormat="1" applyFont="1" applyFill="1" applyBorder="1" applyAlignment="1">
      <alignment horizontal="center" vertical="center"/>
    </xf>
    <xf numFmtId="165" fontId="5" fillId="2" borderId="3" xfId="1"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43" fontId="27" fillId="0" borderId="0" xfId="1" applyFont="1" applyFill="1" applyBorder="1" applyAlignment="1">
      <alignment horizontal="left" vertical="center" wrapText="1"/>
    </xf>
    <xf numFmtId="0" fontId="32" fillId="2" borderId="3" xfId="0" applyFont="1" applyFill="1" applyBorder="1" applyAlignment="1">
      <alignment horizontal="center" vertical="center" wrapText="1"/>
    </xf>
    <xf numFmtId="0" fontId="32" fillId="2" borderId="3" xfId="0" applyFont="1" applyFill="1" applyBorder="1" applyAlignment="1">
      <alignment horizontal="left" vertical="center" wrapText="1"/>
    </xf>
    <xf numFmtId="0" fontId="33" fillId="2" borderId="3"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4" fillId="2" borderId="3" xfId="0" applyFont="1" applyFill="1" applyBorder="1" applyAlignment="1">
      <alignment horizontal="center" vertical="center" wrapText="1"/>
    </xf>
    <xf numFmtId="165" fontId="4" fillId="2" borderId="9" xfId="1" applyNumberFormat="1" applyFont="1" applyFill="1" applyBorder="1" applyAlignment="1">
      <alignment horizontal="right" vertical="center"/>
    </xf>
    <xf numFmtId="165" fontId="4" fillId="2" borderId="9" xfId="1" applyNumberFormat="1" applyFont="1" applyFill="1" applyBorder="1" applyAlignment="1">
      <alignment vertical="center"/>
    </xf>
    <xf numFmtId="49" fontId="24" fillId="0" borderId="0" xfId="12" applyNumberFormat="1" applyFont="1" applyFill="1" applyBorder="1" applyAlignment="1">
      <alignment horizontal="center" vertical="center" wrapText="1"/>
    </xf>
    <xf numFmtId="3" fontId="24" fillId="0" borderId="0" xfId="14" applyNumberFormat="1" applyFont="1" applyFill="1" applyBorder="1" applyAlignment="1">
      <alignment horizontal="center" vertical="center" wrapText="1"/>
    </xf>
    <xf numFmtId="3" fontId="24" fillId="2" borderId="0" xfId="14" applyNumberFormat="1" applyFont="1" applyFill="1" applyBorder="1" applyAlignment="1">
      <alignment horizontal="center" vertical="center" wrapText="1"/>
    </xf>
    <xf numFmtId="168" fontId="4" fillId="0" borderId="0" xfId="0" applyNumberFormat="1" applyFont="1" applyFill="1" applyBorder="1" applyAlignment="1">
      <alignment horizontal="left" vertical="center" wrapText="1"/>
    </xf>
    <xf numFmtId="165" fontId="4" fillId="2" borderId="13" xfId="18" applyNumberFormat="1" applyFont="1" applyFill="1" applyBorder="1" applyAlignment="1">
      <alignment horizontal="right" vertical="center" wrapText="1"/>
    </xf>
    <xf numFmtId="165" fontId="4" fillId="0" borderId="13" xfId="5" applyNumberFormat="1"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3" xfId="0" applyFont="1" applyFill="1" applyBorder="1" applyAlignment="1">
      <alignment horizontal="center" vertical="center" wrapText="1"/>
    </xf>
    <xf numFmtId="49" fontId="24" fillId="0" borderId="13" xfId="12" applyNumberFormat="1" applyFont="1" applyFill="1" applyBorder="1" applyAlignment="1">
      <alignment horizontal="left" vertical="center" wrapText="1"/>
    </xf>
    <xf numFmtId="3" fontId="24" fillId="0" borderId="13" xfId="14" applyNumberFormat="1" applyFont="1" applyFill="1" applyBorder="1" applyAlignment="1">
      <alignment horizontal="left" vertical="center" wrapText="1"/>
    </xf>
    <xf numFmtId="3" fontId="24" fillId="2" borderId="13" xfId="14" applyNumberFormat="1" applyFont="1" applyFill="1" applyBorder="1" applyAlignment="1">
      <alignment horizontal="left" vertical="center" wrapText="1"/>
    </xf>
    <xf numFmtId="3" fontId="24" fillId="0" borderId="13" xfId="13" applyNumberFormat="1" applyFont="1" applyFill="1" applyBorder="1" applyAlignment="1">
      <alignment horizontal="left" vertical="center" wrapText="1"/>
    </xf>
    <xf numFmtId="0" fontId="6" fillId="3" borderId="13" xfId="0" applyFont="1" applyFill="1" applyBorder="1" applyAlignment="1">
      <alignment horizontal="left" vertical="center" wrapText="1"/>
    </xf>
    <xf numFmtId="165" fontId="36" fillId="0" borderId="13" xfId="1" applyNumberFormat="1" applyFont="1" applyFill="1" applyBorder="1" applyAlignment="1">
      <alignment horizontal="right" vertical="center" wrapText="1"/>
    </xf>
    <xf numFmtId="165" fontId="6" fillId="3" borderId="13" xfId="0" applyNumberFormat="1" applyFont="1" applyFill="1" applyBorder="1" applyAlignment="1">
      <alignment vertical="center" wrapText="1"/>
    </xf>
    <xf numFmtId="0" fontId="6"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35" fillId="2" borderId="3" xfId="0" applyFont="1" applyFill="1" applyBorder="1" applyAlignment="1">
      <alignment horizontal="center" vertical="center" wrapText="1"/>
    </xf>
    <xf numFmtId="165" fontId="27" fillId="2" borderId="3" xfId="1" applyNumberFormat="1" applyFont="1" applyFill="1" applyBorder="1" applyAlignment="1">
      <alignment horizontal="left" vertical="center" wrapText="1"/>
    </xf>
    <xf numFmtId="3" fontId="32" fillId="2" borderId="3" xfId="0" quotePrefix="1" applyNumberFormat="1" applyFont="1" applyFill="1" applyBorder="1" applyAlignment="1">
      <alignment horizontal="center" vertical="center" wrapText="1"/>
    </xf>
    <xf numFmtId="0" fontId="6" fillId="2" borderId="0" xfId="0" applyFont="1" applyFill="1" applyBorder="1" applyAlignment="1">
      <alignment horizontal="left" vertical="center" wrapText="1"/>
    </xf>
    <xf numFmtId="43" fontId="6" fillId="2" borderId="0" xfId="1" applyFont="1" applyFill="1" applyBorder="1" applyAlignment="1">
      <alignment horizontal="center" vertical="center" wrapText="1"/>
    </xf>
    <xf numFmtId="43" fontId="6" fillId="2" borderId="0" xfId="0" applyNumberFormat="1" applyFont="1" applyFill="1" applyBorder="1" applyAlignment="1">
      <alignment horizontal="left" vertical="center" wrapText="1"/>
    </xf>
    <xf numFmtId="0" fontId="23" fillId="2" borderId="0" xfId="0" applyFont="1" applyFill="1" applyBorder="1" applyAlignment="1">
      <alignment vertical="center" wrapText="1"/>
    </xf>
    <xf numFmtId="1" fontId="4" fillId="2" borderId="3" xfId="11" applyNumberFormat="1" applyFont="1" applyFill="1" applyBorder="1" applyAlignment="1">
      <alignment vertical="center" wrapText="1"/>
    </xf>
    <xf numFmtId="1" fontId="32" fillId="2" borderId="3" xfId="11" applyNumberFormat="1" applyFont="1" applyFill="1" applyBorder="1" applyAlignment="1">
      <alignment horizontal="center" vertical="center" wrapText="1"/>
    </xf>
    <xf numFmtId="0" fontId="6"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49" fontId="25" fillId="0" borderId="0" xfId="12" applyNumberFormat="1" applyFont="1" applyFill="1" applyBorder="1" applyAlignment="1">
      <alignment horizontal="center" vertical="center" wrapText="1"/>
    </xf>
    <xf numFmtId="168" fontId="6" fillId="0" borderId="0"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168" fontId="5" fillId="0" borderId="0" xfId="0" applyNumberFormat="1" applyFont="1" applyFill="1" applyBorder="1" applyAlignment="1">
      <alignment horizontal="left" vertical="center" wrapText="1"/>
    </xf>
    <xf numFmtId="0" fontId="5" fillId="0" borderId="6"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2" borderId="13" xfId="0" applyFont="1" applyFill="1" applyBorder="1" applyAlignment="1">
      <alignment horizontal="center" vertical="center" wrapText="1"/>
    </xf>
    <xf numFmtId="165" fontId="4" fillId="0" borderId="13" xfId="18"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28" fillId="2" borderId="0" xfId="0"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43" fontId="4" fillId="2" borderId="3" xfId="1" applyNumberFormat="1" applyFont="1" applyFill="1" applyBorder="1" applyAlignment="1">
      <alignment horizontal="right" vertical="center" wrapText="1"/>
    </xf>
    <xf numFmtId="167" fontId="4" fillId="2" borderId="3" xfId="1"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top"/>
    </xf>
    <xf numFmtId="0" fontId="7" fillId="0" borderId="14" xfId="0" applyFont="1" applyFill="1" applyBorder="1" applyAlignment="1">
      <alignment horizontal="left" vertical="top"/>
    </xf>
    <xf numFmtId="0" fontId="15" fillId="0" borderId="13" xfId="0" applyFont="1" applyFill="1" applyBorder="1" applyAlignment="1">
      <alignment horizontal="center" vertical="center" wrapText="1"/>
    </xf>
    <xf numFmtId="0" fontId="4" fillId="2" borderId="21" xfId="0" applyFont="1" applyFill="1" applyBorder="1" applyAlignment="1">
      <alignment horizontal="left" vertical="center" wrapText="1"/>
    </xf>
    <xf numFmtId="0" fontId="24" fillId="2" borderId="21" xfId="0" applyFont="1" applyFill="1" applyBorder="1" applyAlignment="1">
      <alignment horizontal="left" vertical="center" wrapText="1"/>
    </xf>
    <xf numFmtId="165" fontId="4" fillId="2" borderId="21" xfId="1" applyNumberFormat="1" applyFont="1" applyFill="1" applyBorder="1" applyAlignment="1">
      <alignment horizontal="right" vertical="center" wrapText="1"/>
    </xf>
    <xf numFmtId="43" fontId="6" fillId="2" borderId="3" xfId="1" applyNumberFormat="1" applyFont="1" applyFill="1" applyBorder="1" applyAlignment="1">
      <alignment horizontal="left" vertical="center" wrapText="1"/>
    </xf>
    <xf numFmtId="167" fontId="6" fillId="2" borderId="3" xfId="1" applyNumberFormat="1" applyFont="1" applyFill="1" applyBorder="1" applyAlignment="1">
      <alignment horizontal="left" vertical="center" wrapText="1"/>
    </xf>
    <xf numFmtId="167" fontId="5" fillId="2" borderId="3" xfId="1" applyNumberFormat="1" applyFont="1" applyFill="1" applyBorder="1" applyAlignment="1">
      <alignment horizontal="left" vertical="center" wrapText="1"/>
    </xf>
    <xf numFmtId="167" fontId="27" fillId="2" borderId="3" xfId="1" applyNumberFormat="1" applyFont="1" applyFill="1" applyBorder="1" applyAlignment="1">
      <alignment horizontal="left" vertical="center" wrapText="1"/>
    </xf>
    <xf numFmtId="167" fontId="4" fillId="2" borderId="5" xfId="1" applyNumberFormat="1" applyFont="1" applyFill="1" applyBorder="1" applyAlignment="1">
      <alignment horizontal="right" vertical="center" wrapText="1"/>
    </xf>
    <xf numFmtId="167" fontId="4" fillId="2" borderId="24" xfId="1" applyNumberFormat="1" applyFont="1" applyFill="1" applyBorder="1" applyAlignment="1">
      <alignment horizontal="right" vertical="center" wrapText="1"/>
    </xf>
    <xf numFmtId="167" fontId="4" fillId="2" borderId="25" xfId="1" applyNumberFormat="1" applyFont="1" applyFill="1" applyBorder="1" applyAlignment="1">
      <alignment horizontal="right" vertical="center" wrapText="1"/>
    </xf>
    <xf numFmtId="167" fontId="4" fillId="2" borderId="25" xfId="1" applyNumberFormat="1" applyFont="1" applyFill="1" applyBorder="1" applyAlignment="1">
      <alignment horizontal="center" vertical="center" wrapText="1"/>
    </xf>
    <xf numFmtId="43" fontId="4" fillId="2" borderId="3" xfId="1" applyNumberFormat="1" applyFont="1" applyFill="1" applyBorder="1" applyAlignment="1">
      <alignment horizontal="center" vertical="center" wrapText="1"/>
    </xf>
    <xf numFmtId="167" fontId="4" fillId="2" borderId="3" xfId="1" applyNumberFormat="1" applyFont="1" applyFill="1" applyBorder="1" applyAlignment="1">
      <alignment horizontal="center" vertical="center" wrapText="1"/>
    </xf>
    <xf numFmtId="0" fontId="7" fillId="0" borderId="9" xfId="0" applyFont="1" applyFill="1" applyBorder="1" applyAlignment="1">
      <alignment horizontal="center" vertical="center"/>
    </xf>
    <xf numFmtId="165" fontId="7" fillId="0" borderId="9" xfId="1" applyNumberFormat="1" applyFont="1" applyFill="1" applyBorder="1" applyAlignment="1">
      <alignment horizontal="center" vertical="center"/>
    </xf>
    <xf numFmtId="165" fontId="7" fillId="0" borderId="14" xfId="1" applyNumberFormat="1" applyFont="1" applyFill="1" applyBorder="1" applyAlignment="1">
      <alignment horizontal="center" vertical="center"/>
    </xf>
    <xf numFmtId="0" fontId="7" fillId="0" borderId="9" xfId="0" applyFont="1" applyFill="1" applyBorder="1" applyAlignment="1">
      <alignment horizontal="left" vertical="center" wrapText="1"/>
    </xf>
    <xf numFmtId="43" fontId="7" fillId="0" borderId="9" xfId="1" applyNumberFormat="1" applyFont="1" applyFill="1" applyBorder="1" applyAlignment="1">
      <alignment horizontal="center" vertical="center"/>
    </xf>
    <xf numFmtId="167" fontId="7" fillId="0" borderId="9" xfId="1" applyNumberFormat="1" applyFont="1" applyFill="1" applyBorder="1" applyAlignment="1">
      <alignment horizontal="center" vertical="center"/>
    </xf>
    <xf numFmtId="0" fontId="39" fillId="2" borderId="0" xfId="0" applyFont="1" applyFill="1" applyBorder="1" applyAlignment="1">
      <alignment horizontal="center" vertical="center" wrapText="1"/>
    </xf>
    <xf numFmtId="0" fontId="40" fillId="2" borderId="0" xfId="0" applyFont="1" applyFill="1" applyBorder="1" applyAlignment="1">
      <alignment horizontal="left" vertical="center" wrapText="1"/>
    </xf>
    <xf numFmtId="0" fontId="41" fillId="2" borderId="0" xfId="0" applyFont="1" applyFill="1" applyBorder="1" applyAlignment="1">
      <alignment horizontal="center" vertical="center" wrapText="1"/>
    </xf>
    <xf numFmtId="43" fontId="40" fillId="2" borderId="0" xfId="1" applyFont="1" applyFill="1" applyBorder="1" applyAlignment="1">
      <alignment horizontal="left" vertical="center" wrapText="1"/>
    </xf>
    <xf numFmtId="43" fontId="40" fillId="2" borderId="0" xfId="0" applyNumberFormat="1" applyFont="1" applyFill="1" applyBorder="1" applyAlignment="1">
      <alignment horizontal="left" vertical="center" wrapText="1"/>
    </xf>
    <xf numFmtId="165" fontId="40" fillId="2" borderId="0" xfId="0" applyNumberFormat="1" applyFont="1" applyFill="1" applyBorder="1" applyAlignment="1">
      <alignment horizontal="left" vertical="center" wrapText="1"/>
    </xf>
    <xf numFmtId="165" fontId="40" fillId="2" borderId="0" xfId="1" applyNumberFormat="1" applyFont="1" applyFill="1" applyBorder="1" applyAlignment="1">
      <alignment horizontal="left" vertical="center" wrapText="1"/>
    </xf>
    <xf numFmtId="43" fontId="40" fillId="2" borderId="0" xfId="1" applyFont="1" applyFill="1" applyBorder="1" applyAlignment="1">
      <alignment horizontal="center" vertical="center" wrapText="1"/>
    </xf>
    <xf numFmtId="0" fontId="43" fillId="2" borderId="0" xfId="0" applyFont="1" applyFill="1" applyBorder="1" applyAlignment="1">
      <alignment horizontal="left" vertical="center" wrapText="1"/>
    </xf>
    <xf numFmtId="43" fontId="43" fillId="2" borderId="0" xfId="1" applyFont="1" applyFill="1" applyBorder="1" applyAlignment="1">
      <alignment horizontal="center" vertical="center" wrapText="1"/>
    </xf>
    <xf numFmtId="43" fontId="43" fillId="2" borderId="0" xfId="0" applyNumberFormat="1" applyFont="1" applyFill="1" applyBorder="1" applyAlignment="1">
      <alignment horizontal="left" vertical="center" wrapText="1"/>
    </xf>
    <xf numFmtId="49" fontId="39" fillId="2" borderId="0" xfId="12" applyNumberFormat="1" applyFont="1" applyFill="1" applyBorder="1" applyAlignment="1">
      <alignment horizontal="center" vertical="center" wrapText="1"/>
    </xf>
    <xf numFmtId="3" fontId="39" fillId="2" borderId="0" xfId="13" quotePrefix="1" applyNumberFormat="1" applyFont="1" applyFill="1" applyBorder="1" applyAlignment="1">
      <alignment horizontal="center" vertical="center" wrapText="1"/>
    </xf>
    <xf numFmtId="3" fontId="39" fillId="2" borderId="0" xfId="13" applyNumberFormat="1" applyFont="1" applyFill="1" applyBorder="1" applyAlignment="1">
      <alignment horizontal="center" vertical="center" wrapText="1"/>
    </xf>
    <xf numFmtId="3" fontId="39" fillId="2" borderId="0" xfId="13" applyNumberFormat="1" applyFont="1" applyFill="1" applyBorder="1" applyAlignment="1">
      <alignment horizontal="center" vertical="center"/>
    </xf>
    <xf numFmtId="0" fontId="39" fillId="2" borderId="0" xfId="15" applyFont="1" applyFill="1" applyBorder="1" applyAlignment="1">
      <alignment horizontal="center" vertical="center"/>
    </xf>
    <xf numFmtId="3" fontId="39" fillId="2" borderId="0" xfId="14" applyNumberFormat="1" applyFont="1" applyFill="1" applyBorder="1" applyAlignment="1">
      <alignment horizontal="center" vertical="center" wrapText="1"/>
    </xf>
    <xf numFmtId="0" fontId="44" fillId="2" borderId="13" xfId="0" applyFont="1" applyFill="1" applyBorder="1" applyAlignment="1">
      <alignment horizontal="center" vertical="center" wrapText="1"/>
    </xf>
    <xf numFmtId="165" fontId="42" fillId="2" borderId="13" xfId="0" applyNumberFormat="1" applyFont="1" applyFill="1" applyBorder="1" applyAlignment="1">
      <alignment vertical="center" wrapText="1"/>
    </xf>
    <xf numFmtId="0" fontId="39" fillId="2" borderId="13" xfId="0" applyFont="1" applyFill="1" applyBorder="1" applyAlignment="1">
      <alignment horizontal="center" vertical="center" wrapText="1"/>
    </xf>
    <xf numFmtId="165" fontId="40" fillId="2" borderId="13" xfId="5" applyNumberFormat="1" applyFont="1" applyFill="1" applyBorder="1" applyAlignment="1">
      <alignment horizontal="center" vertical="center"/>
    </xf>
    <xf numFmtId="165" fontId="32" fillId="2" borderId="3" xfId="1" applyNumberFormat="1" applyFont="1" applyFill="1" applyBorder="1" applyAlignment="1">
      <alignment horizontal="center" vertical="center" wrapText="1"/>
    </xf>
    <xf numFmtId="0" fontId="20" fillId="0" borderId="0" xfId="0" applyFont="1" applyFill="1" applyBorder="1" applyAlignment="1">
      <alignment horizontal="left" vertical="top"/>
    </xf>
    <xf numFmtId="0" fontId="46" fillId="0" borderId="0" xfId="0" applyFont="1" applyFill="1" applyBorder="1" applyAlignment="1">
      <alignment horizontal="left" vertical="top"/>
    </xf>
    <xf numFmtId="43" fontId="4" fillId="2" borderId="3" xfId="1" applyFont="1" applyFill="1" applyBorder="1" applyAlignment="1">
      <alignment horizontal="right" vertical="center" wrapText="1"/>
    </xf>
    <xf numFmtId="43" fontId="7" fillId="0" borderId="9" xfId="1" applyFont="1" applyFill="1" applyBorder="1" applyAlignment="1">
      <alignment horizontal="center" vertical="center"/>
    </xf>
    <xf numFmtId="3" fontId="4" fillId="0" borderId="13" xfId="0" applyNumberFormat="1" applyFont="1" applyFill="1" applyBorder="1" applyAlignment="1">
      <alignment horizontal="right" vertical="center" wrapText="1"/>
    </xf>
    <xf numFmtId="165" fontId="4" fillId="0" borderId="13" xfId="1" applyNumberFormat="1" applyFont="1" applyFill="1" applyBorder="1" applyAlignment="1">
      <alignment horizontal="left" vertical="center" wrapText="1"/>
    </xf>
    <xf numFmtId="165" fontId="4" fillId="0" borderId="13" xfId="1" applyNumberFormat="1" applyFont="1" applyFill="1" applyBorder="1" applyAlignment="1">
      <alignment horizontal="right" vertical="center" wrapText="1"/>
    </xf>
    <xf numFmtId="0" fontId="6" fillId="2" borderId="2"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1" xfId="0" applyFont="1" applyFill="1" applyBorder="1" applyAlignment="1">
      <alignment horizontal="right" vertical="center" wrapText="1"/>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21" fillId="2" borderId="0" xfId="0" applyFont="1" applyFill="1" applyBorder="1" applyAlignment="1">
      <alignment horizontal="right" vertical="center" wrapText="1"/>
    </xf>
    <xf numFmtId="0" fontId="45" fillId="0" borderId="0" xfId="0" applyFont="1" applyFill="1" applyBorder="1" applyAlignment="1">
      <alignment horizontal="center" vertical="center"/>
    </xf>
    <xf numFmtId="0" fontId="46" fillId="0" borderId="0" xfId="0" applyFont="1" applyFill="1" applyBorder="1" applyAlignment="1">
      <alignment horizontal="center" vertical="top"/>
    </xf>
    <xf numFmtId="0" fontId="15" fillId="0" borderId="13" xfId="0" applyFont="1" applyFill="1" applyBorder="1" applyAlignment="1">
      <alignment horizontal="center" vertical="center"/>
    </xf>
    <xf numFmtId="0" fontId="21"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3" fontId="6" fillId="2" borderId="20"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6" fillId="2" borderId="12"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2" borderId="18" xfId="0" applyFont="1" applyFill="1" applyBorder="1" applyAlignment="1">
      <alignment horizontal="center" vertical="center" wrapText="1"/>
    </xf>
    <xf numFmtId="3" fontId="6" fillId="0" borderId="20"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65" fontId="32" fillId="2" borderId="27" xfId="1" applyNumberFormat="1" applyFont="1" applyFill="1" applyBorder="1" applyAlignment="1">
      <alignment horizontal="center" vertical="center" wrapText="1"/>
    </xf>
    <xf numFmtId="165" fontId="32" fillId="2" borderId="11" xfId="1" applyNumberFormat="1" applyFont="1" applyFill="1" applyBorder="1" applyAlignment="1">
      <alignment horizontal="center" vertical="center" wrapText="1"/>
    </xf>
    <xf numFmtId="165" fontId="32" fillId="2" borderId="5" xfId="1"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0" fontId="42" fillId="2" borderId="0" xfId="0" applyFont="1" applyFill="1" applyBorder="1" applyAlignment="1">
      <alignment horizontal="center" vertical="center" wrapText="1"/>
    </xf>
    <xf numFmtId="0" fontId="40" fillId="2" borderId="0" xfId="0"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6" fillId="2" borderId="22" xfId="0" applyNumberFormat="1" applyFont="1" applyFill="1" applyBorder="1" applyAlignment="1">
      <alignment horizontal="center" vertical="center" wrapText="1"/>
    </xf>
    <xf numFmtId="165" fontId="39" fillId="2" borderId="0" xfId="0" applyNumberFormat="1" applyFont="1" applyFill="1" applyBorder="1" applyAlignment="1">
      <alignment horizontal="center" vertical="center" wrapText="1"/>
    </xf>
    <xf numFmtId="0" fontId="23" fillId="2" borderId="0"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3" fontId="6" fillId="2" borderId="28" xfId="0" applyNumberFormat="1" applyFont="1" applyFill="1" applyBorder="1" applyAlignment="1">
      <alignment horizontal="center" vertical="center" wrapText="1"/>
    </xf>
    <xf numFmtId="3" fontId="6" fillId="2" borderId="29"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31"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28" fillId="2" borderId="3" xfId="0" applyFont="1" applyFill="1" applyBorder="1" applyAlignment="1">
      <alignment horizontal="left" vertical="center" wrapText="1"/>
    </xf>
    <xf numFmtId="0" fontId="4" fillId="2" borderId="3" xfId="0" quotePrefix="1" applyFont="1" applyFill="1" applyBorder="1" applyAlignment="1">
      <alignment horizontal="center" vertical="center" wrapText="1"/>
    </xf>
    <xf numFmtId="0" fontId="4"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32" fillId="0" borderId="4" xfId="0" applyFont="1" applyFill="1" applyBorder="1" applyAlignment="1">
      <alignment horizontal="center" vertical="center" wrapText="1"/>
    </xf>
    <xf numFmtId="165" fontId="4" fillId="0" borderId="4" xfId="1" applyNumberFormat="1" applyFont="1" applyFill="1" applyBorder="1" applyAlignment="1">
      <alignment horizontal="left" vertical="center" wrapText="1"/>
    </xf>
    <xf numFmtId="165" fontId="4" fillId="0" borderId="4" xfId="1" applyNumberFormat="1" applyFont="1" applyFill="1" applyBorder="1" applyAlignment="1">
      <alignment horizontal="right" vertical="center" wrapText="1"/>
    </xf>
    <xf numFmtId="167" fontId="4" fillId="0" borderId="4" xfId="1" applyNumberFormat="1" applyFont="1" applyFill="1" applyBorder="1" applyAlignment="1">
      <alignment horizontal="right" vertical="center" wrapText="1"/>
    </xf>
    <xf numFmtId="167" fontId="4" fillId="0" borderId="30" xfId="1" applyNumberFormat="1" applyFont="1" applyFill="1" applyBorder="1" applyAlignment="1">
      <alignment horizontal="right" vertical="center" wrapText="1"/>
    </xf>
    <xf numFmtId="0" fontId="24" fillId="0"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165" fontId="6" fillId="2" borderId="2" xfId="1" applyNumberFormat="1" applyFont="1" applyFill="1" applyBorder="1" applyAlignment="1">
      <alignment horizontal="left" vertical="center" wrapText="1"/>
    </xf>
    <xf numFmtId="167" fontId="6" fillId="2" borderId="2" xfId="1" applyNumberFormat="1" applyFont="1" applyFill="1" applyBorder="1" applyAlignment="1">
      <alignment horizontal="left" vertical="center" wrapText="1"/>
    </xf>
    <xf numFmtId="43" fontId="6" fillId="2" borderId="2" xfId="1" applyNumberFormat="1" applyFont="1" applyFill="1" applyBorder="1" applyAlignment="1">
      <alignment horizontal="left" vertical="center" wrapText="1"/>
    </xf>
    <xf numFmtId="165" fontId="25" fillId="2" borderId="2" xfId="0" applyNumberFormat="1" applyFont="1" applyFill="1" applyBorder="1" applyAlignment="1">
      <alignment horizontal="left" vertical="center" wrapText="1"/>
    </xf>
    <xf numFmtId="165" fontId="24" fillId="2" borderId="5" xfId="5" applyNumberFormat="1" applyFont="1" applyFill="1" applyBorder="1" applyAlignment="1">
      <alignment horizontal="center" vertical="center"/>
    </xf>
    <xf numFmtId="165" fontId="24" fillId="2" borderId="3" xfId="5" applyNumberFormat="1" applyFont="1" applyFill="1" applyBorder="1" applyAlignment="1">
      <alignment horizontal="center" vertical="center"/>
    </xf>
    <xf numFmtId="49" fontId="4" fillId="2" borderId="3" xfId="8" applyNumberFormat="1" applyFont="1" applyFill="1" applyBorder="1" applyAlignment="1">
      <alignment horizontal="left" vertical="center" wrapText="1"/>
    </xf>
    <xf numFmtId="165" fontId="4" fillId="2" borderId="3" xfId="0" applyNumberFormat="1" applyFont="1" applyFill="1" applyBorder="1" applyAlignment="1">
      <alignment horizontal="center" vertical="center"/>
    </xf>
    <xf numFmtId="165" fontId="4" fillId="2" borderId="3" xfId="1" applyNumberFormat="1" applyFont="1" applyFill="1" applyBorder="1" applyAlignment="1">
      <alignment horizontal="center" vertical="center"/>
    </xf>
    <xf numFmtId="49" fontId="4" fillId="2" borderId="3" xfId="12" applyNumberFormat="1" applyFont="1" applyFill="1" applyBorder="1" applyAlignment="1">
      <alignment horizontal="left" vertical="center" wrapText="1"/>
    </xf>
    <xf numFmtId="49" fontId="27" fillId="2" borderId="3" xfId="8" applyNumberFormat="1" applyFont="1" applyFill="1" applyBorder="1" applyAlignment="1">
      <alignment horizontal="left" vertical="center" wrapText="1"/>
    </xf>
    <xf numFmtId="49" fontId="32" fillId="2" borderId="3" xfId="0" quotePrefix="1" applyNumberFormat="1" applyFont="1" applyFill="1" applyBorder="1" applyAlignment="1">
      <alignment horizontal="center" vertical="center" wrapText="1"/>
    </xf>
    <xf numFmtId="2" fontId="4" fillId="2" borderId="3" xfId="0" applyNumberFormat="1" applyFont="1" applyFill="1" applyBorder="1" applyAlignment="1">
      <alignment horizontal="left" vertical="center" wrapText="1"/>
    </xf>
    <xf numFmtId="3" fontId="32" fillId="2" borderId="3" xfId="0" applyNumberFormat="1" applyFont="1" applyFill="1" applyBorder="1" applyAlignment="1">
      <alignment horizontal="center" vertical="center" wrapText="1"/>
    </xf>
    <xf numFmtId="3" fontId="4" fillId="2" borderId="3" xfId="0" quotePrefix="1" applyNumberFormat="1" applyFont="1" applyFill="1" applyBorder="1" applyAlignment="1">
      <alignment horizontal="right" vertical="center" wrapText="1"/>
    </xf>
    <xf numFmtId="49" fontId="32" fillId="2" borderId="3" xfId="16" applyNumberFormat="1" applyFont="1" applyFill="1" applyBorder="1" applyAlignment="1">
      <alignment horizontal="center" vertical="center" wrapText="1"/>
    </xf>
    <xf numFmtId="0" fontId="15" fillId="2" borderId="26" xfId="0" applyFont="1" applyFill="1" applyBorder="1" applyAlignment="1">
      <alignment horizontal="center" vertical="center" wrapText="1"/>
    </xf>
    <xf numFmtId="167" fontId="15" fillId="2" borderId="26" xfId="0" applyNumberFormat="1" applyFont="1" applyFill="1" applyBorder="1" applyAlignment="1">
      <alignment horizontal="center" vertical="center" wrapText="1"/>
    </xf>
    <xf numFmtId="43" fontId="15" fillId="2" borderId="26" xfId="1" applyFont="1" applyFill="1" applyBorder="1" applyAlignment="1">
      <alignment horizontal="center" vertical="center" wrapText="1"/>
    </xf>
    <xf numFmtId="0" fontId="7" fillId="2" borderId="0" xfId="0" applyFont="1" applyFill="1" applyBorder="1" applyAlignment="1">
      <alignment horizontal="left" vertical="top"/>
    </xf>
    <xf numFmtId="167" fontId="7" fillId="2" borderId="0" xfId="0" applyNumberFormat="1" applyFont="1" applyFill="1" applyBorder="1" applyAlignment="1">
      <alignment horizontal="left" vertical="top"/>
    </xf>
    <xf numFmtId="0" fontId="15" fillId="2" borderId="15" xfId="0" applyFont="1" applyFill="1" applyBorder="1" applyAlignment="1">
      <alignment horizontal="center" vertical="center" wrapText="1"/>
    </xf>
    <xf numFmtId="0" fontId="15" fillId="2" borderId="15" xfId="0" applyFont="1" applyFill="1" applyBorder="1" applyAlignment="1">
      <alignment horizontal="left" vertical="center" wrapText="1"/>
    </xf>
    <xf numFmtId="167" fontId="15" fillId="2" borderId="15" xfId="1" applyNumberFormat="1" applyFont="1" applyFill="1" applyBorder="1" applyAlignment="1">
      <alignment horizontal="center" vertical="center"/>
    </xf>
    <xf numFmtId="43" fontId="15" fillId="2" borderId="15" xfId="1" applyFont="1" applyFill="1" applyBorder="1" applyAlignment="1">
      <alignment horizontal="center" vertical="center"/>
    </xf>
    <xf numFmtId="165" fontId="15" fillId="2" borderId="15" xfId="1" applyNumberFormat="1" applyFont="1" applyFill="1" applyBorder="1" applyAlignment="1">
      <alignment horizontal="center" vertical="center"/>
    </xf>
    <xf numFmtId="0" fontId="15" fillId="2" borderId="15" xfId="0" applyFont="1" applyFill="1" applyBorder="1" applyAlignment="1">
      <alignment horizontal="left" vertical="top"/>
    </xf>
    <xf numFmtId="0" fontId="15" fillId="2" borderId="9" xfId="0" applyFont="1" applyFill="1" applyBorder="1" applyAlignment="1">
      <alignment horizontal="center" vertical="center"/>
    </xf>
    <xf numFmtId="0" fontId="15" fillId="2" borderId="9" xfId="0" applyFont="1" applyFill="1" applyBorder="1" applyAlignment="1">
      <alignment horizontal="left" vertical="center" wrapText="1"/>
    </xf>
    <xf numFmtId="167" fontId="15" fillId="2" borderId="9" xfId="1" applyNumberFormat="1" applyFont="1" applyFill="1" applyBorder="1" applyAlignment="1">
      <alignment horizontal="center" vertical="center"/>
    </xf>
    <xf numFmtId="165" fontId="15" fillId="2" borderId="9" xfId="1" applyNumberFormat="1"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left" vertical="center" wrapText="1"/>
    </xf>
    <xf numFmtId="167" fontId="7" fillId="2" borderId="9" xfId="1" applyNumberFormat="1" applyFont="1" applyFill="1" applyBorder="1" applyAlignment="1">
      <alignment horizontal="center" vertical="center"/>
    </xf>
    <xf numFmtId="165" fontId="7" fillId="2" borderId="9" xfId="1" applyNumberFormat="1" applyFont="1" applyFill="1" applyBorder="1" applyAlignment="1">
      <alignment horizontal="center" vertical="center"/>
    </xf>
    <xf numFmtId="43" fontId="15" fillId="2" borderId="9" xfId="1" applyNumberFormat="1" applyFont="1" applyFill="1" applyBorder="1" applyAlignment="1">
      <alignment horizontal="center" vertical="center"/>
    </xf>
    <xf numFmtId="0" fontId="24" fillId="2" borderId="3" xfId="0" applyFont="1" applyFill="1" applyBorder="1" applyAlignment="1">
      <alignment horizontal="center" vertical="center" wrapText="1"/>
    </xf>
    <xf numFmtId="0" fontId="33" fillId="2" borderId="3"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2" fillId="2" borderId="3" xfId="4" applyFont="1" applyFill="1" applyBorder="1" applyAlignment="1">
      <alignment horizontal="center" vertical="center" wrapText="1"/>
    </xf>
    <xf numFmtId="0" fontId="32" fillId="2" borderId="3" xfId="0" quotePrefix="1" applyFont="1" applyFill="1" applyBorder="1" applyAlignment="1">
      <alignment horizontal="center" vertical="center" wrapText="1"/>
    </xf>
    <xf numFmtId="167" fontId="4" fillId="2" borderId="3" xfId="1" applyNumberFormat="1" applyFont="1" applyFill="1" applyBorder="1" applyAlignment="1">
      <alignment horizontal="left" vertical="center" wrapText="1"/>
    </xf>
    <xf numFmtId="168" fontId="4" fillId="2" borderId="3" xfId="1" applyNumberFormat="1" applyFont="1" applyFill="1" applyBorder="1" applyAlignment="1">
      <alignment horizontal="left" vertical="center" wrapText="1"/>
    </xf>
    <xf numFmtId="165" fontId="27" fillId="2" borderId="3" xfId="1" applyNumberFormat="1" applyFont="1" applyFill="1" applyBorder="1" applyAlignment="1">
      <alignment horizontal="right" vertical="center" wrapText="1"/>
    </xf>
    <xf numFmtId="167" fontId="27" fillId="2" borderId="3" xfId="1" applyNumberFormat="1" applyFont="1" applyFill="1" applyBorder="1" applyAlignment="1">
      <alignment horizontal="right" vertical="center" wrapText="1"/>
    </xf>
    <xf numFmtId="165" fontId="4" fillId="2" borderId="3" xfId="1" applyNumberFormat="1" applyFont="1" applyFill="1" applyBorder="1" applyAlignment="1">
      <alignment horizontal="right" vertical="center"/>
    </xf>
    <xf numFmtId="3" fontId="4" fillId="2" borderId="3" xfId="7" applyNumberFormat="1" applyFont="1" applyFill="1" applyBorder="1" applyAlignment="1">
      <alignment horizontal="right" vertical="center" wrapText="1"/>
    </xf>
    <xf numFmtId="3" fontId="4" fillId="2" borderId="3" xfId="6" applyNumberFormat="1" applyFont="1" applyFill="1" applyBorder="1" applyAlignment="1">
      <alignment horizontal="right" vertical="center" wrapText="1"/>
    </xf>
    <xf numFmtId="165" fontId="4" fillId="2" borderId="3" xfId="1" applyNumberFormat="1" applyFont="1" applyFill="1" applyBorder="1" applyAlignment="1">
      <alignment horizontal="center" vertical="center" wrapText="1"/>
    </xf>
    <xf numFmtId="43" fontId="5" fillId="2" borderId="3" xfId="1" applyFont="1" applyFill="1" applyBorder="1" applyAlignment="1">
      <alignment horizontal="left" vertical="center" wrapText="1"/>
    </xf>
    <xf numFmtId="167" fontId="37" fillId="2" borderId="3" xfId="1" applyNumberFormat="1" applyFont="1" applyFill="1" applyBorder="1" applyAlignment="1">
      <alignment horizontal="right" vertical="center" wrapText="1"/>
    </xf>
    <xf numFmtId="165" fontId="37" fillId="2" borderId="3" xfId="1" applyNumberFormat="1" applyFont="1" applyFill="1" applyBorder="1" applyAlignment="1">
      <alignment horizontal="right" vertical="center" wrapText="1"/>
    </xf>
    <xf numFmtId="0" fontId="33" fillId="2" borderId="3" xfId="4" applyFont="1" applyFill="1" applyBorder="1" applyAlignment="1">
      <alignment horizontal="center" vertical="center" wrapText="1"/>
    </xf>
    <xf numFmtId="3" fontId="33" fillId="2" borderId="3" xfId="0" quotePrefix="1" applyNumberFormat="1" applyFont="1" applyFill="1" applyBorder="1" applyAlignment="1">
      <alignment horizontal="center" vertical="center" wrapText="1"/>
    </xf>
    <xf numFmtId="1" fontId="6" fillId="2" borderId="3" xfId="11" applyNumberFormat="1" applyFont="1" applyFill="1" applyBorder="1" applyAlignment="1">
      <alignment vertical="center" wrapText="1"/>
    </xf>
    <xf numFmtId="1" fontId="33" fillId="2" borderId="3" xfId="11" applyNumberFormat="1" applyFont="1" applyFill="1" applyBorder="1" applyAlignment="1">
      <alignment horizontal="center" vertical="center" wrapText="1"/>
    </xf>
    <xf numFmtId="165" fontId="6" fillId="2" borderId="3" xfId="1" applyNumberFormat="1" applyFont="1" applyFill="1" applyBorder="1" applyAlignment="1">
      <alignment horizontal="right" vertical="center" wrapText="1"/>
    </xf>
    <xf numFmtId="0" fontId="34" fillId="2" borderId="3" xfId="4" applyFont="1" applyFill="1" applyBorder="1" applyAlignment="1">
      <alignment horizontal="center" vertical="center" wrapText="1"/>
    </xf>
    <xf numFmtId="165" fontId="4" fillId="2" borderId="3" xfId="3" applyNumberFormat="1" applyFont="1" applyFill="1" applyBorder="1" applyAlignment="1">
      <alignment horizontal="left" vertical="center" wrapText="1"/>
    </xf>
    <xf numFmtId="167" fontId="26" fillId="2" borderId="3" xfId="1" applyNumberFormat="1" applyFont="1" applyFill="1" applyBorder="1" applyAlignment="1">
      <alignment horizontal="right" vertical="center" wrapText="1"/>
    </xf>
    <xf numFmtId="167" fontId="38" fillId="2" borderId="3" xfId="1" applyNumberFormat="1" applyFont="1" applyFill="1" applyBorder="1" applyAlignment="1">
      <alignment horizontal="left" vertical="center" wrapText="1"/>
    </xf>
    <xf numFmtId="165" fontId="24" fillId="2" borderId="0" xfId="0" applyNumberFormat="1" applyFont="1" applyFill="1" applyBorder="1" applyAlignment="1">
      <alignment horizontal="center" vertical="center" wrapText="1"/>
    </xf>
    <xf numFmtId="165" fontId="28" fillId="2" borderId="0" xfId="0" applyNumberFormat="1" applyFont="1" applyFill="1" applyBorder="1" applyAlignment="1">
      <alignment horizontal="center" vertical="center" wrapText="1"/>
    </xf>
    <xf numFmtId="0" fontId="25" fillId="2"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4" fillId="2" borderId="21" xfId="0" applyFont="1" applyFill="1" applyBorder="1" applyAlignment="1">
      <alignment horizontal="center" vertical="center" wrapText="1"/>
    </xf>
    <xf numFmtId="165" fontId="24" fillId="2" borderId="21" xfId="5" applyNumberFormat="1" applyFont="1" applyFill="1" applyBorder="1" applyAlignment="1">
      <alignment horizontal="center" vertical="center"/>
    </xf>
    <xf numFmtId="165" fontId="24" fillId="2" borderId="3"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32" fillId="2" borderId="4" xfId="4" applyFont="1" applyFill="1" applyBorder="1" applyAlignment="1">
      <alignment horizontal="center" vertical="center" wrapText="1"/>
    </xf>
    <xf numFmtId="0" fontId="32" fillId="2" borderId="4" xfId="0" applyFont="1" applyFill="1" applyBorder="1" applyAlignment="1">
      <alignment horizontal="center" vertical="center" wrapText="1"/>
    </xf>
    <xf numFmtId="165" fontId="4" fillId="2" borderId="4" xfId="1" applyNumberFormat="1" applyFont="1" applyFill="1" applyBorder="1" applyAlignment="1">
      <alignment horizontal="left" vertical="center" wrapText="1"/>
    </xf>
    <xf numFmtId="167" fontId="4" fillId="2" borderId="4" xfId="1" applyNumberFormat="1" applyFont="1" applyFill="1" applyBorder="1" applyAlignment="1">
      <alignment horizontal="left" vertical="center" wrapText="1"/>
    </xf>
    <xf numFmtId="3" fontId="4" fillId="2" borderId="4" xfId="7" applyNumberFormat="1" applyFont="1" applyFill="1" applyBorder="1" applyAlignment="1">
      <alignment horizontal="right" vertical="center" wrapText="1"/>
    </xf>
    <xf numFmtId="165" fontId="4" fillId="2" borderId="4" xfId="1" applyNumberFormat="1" applyFont="1" applyFill="1" applyBorder="1" applyAlignment="1">
      <alignment horizontal="right" vertical="center" wrapText="1"/>
    </xf>
    <xf numFmtId="167" fontId="4" fillId="2" borderId="4" xfId="1" applyNumberFormat="1" applyFont="1" applyFill="1" applyBorder="1" applyAlignment="1">
      <alignment horizontal="right" vertical="center" wrapText="1"/>
    </xf>
    <xf numFmtId="0" fontId="24" fillId="2" borderId="4" xfId="0" applyFont="1" applyFill="1" applyBorder="1" applyAlignment="1">
      <alignment horizontal="left" vertical="center" wrapText="1"/>
    </xf>
    <xf numFmtId="3" fontId="6" fillId="2" borderId="31"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wrapText="1"/>
    </xf>
    <xf numFmtId="3" fontId="6" fillId="0" borderId="29" xfId="0" applyNumberFormat="1" applyFont="1" applyFill="1" applyBorder="1" applyAlignment="1">
      <alignment horizontal="center" vertical="center" wrapText="1"/>
    </xf>
    <xf numFmtId="0" fontId="28" fillId="2" borderId="3"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2" fillId="2" borderId="3" xfId="4" quotePrefix="1"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0" fontId="33" fillId="2" borderId="4" xfId="0" applyFont="1" applyFill="1" applyBorder="1" applyAlignment="1">
      <alignment horizontal="left" vertical="center" wrapText="1"/>
    </xf>
    <xf numFmtId="165" fontId="6" fillId="2" borderId="2" xfId="1" applyNumberFormat="1" applyFont="1" applyFill="1" applyBorder="1" applyAlignment="1">
      <alignment horizontal="right" vertical="center" wrapText="1"/>
    </xf>
    <xf numFmtId="165" fontId="25" fillId="2" borderId="2" xfId="0" applyNumberFormat="1" applyFont="1" applyFill="1" applyBorder="1" applyAlignment="1">
      <alignment horizontal="center" vertical="center" wrapText="1"/>
    </xf>
  </cellXfs>
  <cellStyles count="19">
    <cellStyle name="?_x005f_x001d_??%U©÷u&amp;H©÷9_x005f_x0008_? s_x005f_x000a__x005f_x0007__x005f_x0001__x005f_x0001_?_x005f_x0002_??????" xfId="4"/>
    <cellStyle name="Comma" xfId="1" builtinId="3"/>
    <cellStyle name="Comma 10" xfId="7"/>
    <cellStyle name="Comma 10 2" xfId="3"/>
    <cellStyle name="Comma 105" xfId="13"/>
    <cellStyle name="Comma 117" xfId="14"/>
    <cellStyle name="Comma 13" xfId="10"/>
    <cellStyle name="Comma 2_bao cao cua UBND tinh quy II - 2011" xfId="18"/>
    <cellStyle name="Comma 21" xfId="5"/>
    <cellStyle name="Normal" xfId="0" builtinId="0"/>
    <cellStyle name="Normal 10" xfId="6"/>
    <cellStyle name="Normal 10 2 2" xfId="17"/>
    <cellStyle name="Normal 4" xfId="15"/>
    <cellStyle name="Normal 66" xfId="9"/>
    <cellStyle name="Normal 81" xfId="16"/>
    <cellStyle name="Normal_Bieu mau (CV )" xfId="2"/>
    <cellStyle name="Normal_Bieu mau (CV ) 2" xfId="8"/>
    <cellStyle name="Normal_Bieu mau (CV ) 3" xfId="11"/>
    <cellStyle name="Normal_Sheet1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95249</xdr:colOff>
      <xdr:row>3</xdr:row>
      <xdr:rowOff>19050</xdr:rowOff>
    </xdr:from>
    <xdr:to>
      <xdr:col>5</xdr:col>
      <xdr:colOff>87629</xdr:colOff>
      <xdr:row>3</xdr:row>
      <xdr:rowOff>19050</xdr:rowOff>
    </xdr:to>
    <xdr:sp macro="" textlink="">
      <xdr:nvSpPr>
        <xdr:cNvPr id="4097" name="Line 1"/>
        <xdr:cNvSpPr>
          <a:spLocks noChangeShapeType="1"/>
        </xdr:cNvSpPr>
      </xdr:nvSpPr>
      <xdr:spPr bwMode="auto">
        <a:xfrm>
          <a:off x="3428999" y="666750"/>
          <a:ext cx="24688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246534</xdr:colOff>
      <xdr:row>3</xdr:row>
      <xdr:rowOff>33619</xdr:rowOff>
    </xdr:from>
    <xdr:to>
      <xdr:col>10</xdr:col>
      <xdr:colOff>57827</xdr:colOff>
      <xdr:row>3</xdr:row>
      <xdr:rowOff>33619</xdr:rowOff>
    </xdr:to>
    <xdr:sp macro="" textlink="">
      <xdr:nvSpPr>
        <xdr:cNvPr id="2" name="Line 1"/>
        <xdr:cNvSpPr>
          <a:spLocks noChangeShapeType="1"/>
        </xdr:cNvSpPr>
      </xdr:nvSpPr>
      <xdr:spPr bwMode="auto">
        <a:xfrm>
          <a:off x="4930593" y="683560"/>
          <a:ext cx="23774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190500</xdr:colOff>
      <xdr:row>3</xdr:row>
      <xdr:rowOff>44824</xdr:rowOff>
    </xdr:from>
    <xdr:to>
      <xdr:col>10</xdr:col>
      <xdr:colOff>44824</xdr:colOff>
      <xdr:row>3</xdr:row>
      <xdr:rowOff>44824</xdr:rowOff>
    </xdr:to>
    <xdr:sp macro="" textlink="">
      <xdr:nvSpPr>
        <xdr:cNvPr id="2" name="Line 1"/>
        <xdr:cNvSpPr>
          <a:spLocks noChangeShapeType="1"/>
        </xdr:cNvSpPr>
      </xdr:nvSpPr>
      <xdr:spPr bwMode="auto">
        <a:xfrm>
          <a:off x="4796118" y="694765"/>
          <a:ext cx="228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302559</xdr:colOff>
      <xdr:row>3</xdr:row>
      <xdr:rowOff>33618</xdr:rowOff>
    </xdr:from>
    <xdr:to>
      <xdr:col>7</xdr:col>
      <xdr:colOff>616324</xdr:colOff>
      <xdr:row>3</xdr:row>
      <xdr:rowOff>33618</xdr:rowOff>
    </xdr:to>
    <xdr:sp macro="" textlink="">
      <xdr:nvSpPr>
        <xdr:cNvPr id="2" name="Line 1"/>
        <xdr:cNvSpPr>
          <a:spLocks noChangeShapeType="1"/>
        </xdr:cNvSpPr>
      </xdr:nvSpPr>
      <xdr:spPr bwMode="auto">
        <a:xfrm>
          <a:off x="4303059" y="683559"/>
          <a:ext cx="228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63"/>
  <sheetViews>
    <sheetView topLeftCell="A7" workbookViewId="0">
      <selection activeCell="F10" sqref="F10"/>
    </sheetView>
  </sheetViews>
  <sheetFormatPr defaultColWidth="9.33203125" defaultRowHeight="12.75" x14ac:dyDescent="0.2"/>
  <cols>
    <col min="1" max="1" width="4.83203125" style="6" customWidth="1"/>
    <col min="2" max="2" width="47.1640625" style="6" customWidth="1"/>
    <col min="3" max="3" width="11.1640625" style="6" customWidth="1"/>
    <col min="4" max="4" width="9.83203125" style="6" customWidth="1"/>
    <col min="5" max="5" width="10.83203125" style="6" customWidth="1"/>
    <col min="6" max="6" width="9.33203125" style="7" customWidth="1"/>
    <col min="7" max="7" width="8.5" style="7" customWidth="1"/>
    <col min="8" max="8" width="8.83203125" style="7" customWidth="1"/>
    <col min="9" max="17" width="8.5" style="7" customWidth="1"/>
    <col min="18" max="18" width="10.1640625" style="7" customWidth="1"/>
    <col min="19" max="19" width="5.83203125" style="6" customWidth="1"/>
    <col min="20" max="20" width="3.1640625" style="6" customWidth="1"/>
    <col min="21" max="21" width="11.6640625" style="6" bestFit="1" customWidth="1"/>
    <col min="22" max="16384" width="9.33203125" style="6"/>
  </cols>
  <sheetData>
    <row r="1" spans="1:20" s="72" customFormat="1" ht="14.25" customHeight="1" x14ac:dyDescent="0.2">
      <c r="A1" s="217"/>
      <c r="B1" s="217"/>
      <c r="C1" s="217"/>
      <c r="D1" s="217"/>
      <c r="E1" s="217"/>
      <c r="F1" s="217"/>
      <c r="G1" s="217"/>
      <c r="H1" s="217"/>
      <c r="I1" s="217"/>
      <c r="J1" s="217"/>
      <c r="K1" s="217"/>
      <c r="L1" s="217"/>
      <c r="M1" s="217"/>
      <c r="N1" s="217"/>
      <c r="O1" s="217"/>
      <c r="P1" s="217"/>
      <c r="Q1" s="217"/>
      <c r="R1" s="217"/>
      <c r="S1" s="217"/>
      <c r="T1" s="217"/>
    </row>
    <row r="2" spans="1:20" s="72" customFormat="1" ht="18.600000000000001" customHeight="1" x14ac:dyDescent="0.2">
      <c r="A2" s="218" t="s">
        <v>83</v>
      </c>
      <c r="B2" s="218"/>
      <c r="C2" s="218"/>
      <c r="D2" s="218"/>
      <c r="E2" s="218"/>
      <c r="F2" s="218"/>
      <c r="G2" s="218"/>
      <c r="H2" s="218"/>
      <c r="I2" s="218"/>
      <c r="J2" s="218"/>
      <c r="K2" s="218"/>
      <c r="L2" s="218"/>
      <c r="M2" s="218"/>
      <c r="N2" s="218"/>
      <c r="O2" s="218"/>
      <c r="P2" s="218"/>
      <c r="Q2" s="218"/>
      <c r="R2" s="218"/>
      <c r="S2" s="218"/>
    </row>
    <row r="3" spans="1:20" s="72" customFormat="1" ht="24" customHeight="1" x14ac:dyDescent="0.2">
      <c r="A3" s="219" t="s">
        <v>82</v>
      </c>
      <c r="B3" s="219"/>
      <c r="C3" s="219"/>
      <c r="D3" s="219"/>
      <c r="E3" s="219"/>
      <c r="F3" s="219"/>
      <c r="G3" s="219"/>
      <c r="H3" s="219"/>
      <c r="I3" s="219"/>
      <c r="J3" s="219"/>
      <c r="K3" s="219"/>
      <c r="L3" s="219"/>
      <c r="M3" s="219"/>
      <c r="N3" s="219"/>
      <c r="O3" s="219"/>
      <c r="P3" s="219"/>
      <c r="Q3" s="219"/>
      <c r="R3" s="219"/>
      <c r="S3" s="219"/>
    </row>
    <row r="4" spans="1:20" s="72" customFormat="1" ht="21.95" customHeight="1" x14ac:dyDescent="0.2">
      <c r="A4" s="220" t="s">
        <v>104</v>
      </c>
      <c r="B4" s="220"/>
      <c r="C4" s="220"/>
      <c r="D4" s="220"/>
      <c r="E4" s="220"/>
      <c r="F4" s="220"/>
      <c r="G4" s="220"/>
      <c r="H4" s="220"/>
      <c r="I4" s="220"/>
      <c r="J4" s="220"/>
      <c r="K4" s="220"/>
      <c r="L4" s="220"/>
      <c r="M4" s="220"/>
      <c r="N4" s="220"/>
      <c r="O4" s="220"/>
      <c r="P4" s="220"/>
      <c r="Q4" s="220"/>
      <c r="R4" s="220"/>
      <c r="S4" s="220"/>
    </row>
    <row r="5" spans="1:20" ht="22.9" customHeight="1" x14ac:dyDescent="0.2">
      <c r="A5" s="221" t="s">
        <v>84</v>
      </c>
      <c r="B5" s="221" t="s">
        <v>85</v>
      </c>
      <c r="C5" s="221" t="s">
        <v>86</v>
      </c>
      <c r="D5" s="221"/>
      <c r="E5" s="221" t="s">
        <v>87</v>
      </c>
      <c r="F5" s="222" t="s">
        <v>105</v>
      </c>
      <c r="G5" s="222"/>
      <c r="H5" s="222"/>
      <c r="I5" s="222"/>
      <c r="J5" s="222"/>
      <c r="K5" s="222"/>
      <c r="L5" s="222"/>
      <c r="M5" s="222"/>
      <c r="N5" s="222"/>
      <c r="O5" s="222"/>
      <c r="P5" s="222"/>
      <c r="Q5" s="222"/>
      <c r="R5" s="222"/>
      <c r="S5" s="221" t="s">
        <v>88</v>
      </c>
    </row>
    <row r="6" spans="1:20" ht="51" x14ac:dyDescent="0.2">
      <c r="A6" s="221"/>
      <c r="B6" s="221"/>
      <c r="C6" s="10" t="s">
        <v>89</v>
      </c>
      <c r="D6" s="10" t="s">
        <v>90</v>
      </c>
      <c r="E6" s="221"/>
      <c r="F6" s="11" t="s">
        <v>91</v>
      </c>
      <c r="G6" s="11" t="s">
        <v>92</v>
      </c>
      <c r="H6" s="11" t="s">
        <v>93</v>
      </c>
      <c r="I6" s="11" t="s">
        <v>94</v>
      </c>
      <c r="J6" s="11" t="s">
        <v>95</v>
      </c>
      <c r="K6" s="11" t="s">
        <v>96</v>
      </c>
      <c r="L6" s="11" t="s">
        <v>97</v>
      </c>
      <c r="M6" s="11" t="s">
        <v>98</v>
      </c>
      <c r="N6" s="11" t="s">
        <v>99</v>
      </c>
      <c r="O6" s="11" t="s">
        <v>100</v>
      </c>
      <c r="P6" s="11" t="s">
        <v>101</v>
      </c>
      <c r="Q6" s="11" t="s">
        <v>102</v>
      </c>
      <c r="R6" s="11" t="s">
        <v>103</v>
      </c>
      <c r="S6" s="221"/>
    </row>
    <row r="7" spans="1:20" ht="19.5" customHeight="1" x14ac:dyDescent="0.2">
      <c r="A7" s="12"/>
      <c r="B7" s="13" t="s">
        <v>23</v>
      </c>
      <c r="C7" s="12"/>
      <c r="D7" s="55">
        <f>D8+D26</f>
        <v>679937.16800000006</v>
      </c>
      <c r="E7" s="55">
        <f t="shared" ref="E7:R7" si="0">E8+E26</f>
        <v>253682.5</v>
      </c>
      <c r="F7" s="56">
        <f t="shared" si="0"/>
        <v>59554.968000000001</v>
      </c>
      <c r="G7" s="56">
        <f t="shared" si="0"/>
        <v>0</v>
      </c>
      <c r="H7" s="56">
        <f t="shared" si="0"/>
        <v>47682.531999999999</v>
      </c>
      <c r="I7" s="56">
        <f t="shared" si="0"/>
        <v>0</v>
      </c>
      <c r="J7" s="56">
        <f t="shared" si="0"/>
        <v>10000</v>
      </c>
      <c r="K7" s="56">
        <f t="shared" si="0"/>
        <v>0</v>
      </c>
      <c r="L7" s="56">
        <f t="shared" si="0"/>
        <v>10850</v>
      </c>
      <c r="M7" s="56">
        <f t="shared" si="0"/>
        <v>20000</v>
      </c>
      <c r="N7" s="56">
        <f t="shared" si="0"/>
        <v>11550</v>
      </c>
      <c r="O7" s="56">
        <f t="shared" si="0"/>
        <v>860</v>
      </c>
      <c r="P7" s="56">
        <f t="shared" si="0"/>
        <v>6500</v>
      </c>
      <c r="Q7" s="56">
        <f t="shared" si="0"/>
        <v>71685</v>
      </c>
      <c r="R7" s="56">
        <f t="shared" si="0"/>
        <v>238682.5</v>
      </c>
      <c r="S7" s="55"/>
    </row>
    <row r="8" spans="1:20" ht="19.5" customHeight="1" x14ac:dyDescent="0.2">
      <c r="A8" s="14" t="s">
        <v>24</v>
      </c>
      <c r="B8" s="15" t="s">
        <v>0</v>
      </c>
      <c r="C8" s="67"/>
      <c r="D8" s="16">
        <f>D9+D16</f>
        <v>497000</v>
      </c>
      <c r="E8" s="16">
        <f t="shared" ref="E8:R8" si="1">E9+E16</f>
        <v>212617.5</v>
      </c>
      <c r="F8" s="16">
        <f t="shared" si="1"/>
        <v>44187.161</v>
      </c>
      <c r="G8" s="16">
        <f t="shared" si="1"/>
        <v>0</v>
      </c>
      <c r="H8" s="16">
        <f t="shared" si="1"/>
        <v>41745.339</v>
      </c>
      <c r="I8" s="16">
        <f t="shared" si="1"/>
        <v>0</v>
      </c>
      <c r="J8" s="16">
        <f t="shared" si="1"/>
        <v>10000</v>
      </c>
      <c r="K8" s="16">
        <f t="shared" si="1"/>
        <v>0</v>
      </c>
      <c r="L8" s="16">
        <f t="shared" si="1"/>
        <v>10000</v>
      </c>
      <c r="M8" s="16">
        <f t="shared" si="1"/>
        <v>20000</v>
      </c>
      <c r="N8" s="16">
        <f t="shared" si="1"/>
        <v>10000</v>
      </c>
      <c r="O8" s="16">
        <f t="shared" si="1"/>
        <v>0</v>
      </c>
      <c r="P8" s="16">
        <f t="shared" si="1"/>
        <v>5000</v>
      </c>
      <c r="Q8" s="16">
        <f t="shared" si="1"/>
        <v>71685</v>
      </c>
      <c r="R8" s="16">
        <f t="shared" si="1"/>
        <v>212617.5</v>
      </c>
      <c r="S8" s="57"/>
    </row>
    <row r="9" spans="1:20" ht="19.5" customHeight="1" x14ac:dyDescent="0.2">
      <c r="A9" s="17" t="s">
        <v>15</v>
      </c>
      <c r="B9" s="18" t="s">
        <v>1</v>
      </c>
      <c r="C9" s="68"/>
      <c r="D9" s="58">
        <f>D10+D11+D12</f>
        <v>434000</v>
      </c>
      <c r="E9" s="58">
        <f t="shared" ref="E9:R9" si="2">E10+E11+E12</f>
        <v>206685</v>
      </c>
      <c r="F9" s="58">
        <f t="shared" si="2"/>
        <v>40000</v>
      </c>
      <c r="G9" s="58">
        <f t="shared" si="2"/>
        <v>0</v>
      </c>
      <c r="H9" s="58">
        <f t="shared" si="2"/>
        <v>40000</v>
      </c>
      <c r="I9" s="58">
        <f t="shared" si="2"/>
        <v>0</v>
      </c>
      <c r="J9" s="58">
        <f t="shared" si="2"/>
        <v>10000</v>
      </c>
      <c r="K9" s="58">
        <f t="shared" si="2"/>
        <v>0</v>
      </c>
      <c r="L9" s="58">
        <f t="shared" si="2"/>
        <v>10000</v>
      </c>
      <c r="M9" s="58">
        <f t="shared" si="2"/>
        <v>20000</v>
      </c>
      <c r="N9" s="58">
        <f t="shared" si="2"/>
        <v>10000</v>
      </c>
      <c r="O9" s="58">
        <f t="shared" si="2"/>
        <v>0</v>
      </c>
      <c r="P9" s="58">
        <f t="shared" si="2"/>
        <v>5000</v>
      </c>
      <c r="Q9" s="58">
        <f t="shared" si="2"/>
        <v>71685</v>
      </c>
      <c r="R9" s="58">
        <f t="shared" si="2"/>
        <v>206685</v>
      </c>
      <c r="S9" s="59"/>
    </row>
    <row r="10" spans="1:20" ht="27" x14ac:dyDescent="0.2">
      <c r="A10" s="19" t="s">
        <v>28</v>
      </c>
      <c r="B10" s="20" t="s">
        <v>29</v>
      </c>
      <c r="C10" s="69"/>
      <c r="D10" s="25"/>
      <c r="E10" s="25"/>
      <c r="F10" s="51"/>
      <c r="G10" s="51"/>
      <c r="H10" s="51"/>
      <c r="I10" s="51"/>
      <c r="J10" s="51"/>
      <c r="K10" s="51"/>
      <c r="L10" s="51"/>
      <c r="M10" s="51"/>
      <c r="N10" s="51"/>
      <c r="O10" s="51"/>
      <c r="P10" s="51"/>
      <c r="Q10" s="51"/>
      <c r="R10" s="51"/>
      <c r="S10" s="25"/>
    </row>
    <row r="11" spans="1:20" ht="22.15" customHeight="1" x14ac:dyDescent="0.2">
      <c r="A11" s="19" t="s">
        <v>30</v>
      </c>
      <c r="B11" s="20" t="s">
        <v>31</v>
      </c>
      <c r="C11" s="69"/>
      <c r="D11" s="25"/>
      <c r="E11" s="25"/>
      <c r="F11" s="51"/>
      <c r="G11" s="51"/>
      <c r="H11" s="51"/>
      <c r="I11" s="51"/>
      <c r="J11" s="51"/>
      <c r="K11" s="51"/>
      <c r="L11" s="51"/>
      <c r="M11" s="51"/>
      <c r="N11" s="51"/>
      <c r="O11" s="51"/>
      <c r="P11" s="51"/>
      <c r="Q11" s="51"/>
      <c r="R11" s="51"/>
      <c r="S11" s="25"/>
    </row>
    <row r="12" spans="1:20" ht="22.15" customHeight="1" x14ac:dyDescent="0.2">
      <c r="A12" s="21" t="s">
        <v>32</v>
      </c>
      <c r="B12" s="22" t="s">
        <v>33</v>
      </c>
      <c r="C12" s="69"/>
      <c r="D12" s="8">
        <f>SUM(D13:D15)</f>
        <v>434000</v>
      </c>
      <c r="E12" s="8">
        <f>SUM(E13:E15)</f>
        <v>206685</v>
      </c>
      <c r="F12" s="8">
        <f>SUM(F13:F15)</f>
        <v>40000</v>
      </c>
      <c r="G12" s="8">
        <f t="shared" ref="G12:O12" si="3">SUM(G13:G15)</f>
        <v>0</v>
      </c>
      <c r="H12" s="8">
        <f t="shared" si="3"/>
        <v>40000</v>
      </c>
      <c r="I12" s="8">
        <f t="shared" si="3"/>
        <v>0</v>
      </c>
      <c r="J12" s="8">
        <f>SUM(J13:J15)</f>
        <v>10000</v>
      </c>
      <c r="K12" s="8">
        <f t="shared" si="3"/>
        <v>0</v>
      </c>
      <c r="L12" s="8">
        <f>SUM(L13:L15)</f>
        <v>10000</v>
      </c>
      <c r="M12" s="8">
        <f>SUM(M13:M15)</f>
        <v>20000</v>
      </c>
      <c r="N12" s="8">
        <f>SUM(N13:N15)</f>
        <v>10000</v>
      </c>
      <c r="O12" s="8">
        <f t="shared" si="3"/>
        <v>0</v>
      </c>
      <c r="P12" s="8">
        <f>SUM(P13:P15)</f>
        <v>5000</v>
      </c>
      <c r="Q12" s="8">
        <f>SUM(Q13:Q15)</f>
        <v>71685</v>
      </c>
      <c r="R12" s="8">
        <f>SUM(R13:R15)</f>
        <v>206685</v>
      </c>
      <c r="S12" s="25"/>
    </row>
    <row r="13" spans="1:20" ht="51" x14ac:dyDescent="0.2">
      <c r="A13" s="23">
        <v>1</v>
      </c>
      <c r="B13" s="24" t="s">
        <v>2</v>
      </c>
      <c r="C13" s="70" t="s">
        <v>3</v>
      </c>
      <c r="D13" s="25">
        <v>164000</v>
      </c>
      <c r="E13" s="25">
        <v>89000</v>
      </c>
      <c r="F13" s="51">
        <v>40000</v>
      </c>
      <c r="G13" s="51"/>
      <c r="H13" s="51"/>
      <c r="I13" s="51"/>
      <c r="J13" s="51">
        <v>10000</v>
      </c>
      <c r="K13" s="51"/>
      <c r="L13" s="51"/>
      <c r="M13" s="51"/>
      <c r="N13" s="51">
        <v>10000</v>
      </c>
      <c r="O13" s="51"/>
      <c r="P13" s="51"/>
      <c r="Q13" s="51">
        <v>29000</v>
      </c>
      <c r="R13" s="51">
        <f>SUM(F13:Q13)</f>
        <v>89000</v>
      </c>
      <c r="S13" s="25"/>
    </row>
    <row r="14" spans="1:20" ht="22.5" x14ac:dyDescent="0.2">
      <c r="A14" s="23">
        <v>2</v>
      </c>
      <c r="B14" s="24" t="s">
        <v>4</v>
      </c>
      <c r="C14" s="70" t="s">
        <v>5</v>
      </c>
      <c r="D14" s="25">
        <v>80000</v>
      </c>
      <c r="E14" s="25">
        <v>42000</v>
      </c>
      <c r="F14" s="51"/>
      <c r="G14" s="51"/>
      <c r="H14" s="51">
        <v>10000</v>
      </c>
      <c r="I14" s="51"/>
      <c r="J14" s="51"/>
      <c r="K14" s="51"/>
      <c r="L14" s="51">
        <v>10000</v>
      </c>
      <c r="M14" s="51"/>
      <c r="N14" s="51"/>
      <c r="O14" s="51"/>
      <c r="P14" s="51">
        <v>5000</v>
      </c>
      <c r="Q14" s="51">
        <v>17000</v>
      </c>
      <c r="R14" s="51">
        <f t="shared" ref="R14:R15" si="4">SUM(F14:Q14)</f>
        <v>42000</v>
      </c>
      <c r="S14" s="25"/>
    </row>
    <row r="15" spans="1:20" ht="20.25" customHeight="1" x14ac:dyDescent="0.2">
      <c r="A15" s="23">
        <v>3</v>
      </c>
      <c r="B15" s="24" t="s">
        <v>6</v>
      </c>
      <c r="C15" s="70" t="s">
        <v>7</v>
      </c>
      <c r="D15" s="26">
        <v>190000</v>
      </c>
      <c r="E15" s="27">
        <v>75685</v>
      </c>
      <c r="F15" s="51"/>
      <c r="G15" s="51"/>
      <c r="H15" s="51">
        <v>30000</v>
      </c>
      <c r="I15" s="51"/>
      <c r="J15" s="51"/>
      <c r="K15" s="51"/>
      <c r="L15" s="51"/>
      <c r="M15" s="51">
        <v>20000</v>
      </c>
      <c r="N15" s="51"/>
      <c r="O15" s="51"/>
      <c r="P15" s="51"/>
      <c r="Q15" s="51">
        <v>25685</v>
      </c>
      <c r="R15" s="51">
        <f t="shared" si="4"/>
        <v>75685</v>
      </c>
      <c r="S15" s="25"/>
    </row>
    <row r="16" spans="1:20" ht="16.899999999999999" customHeight="1" x14ac:dyDescent="0.2">
      <c r="A16" s="17" t="s">
        <v>25</v>
      </c>
      <c r="B16" s="18" t="s">
        <v>8</v>
      </c>
      <c r="C16" s="68"/>
      <c r="D16" s="58">
        <f>D17+D20+D22+D23+D24</f>
        <v>63000</v>
      </c>
      <c r="E16" s="58">
        <f>E17+E20+E22+E23+E24</f>
        <v>5932.5</v>
      </c>
      <c r="F16" s="58">
        <f t="shared" ref="F16:R16" si="5">F17+F20+F22+F23+F24</f>
        <v>4187.1610000000001</v>
      </c>
      <c r="G16" s="58">
        <f t="shared" si="5"/>
        <v>0</v>
      </c>
      <c r="H16" s="60">
        <f t="shared" si="5"/>
        <v>1745.3389999999999</v>
      </c>
      <c r="I16" s="58">
        <f t="shared" si="5"/>
        <v>0</v>
      </c>
      <c r="J16" s="58">
        <f t="shared" si="5"/>
        <v>0</v>
      </c>
      <c r="K16" s="58">
        <f t="shared" si="5"/>
        <v>0</v>
      </c>
      <c r="L16" s="58">
        <f t="shared" si="5"/>
        <v>0</v>
      </c>
      <c r="M16" s="58">
        <f t="shared" si="5"/>
        <v>0</v>
      </c>
      <c r="N16" s="58">
        <f t="shared" si="5"/>
        <v>0</v>
      </c>
      <c r="O16" s="58">
        <f t="shared" si="5"/>
        <v>0</v>
      </c>
      <c r="P16" s="58">
        <f t="shared" si="5"/>
        <v>0</v>
      </c>
      <c r="Q16" s="58">
        <f t="shared" si="5"/>
        <v>0</v>
      </c>
      <c r="R16" s="58">
        <f t="shared" si="5"/>
        <v>5932.5</v>
      </c>
      <c r="S16" s="59"/>
    </row>
    <row r="17" spans="1:19" ht="16.899999999999999" customHeight="1" x14ac:dyDescent="0.2">
      <c r="A17" s="19" t="s">
        <v>28</v>
      </c>
      <c r="B17" s="28" t="s">
        <v>34</v>
      </c>
      <c r="C17" s="69"/>
      <c r="D17" s="8">
        <f>SUM(D18:D19)</f>
        <v>40000</v>
      </c>
      <c r="E17" s="8">
        <f>SUM(E18:E19)</f>
        <v>2262.5</v>
      </c>
      <c r="F17" s="8">
        <f>SUM(F18:F19)</f>
        <v>1937.1610000000001</v>
      </c>
      <c r="G17" s="8">
        <f t="shared" ref="G17:R17" si="6">SUM(G18:G19)</f>
        <v>0</v>
      </c>
      <c r="H17" s="35">
        <f>SUM(H18:H19)</f>
        <v>325.33899999999994</v>
      </c>
      <c r="I17" s="8">
        <f t="shared" si="6"/>
        <v>0</v>
      </c>
      <c r="J17" s="8">
        <f t="shared" si="6"/>
        <v>0</v>
      </c>
      <c r="K17" s="8">
        <f t="shared" si="6"/>
        <v>0</v>
      </c>
      <c r="L17" s="8">
        <f t="shared" si="6"/>
        <v>0</v>
      </c>
      <c r="M17" s="8">
        <f t="shared" si="6"/>
        <v>0</v>
      </c>
      <c r="N17" s="8">
        <f t="shared" si="6"/>
        <v>0</v>
      </c>
      <c r="O17" s="8">
        <f t="shared" si="6"/>
        <v>0</v>
      </c>
      <c r="P17" s="8">
        <f t="shared" si="6"/>
        <v>0</v>
      </c>
      <c r="Q17" s="8">
        <f t="shared" si="6"/>
        <v>0</v>
      </c>
      <c r="R17" s="8">
        <f t="shared" si="6"/>
        <v>2262.5</v>
      </c>
      <c r="S17" s="25"/>
    </row>
    <row r="18" spans="1:19" ht="25.5" x14ac:dyDescent="0.2">
      <c r="A18" s="23">
        <v>1</v>
      </c>
      <c r="B18" s="29" t="s">
        <v>9</v>
      </c>
      <c r="C18" s="70" t="s">
        <v>118</v>
      </c>
      <c r="D18" s="25">
        <v>35000</v>
      </c>
      <c r="E18" s="25">
        <v>2206.3389999999999</v>
      </c>
      <c r="F18" s="51">
        <v>1881</v>
      </c>
      <c r="G18" s="51"/>
      <c r="H18" s="61">
        <f>E18-F18</f>
        <v>325.33899999999994</v>
      </c>
      <c r="I18" s="51"/>
      <c r="J18" s="51"/>
      <c r="K18" s="51"/>
      <c r="L18" s="51"/>
      <c r="M18" s="51"/>
      <c r="N18" s="51"/>
      <c r="O18" s="51"/>
      <c r="P18" s="51"/>
      <c r="Q18" s="51"/>
      <c r="R18" s="51">
        <f>SUM(F18:Q18)</f>
        <v>2206.3389999999999</v>
      </c>
      <c r="S18" s="25"/>
    </row>
    <row r="19" spans="1:19" ht="18.600000000000001" customHeight="1" x14ac:dyDescent="0.2">
      <c r="A19" s="23">
        <v>2</v>
      </c>
      <c r="B19" s="29" t="s">
        <v>10</v>
      </c>
      <c r="C19" s="70" t="s">
        <v>117</v>
      </c>
      <c r="D19" s="25">
        <v>5000</v>
      </c>
      <c r="E19" s="25">
        <v>56.161000000000001</v>
      </c>
      <c r="F19" s="51">
        <f>E19</f>
        <v>56.161000000000001</v>
      </c>
      <c r="G19" s="51"/>
      <c r="H19" s="51"/>
      <c r="I19" s="51"/>
      <c r="J19" s="51"/>
      <c r="K19" s="51"/>
      <c r="L19" s="51"/>
      <c r="M19" s="51"/>
      <c r="N19" s="51"/>
      <c r="O19" s="51"/>
      <c r="P19" s="51"/>
      <c r="Q19" s="51"/>
      <c r="R19" s="51">
        <f>SUM(F19:Q19)</f>
        <v>56.161000000000001</v>
      </c>
      <c r="S19" s="25"/>
    </row>
    <row r="20" spans="1:19" ht="27" x14ac:dyDescent="0.2">
      <c r="A20" s="19" t="s">
        <v>30</v>
      </c>
      <c r="B20" s="28" t="s">
        <v>35</v>
      </c>
      <c r="C20" s="69"/>
      <c r="D20" s="8">
        <f>SUM(D21)</f>
        <v>23000</v>
      </c>
      <c r="E20" s="8">
        <f>SUM(E21)</f>
        <v>1420</v>
      </c>
      <c r="F20" s="8">
        <f t="shared" ref="F20:R20" si="7">SUM(F21)</f>
        <v>0</v>
      </c>
      <c r="G20" s="8">
        <f t="shared" si="7"/>
        <v>0</v>
      </c>
      <c r="H20" s="8">
        <f t="shared" si="7"/>
        <v>1420</v>
      </c>
      <c r="I20" s="8">
        <f t="shared" si="7"/>
        <v>0</v>
      </c>
      <c r="J20" s="8">
        <f t="shared" si="7"/>
        <v>0</v>
      </c>
      <c r="K20" s="8">
        <f t="shared" si="7"/>
        <v>0</v>
      </c>
      <c r="L20" s="8">
        <f t="shared" si="7"/>
        <v>0</v>
      </c>
      <c r="M20" s="8">
        <f t="shared" si="7"/>
        <v>0</v>
      </c>
      <c r="N20" s="8">
        <f t="shared" si="7"/>
        <v>0</v>
      </c>
      <c r="O20" s="8">
        <f t="shared" si="7"/>
        <v>0</v>
      </c>
      <c r="P20" s="8">
        <f t="shared" si="7"/>
        <v>0</v>
      </c>
      <c r="Q20" s="8">
        <f t="shared" si="7"/>
        <v>0</v>
      </c>
      <c r="R20" s="8">
        <f t="shared" si="7"/>
        <v>1420</v>
      </c>
      <c r="S20" s="25"/>
    </row>
    <row r="21" spans="1:19" ht="25.5" x14ac:dyDescent="0.2">
      <c r="A21" s="23">
        <v>1</v>
      </c>
      <c r="B21" s="30" t="s">
        <v>11</v>
      </c>
      <c r="C21" s="2" t="s">
        <v>12</v>
      </c>
      <c r="D21" s="31">
        <v>23000</v>
      </c>
      <c r="E21" s="25">
        <v>1420</v>
      </c>
      <c r="F21" s="51"/>
      <c r="G21" s="51"/>
      <c r="H21" s="51">
        <f>E21</f>
        <v>1420</v>
      </c>
      <c r="I21" s="51"/>
      <c r="J21" s="51"/>
      <c r="K21" s="51"/>
      <c r="L21" s="51"/>
      <c r="M21" s="51"/>
      <c r="N21" s="51"/>
      <c r="O21" s="51"/>
      <c r="P21" s="51"/>
      <c r="Q21" s="51"/>
      <c r="R21" s="51">
        <f>SUM(F21:Q21)</f>
        <v>1420</v>
      </c>
      <c r="S21" s="25"/>
    </row>
    <row r="22" spans="1:19" ht="19.149999999999999" customHeight="1" x14ac:dyDescent="0.2">
      <c r="A22" s="19" t="s">
        <v>32</v>
      </c>
      <c r="B22" s="28" t="s">
        <v>31</v>
      </c>
      <c r="C22" s="2"/>
      <c r="D22" s="31"/>
      <c r="E22" s="25"/>
      <c r="F22" s="51"/>
      <c r="G22" s="51"/>
      <c r="H22" s="51"/>
      <c r="I22" s="51"/>
      <c r="J22" s="51"/>
      <c r="K22" s="51"/>
      <c r="L22" s="51"/>
      <c r="M22" s="51"/>
      <c r="N22" s="51"/>
      <c r="O22" s="51"/>
      <c r="P22" s="51"/>
      <c r="Q22" s="51"/>
      <c r="R22" s="51"/>
      <c r="S22" s="25"/>
    </row>
    <row r="23" spans="1:19" ht="19.149999999999999" customHeight="1" x14ac:dyDescent="0.2">
      <c r="A23" s="19" t="s">
        <v>36</v>
      </c>
      <c r="B23" s="28" t="s">
        <v>37</v>
      </c>
      <c r="C23" s="2"/>
      <c r="D23" s="31"/>
      <c r="E23" s="25"/>
      <c r="F23" s="51"/>
      <c r="G23" s="51"/>
      <c r="H23" s="51"/>
      <c r="I23" s="51"/>
      <c r="J23" s="51"/>
      <c r="K23" s="51"/>
      <c r="L23" s="51"/>
      <c r="M23" s="51"/>
      <c r="N23" s="51"/>
      <c r="O23" s="51"/>
      <c r="P23" s="51"/>
      <c r="Q23" s="51"/>
      <c r="R23" s="51"/>
      <c r="S23" s="25"/>
    </row>
    <row r="24" spans="1:19" ht="19.149999999999999" customHeight="1" x14ac:dyDescent="0.2">
      <c r="A24" s="19" t="s">
        <v>38</v>
      </c>
      <c r="B24" s="28" t="s">
        <v>39</v>
      </c>
      <c r="C24" s="2"/>
      <c r="D24" s="31"/>
      <c r="E24" s="8">
        <f>SUM(E25)</f>
        <v>2250</v>
      </c>
      <c r="F24" s="8">
        <f t="shared" ref="F24:R24" si="8">SUM(F25)</f>
        <v>2250</v>
      </c>
      <c r="G24" s="8">
        <f t="shared" si="8"/>
        <v>0</v>
      </c>
      <c r="H24" s="8">
        <f t="shared" si="8"/>
        <v>0</v>
      </c>
      <c r="I24" s="8">
        <f t="shared" si="8"/>
        <v>0</v>
      </c>
      <c r="J24" s="8">
        <f t="shared" si="8"/>
        <v>0</v>
      </c>
      <c r="K24" s="8">
        <f t="shared" si="8"/>
        <v>0</v>
      </c>
      <c r="L24" s="8">
        <f t="shared" si="8"/>
        <v>0</v>
      </c>
      <c r="M24" s="8">
        <f t="shared" si="8"/>
        <v>0</v>
      </c>
      <c r="N24" s="8">
        <f t="shared" si="8"/>
        <v>0</v>
      </c>
      <c r="O24" s="8">
        <f t="shared" si="8"/>
        <v>0</v>
      </c>
      <c r="P24" s="8">
        <f t="shared" si="8"/>
        <v>0</v>
      </c>
      <c r="Q24" s="8">
        <f t="shared" si="8"/>
        <v>0</v>
      </c>
      <c r="R24" s="8">
        <f t="shared" si="8"/>
        <v>2250</v>
      </c>
      <c r="S24" s="25"/>
    </row>
    <row r="25" spans="1:19" ht="19.149999999999999" customHeight="1" x14ac:dyDescent="0.2">
      <c r="A25" s="23">
        <v>1</v>
      </c>
      <c r="B25" s="30" t="s">
        <v>13</v>
      </c>
      <c r="C25" s="69" t="s">
        <v>22</v>
      </c>
      <c r="D25" s="31">
        <v>14990</v>
      </c>
      <c r="E25" s="25">
        <v>2250</v>
      </c>
      <c r="F25" s="51">
        <f>E25</f>
        <v>2250</v>
      </c>
      <c r="G25" s="51"/>
      <c r="H25" s="51"/>
      <c r="I25" s="51"/>
      <c r="J25" s="51"/>
      <c r="K25" s="51"/>
      <c r="L25" s="51"/>
      <c r="M25" s="51"/>
      <c r="N25" s="51"/>
      <c r="O25" s="51"/>
      <c r="P25" s="51"/>
      <c r="Q25" s="51"/>
      <c r="R25" s="51">
        <f>SUM(F25:Q25)</f>
        <v>2250</v>
      </c>
      <c r="S25" s="25"/>
    </row>
    <row r="26" spans="1:19" ht="19.899999999999999" customHeight="1" x14ac:dyDescent="0.2">
      <c r="A26" s="14" t="s">
        <v>26</v>
      </c>
      <c r="B26" s="15" t="s">
        <v>27</v>
      </c>
      <c r="C26" s="67"/>
      <c r="D26" s="16">
        <f>D27+D54</f>
        <v>182937.16800000001</v>
      </c>
      <c r="E26" s="16">
        <f t="shared" ref="E26:R26" si="9">E27+E54</f>
        <v>41065</v>
      </c>
      <c r="F26" s="62">
        <f t="shared" si="9"/>
        <v>15367.807000000001</v>
      </c>
      <c r="G26" s="62">
        <f t="shared" si="9"/>
        <v>0</v>
      </c>
      <c r="H26" s="62">
        <f t="shared" si="9"/>
        <v>5937.1930000000002</v>
      </c>
      <c r="I26" s="62">
        <f t="shared" si="9"/>
        <v>0</v>
      </c>
      <c r="J26" s="62">
        <f t="shared" si="9"/>
        <v>0</v>
      </c>
      <c r="K26" s="62">
        <f t="shared" si="9"/>
        <v>0</v>
      </c>
      <c r="L26" s="62">
        <f t="shared" si="9"/>
        <v>850</v>
      </c>
      <c r="M26" s="62">
        <f t="shared" si="9"/>
        <v>0</v>
      </c>
      <c r="N26" s="62">
        <f t="shared" si="9"/>
        <v>1550</v>
      </c>
      <c r="O26" s="62">
        <f t="shared" si="9"/>
        <v>860</v>
      </c>
      <c r="P26" s="62">
        <f t="shared" si="9"/>
        <v>1500</v>
      </c>
      <c r="Q26" s="62">
        <f t="shared" si="9"/>
        <v>0</v>
      </c>
      <c r="R26" s="62">
        <f t="shared" si="9"/>
        <v>26065</v>
      </c>
      <c r="S26" s="57"/>
    </row>
    <row r="27" spans="1:19" ht="19.899999999999999" customHeight="1" x14ac:dyDescent="0.2">
      <c r="A27" s="32" t="s">
        <v>15</v>
      </c>
      <c r="B27" s="33" t="s">
        <v>14</v>
      </c>
      <c r="C27" s="71"/>
      <c r="D27" s="63">
        <f>D28+D35+D39+D48+D49</f>
        <v>142853.228</v>
      </c>
      <c r="E27" s="63">
        <f t="shared" ref="E27:R27" si="10">E28+E35+E39+E48+E49</f>
        <v>26065</v>
      </c>
      <c r="F27" s="64">
        <f t="shared" si="10"/>
        <v>15367.807000000001</v>
      </c>
      <c r="G27" s="64">
        <f t="shared" si="10"/>
        <v>0</v>
      </c>
      <c r="H27" s="64">
        <f t="shared" si="10"/>
        <v>5937.1930000000002</v>
      </c>
      <c r="I27" s="64">
        <f t="shared" si="10"/>
        <v>0</v>
      </c>
      <c r="J27" s="64">
        <f t="shared" si="10"/>
        <v>0</v>
      </c>
      <c r="K27" s="64">
        <f t="shared" si="10"/>
        <v>0</v>
      </c>
      <c r="L27" s="64">
        <f t="shared" si="10"/>
        <v>850</v>
      </c>
      <c r="M27" s="64">
        <f t="shared" si="10"/>
        <v>0</v>
      </c>
      <c r="N27" s="64">
        <f t="shared" si="10"/>
        <v>1550</v>
      </c>
      <c r="O27" s="64">
        <f t="shared" si="10"/>
        <v>860</v>
      </c>
      <c r="P27" s="64">
        <f t="shared" si="10"/>
        <v>1500</v>
      </c>
      <c r="Q27" s="64">
        <f t="shared" si="10"/>
        <v>0</v>
      </c>
      <c r="R27" s="64">
        <f t="shared" si="10"/>
        <v>26065</v>
      </c>
      <c r="S27" s="65"/>
    </row>
    <row r="28" spans="1:19" ht="19.899999999999999" customHeight="1" x14ac:dyDescent="0.2">
      <c r="A28" s="19" t="s">
        <v>28</v>
      </c>
      <c r="B28" s="28" t="s">
        <v>34</v>
      </c>
      <c r="C28" s="69"/>
      <c r="D28" s="35">
        <f>SUM(D29:D34)</f>
        <v>55306.228000000003</v>
      </c>
      <c r="E28" s="35">
        <f>SUM(E29:E34)</f>
        <v>1952.9150000000002</v>
      </c>
      <c r="F28" s="35">
        <f t="shared" ref="F28:R28" si="11">SUM(F29:F34)</f>
        <v>715.72199999999998</v>
      </c>
      <c r="G28" s="35">
        <f t="shared" si="11"/>
        <v>0</v>
      </c>
      <c r="H28" s="35">
        <f>SUM(H29:H34)</f>
        <v>1237.193</v>
      </c>
      <c r="I28" s="35">
        <f t="shared" si="11"/>
        <v>0</v>
      </c>
      <c r="J28" s="35">
        <f t="shared" si="11"/>
        <v>0</v>
      </c>
      <c r="K28" s="35">
        <f t="shared" si="11"/>
        <v>0</v>
      </c>
      <c r="L28" s="35">
        <f t="shared" si="11"/>
        <v>0</v>
      </c>
      <c r="M28" s="35">
        <f t="shared" si="11"/>
        <v>0</v>
      </c>
      <c r="N28" s="35">
        <f t="shared" si="11"/>
        <v>0</v>
      </c>
      <c r="O28" s="35">
        <f t="shared" si="11"/>
        <v>0</v>
      </c>
      <c r="P28" s="35">
        <f t="shared" si="11"/>
        <v>0</v>
      </c>
      <c r="Q28" s="35">
        <f t="shared" si="11"/>
        <v>0</v>
      </c>
      <c r="R28" s="35">
        <f t="shared" si="11"/>
        <v>1952.9150000000002</v>
      </c>
      <c r="S28" s="25"/>
    </row>
    <row r="29" spans="1:19" ht="25.5" x14ac:dyDescent="0.2">
      <c r="A29" s="36">
        <v>1</v>
      </c>
      <c r="B29" s="29" t="s">
        <v>16</v>
      </c>
      <c r="C29" s="2" t="s">
        <v>17</v>
      </c>
      <c r="D29" s="31">
        <v>30600</v>
      </c>
      <c r="E29" s="51">
        <v>715.72199999999998</v>
      </c>
      <c r="F29" s="51">
        <f>E29</f>
        <v>715.72199999999998</v>
      </c>
      <c r="G29" s="51"/>
      <c r="H29" s="51">
        <f>E29-F29</f>
        <v>0</v>
      </c>
      <c r="I29" s="51"/>
      <c r="J29" s="51"/>
      <c r="K29" s="51"/>
      <c r="L29" s="51"/>
      <c r="M29" s="51"/>
      <c r="N29" s="51"/>
      <c r="O29" s="51"/>
      <c r="P29" s="51"/>
      <c r="Q29" s="51"/>
      <c r="R29" s="51">
        <f>SUM(F29:Q29)</f>
        <v>715.72199999999998</v>
      </c>
      <c r="S29" s="25"/>
    </row>
    <row r="30" spans="1:19" ht="20.45" customHeight="1" x14ac:dyDescent="0.2">
      <c r="A30" s="36">
        <v>2</v>
      </c>
      <c r="B30" s="30" t="s">
        <v>18</v>
      </c>
      <c r="C30" s="2" t="s">
        <v>19</v>
      </c>
      <c r="D30" s="31">
        <v>970</v>
      </c>
      <c r="E30" s="51">
        <v>140.53700000000001</v>
      </c>
      <c r="F30" s="51"/>
      <c r="G30" s="51"/>
      <c r="H30" s="51">
        <f>E30</f>
        <v>140.53700000000001</v>
      </c>
      <c r="I30" s="51"/>
      <c r="J30" s="51"/>
      <c r="K30" s="51"/>
      <c r="L30" s="51"/>
      <c r="M30" s="51"/>
      <c r="N30" s="51"/>
      <c r="O30" s="51"/>
      <c r="P30" s="51"/>
      <c r="Q30" s="51"/>
      <c r="R30" s="51">
        <f t="shared" ref="R30:R34" si="12">SUM(F30:Q30)</f>
        <v>140.53700000000001</v>
      </c>
      <c r="S30" s="25"/>
    </row>
    <row r="31" spans="1:19" ht="20.45" customHeight="1" x14ac:dyDescent="0.2">
      <c r="A31" s="36">
        <v>3</v>
      </c>
      <c r="B31" s="30" t="s">
        <v>20</v>
      </c>
      <c r="C31" s="2" t="s">
        <v>21</v>
      </c>
      <c r="D31" s="31">
        <v>12500</v>
      </c>
      <c r="E31" s="51">
        <v>608.01</v>
      </c>
      <c r="F31" s="51"/>
      <c r="G31" s="51"/>
      <c r="H31" s="51">
        <f>E31</f>
        <v>608.01</v>
      </c>
      <c r="I31" s="51"/>
      <c r="J31" s="51"/>
      <c r="K31" s="51"/>
      <c r="L31" s="51"/>
      <c r="M31" s="51"/>
      <c r="N31" s="51"/>
      <c r="O31" s="51"/>
      <c r="P31" s="51"/>
      <c r="Q31" s="51"/>
      <c r="R31" s="51">
        <f t="shared" si="12"/>
        <v>608.01</v>
      </c>
      <c r="S31" s="25"/>
    </row>
    <row r="32" spans="1:19" ht="38.25" x14ac:dyDescent="0.2">
      <c r="A32" s="36">
        <v>4</v>
      </c>
      <c r="B32" s="29" t="s">
        <v>40</v>
      </c>
      <c r="C32" s="1" t="s">
        <v>41</v>
      </c>
      <c r="D32" s="66">
        <v>2236.2280000000001</v>
      </c>
      <c r="E32" s="51">
        <v>179.01499999999999</v>
      </c>
      <c r="F32" s="51"/>
      <c r="G32" s="51"/>
      <c r="H32" s="51">
        <f>E32</f>
        <v>179.01499999999999</v>
      </c>
      <c r="I32" s="51"/>
      <c r="J32" s="51"/>
      <c r="K32" s="51"/>
      <c r="L32" s="51"/>
      <c r="M32" s="51"/>
      <c r="N32" s="51"/>
      <c r="O32" s="51"/>
      <c r="P32" s="51"/>
      <c r="Q32" s="51"/>
      <c r="R32" s="51">
        <f t="shared" si="12"/>
        <v>179.01499999999999</v>
      </c>
      <c r="S32" s="25"/>
    </row>
    <row r="33" spans="1:19" ht="24" customHeight="1" x14ac:dyDescent="0.2">
      <c r="A33" s="36">
        <v>5</v>
      </c>
      <c r="B33" s="29" t="s">
        <v>42</v>
      </c>
      <c r="C33" s="1" t="s">
        <v>44</v>
      </c>
      <c r="D33" s="25">
        <v>2500</v>
      </c>
      <c r="E33" s="51">
        <v>246.25</v>
      </c>
      <c r="F33" s="51"/>
      <c r="G33" s="51"/>
      <c r="H33" s="51">
        <f>E33</f>
        <v>246.25</v>
      </c>
      <c r="I33" s="51"/>
      <c r="J33" s="51"/>
      <c r="K33" s="51"/>
      <c r="L33" s="51"/>
      <c r="M33" s="51"/>
      <c r="N33" s="51"/>
      <c r="O33" s="51"/>
      <c r="P33" s="51"/>
      <c r="Q33" s="51"/>
      <c r="R33" s="51">
        <f t="shared" si="12"/>
        <v>246.25</v>
      </c>
      <c r="S33" s="25"/>
    </row>
    <row r="34" spans="1:19" ht="22.5" x14ac:dyDescent="0.2">
      <c r="A34" s="36">
        <v>6</v>
      </c>
      <c r="B34" s="29" t="s">
        <v>43</v>
      </c>
      <c r="C34" s="1" t="s">
        <v>45</v>
      </c>
      <c r="D34" s="25">
        <v>6500</v>
      </c>
      <c r="E34" s="51">
        <v>63.381</v>
      </c>
      <c r="F34" s="51"/>
      <c r="G34" s="51"/>
      <c r="H34" s="51">
        <f>E34</f>
        <v>63.381</v>
      </c>
      <c r="I34" s="51"/>
      <c r="J34" s="51"/>
      <c r="K34" s="51"/>
      <c r="L34" s="51"/>
      <c r="M34" s="51"/>
      <c r="N34" s="51"/>
      <c r="O34" s="51"/>
      <c r="P34" s="51"/>
      <c r="Q34" s="51"/>
      <c r="R34" s="51">
        <f t="shared" si="12"/>
        <v>63.381</v>
      </c>
      <c r="S34" s="25"/>
    </row>
    <row r="35" spans="1:19" ht="27" x14ac:dyDescent="0.2">
      <c r="A35" s="19" t="s">
        <v>30</v>
      </c>
      <c r="B35" s="28" t="s">
        <v>35</v>
      </c>
      <c r="C35" s="1"/>
      <c r="D35" s="35">
        <f>SUM(D36:D38)</f>
        <v>20747</v>
      </c>
      <c r="E35" s="35">
        <f t="shared" ref="E35:R35" si="13">SUM(E36:E38)</f>
        <v>3772.085</v>
      </c>
      <c r="F35" s="35">
        <f t="shared" si="13"/>
        <v>3772.085</v>
      </c>
      <c r="G35" s="35">
        <f t="shared" si="13"/>
        <v>0</v>
      </c>
      <c r="H35" s="35">
        <f t="shared" si="13"/>
        <v>0</v>
      </c>
      <c r="I35" s="35">
        <f t="shared" si="13"/>
        <v>0</v>
      </c>
      <c r="J35" s="35">
        <f t="shared" si="13"/>
        <v>0</v>
      </c>
      <c r="K35" s="35">
        <f t="shared" si="13"/>
        <v>0</v>
      </c>
      <c r="L35" s="35">
        <f t="shared" si="13"/>
        <v>0</v>
      </c>
      <c r="M35" s="35">
        <f t="shared" si="13"/>
        <v>0</v>
      </c>
      <c r="N35" s="35">
        <f t="shared" si="13"/>
        <v>0</v>
      </c>
      <c r="O35" s="35">
        <f t="shared" si="13"/>
        <v>0</v>
      </c>
      <c r="P35" s="35">
        <f t="shared" si="13"/>
        <v>0</v>
      </c>
      <c r="Q35" s="35">
        <f t="shared" si="13"/>
        <v>0</v>
      </c>
      <c r="R35" s="35">
        <f t="shared" si="13"/>
        <v>3772.085</v>
      </c>
      <c r="S35" s="25"/>
    </row>
    <row r="36" spans="1:19" ht="25.5" x14ac:dyDescent="0.2">
      <c r="A36" s="37">
        <v>1</v>
      </c>
      <c r="B36" s="38" t="s">
        <v>46</v>
      </c>
      <c r="C36" s="2" t="s">
        <v>49</v>
      </c>
      <c r="D36" s="31">
        <v>6997</v>
      </c>
      <c r="E36" s="51">
        <v>682.08500000000004</v>
      </c>
      <c r="F36" s="51">
        <f>E36</f>
        <v>682.08500000000004</v>
      </c>
      <c r="G36" s="51"/>
      <c r="H36" s="51"/>
      <c r="I36" s="51"/>
      <c r="J36" s="51"/>
      <c r="K36" s="51"/>
      <c r="L36" s="51"/>
      <c r="M36" s="51"/>
      <c r="N36" s="51"/>
      <c r="O36" s="51"/>
      <c r="P36" s="51"/>
      <c r="Q36" s="51"/>
      <c r="R36" s="51">
        <f>SUM(F36:Q36)</f>
        <v>682.08500000000004</v>
      </c>
      <c r="S36" s="25"/>
    </row>
    <row r="37" spans="1:19" ht="25.5" x14ac:dyDescent="0.2">
      <c r="A37" s="37">
        <v>2</v>
      </c>
      <c r="B37" s="30" t="s">
        <v>47</v>
      </c>
      <c r="C37" s="2" t="s">
        <v>50</v>
      </c>
      <c r="D37" s="31">
        <v>6800</v>
      </c>
      <c r="E37" s="51">
        <v>1700</v>
      </c>
      <c r="F37" s="51">
        <f>E37</f>
        <v>1700</v>
      </c>
      <c r="G37" s="51"/>
      <c r="H37" s="51"/>
      <c r="I37" s="51"/>
      <c r="J37" s="51"/>
      <c r="K37" s="51"/>
      <c r="L37" s="51"/>
      <c r="M37" s="51"/>
      <c r="N37" s="51"/>
      <c r="O37" s="51"/>
      <c r="P37" s="51"/>
      <c r="Q37" s="51"/>
      <c r="R37" s="51">
        <f t="shared" ref="R37:R38" si="14">SUM(F37:Q37)</f>
        <v>1700</v>
      </c>
      <c r="S37" s="25"/>
    </row>
    <row r="38" spans="1:19" ht="33.75" x14ac:dyDescent="0.2">
      <c r="A38" s="37">
        <v>3</v>
      </c>
      <c r="B38" s="30" t="s">
        <v>48</v>
      </c>
      <c r="C38" s="2" t="s">
        <v>51</v>
      </c>
      <c r="D38" s="31">
        <v>6950</v>
      </c>
      <c r="E38" s="51">
        <v>1390</v>
      </c>
      <c r="F38" s="51">
        <f>E38</f>
        <v>1390</v>
      </c>
      <c r="G38" s="51"/>
      <c r="H38" s="51"/>
      <c r="I38" s="51"/>
      <c r="J38" s="51"/>
      <c r="K38" s="51"/>
      <c r="L38" s="51"/>
      <c r="M38" s="51"/>
      <c r="N38" s="51"/>
      <c r="O38" s="51"/>
      <c r="P38" s="51"/>
      <c r="Q38" s="51"/>
      <c r="R38" s="51">
        <f t="shared" si="14"/>
        <v>1390</v>
      </c>
      <c r="S38" s="25"/>
    </row>
    <row r="39" spans="1:19" ht="18" customHeight="1" x14ac:dyDescent="0.2">
      <c r="A39" s="19" t="s">
        <v>32</v>
      </c>
      <c r="B39" s="28" t="s">
        <v>31</v>
      </c>
      <c r="C39" s="1"/>
      <c r="D39" s="35">
        <f>SUM(D40:D47)</f>
        <v>31350</v>
      </c>
      <c r="E39" s="35">
        <f>SUM(E40:E47)</f>
        <v>13640</v>
      </c>
      <c r="F39" s="35">
        <f t="shared" ref="F39:R39" si="15">SUM(F40:F47)</f>
        <v>8880</v>
      </c>
      <c r="G39" s="35">
        <f>SUM(G40:G47)</f>
        <v>0</v>
      </c>
      <c r="H39" s="35">
        <f t="shared" si="15"/>
        <v>0</v>
      </c>
      <c r="I39" s="35">
        <f t="shared" si="15"/>
        <v>0</v>
      </c>
      <c r="J39" s="35">
        <f t="shared" si="15"/>
        <v>0</v>
      </c>
      <c r="K39" s="35">
        <f t="shared" si="15"/>
        <v>0</v>
      </c>
      <c r="L39" s="35">
        <f t="shared" si="15"/>
        <v>850</v>
      </c>
      <c r="M39" s="35">
        <f t="shared" si="15"/>
        <v>0</v>
      </c>
      <c r="N39" s="35">
        <f t="shared" si="15"/>
        <v>1550</v>
      </c>
      <c r="O39" s="35">
        <f t="shared" si="15"/>
        <v>860</v>
      </c>
      <c r="P39" s="35">
        <f t="shared" si="15"/>
        <v>1500</v>
      </c>
      <c r="Q39" s="35">
        <f t="shared" si="15"/>
        <v>0</v>
      </c>
      <c r="R39" s="35">
        <f t="shared" si="15"/>
        <v>13640</v>
      </c>
      <c r="S39" s="25"/>
    </row>
    <row r="40" spans="1:19" ht="25.5" x14ac:dyDescent="0.2">
      <c r="A40" s="36">
        <v>1</v>
      </c>
      <c r="B40" s="30" t="s">
        <v>52</v>
      </c>
      <c r="C40" s="2" t="s">
        <v>60</v>
      </c>
      <c r="D40" s="31">
        <v>6000</v>
      </c>
      <c r="E40" s="39">
        <v>2850</v>
      </c>
      <c r="F40" s="51">
        <v>2000</v>
      </c>
      <c r="G40" s="51"/>
      <c r="H40" s="51"/>
      <c r="I40" s="51"/>
      <c r="J40" s="51"/>
      <c r="K40" s="51"/>
      <c r="L40" s="51">
        <f>E40-F40</f>
        <v>850</v>
      </c>
      <c r="M40" s="51"/>
      <c r="N40" s="51"/>
      <c r="O40" s="51"/>
      <c r="P40" s="51"/>
      <c r="Q40" s="51"/>
      <c r="R40" s="51">
        <f>SUM(F40:Q40)</f>
        <v>2850</v>
      </c>
      <c r="S40" s="25"/>
    </row>
    <row r="41" spans="1:19" ht="25.5" x14ac:dyDescent="0.2">
      <c r="A41" s="36">
        <v>2</v>
      </c>
      <c r="B41" s="30" t="s">
        <v>53</v>
      </c>
      <c r="C41" s="2" t="s">
        <v>61</v>
      </c>
      <c r="D41" s="31">
        <v>6500</v>
      </c>
      <c r="E41" s="39">
        <v>3050</v>
      </c>
      <c r="F41" s="51">
        <v>1500</v>
      </c>
      <c r="G41" s="51"/>
      <c r="H41" s="51"/>
      <c r="I41" s="51"/>
      <c r="J41" s="51"/>
      <c r="K41" s="51"/>
      <c r="L41" s="51"/>
      <c r="M41" s="51"/>
      <c r="N41" s="51">
        <f>E41-F41</f>
        <v>1550</v>
      </c>
      <c r="O41" s="51"/>
      <c r="P41" s="51"/>
      <c r="Q41" s="51"/>
      <c r="R41" s="51">
        <f t="shared" ref="R41:R47" si="16">SUM(F41:Q41)</f>
        <v>3050</v>
      </c>
      <c r="S41" s="25"/>
    </row>
    <row r="42" spans="1:19" ht="19.899999999999999" customHeight="1" x14ac:dyDescent="0.2">
      <c r="A42" s="36">
        <v>3</v>
      </c>
      <c r="B42" s="30" t="s">
        <v>54</v>
      </c>
      <c r="C42" s="2" t="s">
        <v>62</v>
      </c>
      <c r="D42" s="31">
        <v>4200</v>
      </c>
      <c r="E42" s="39">
        <v>1860</v>
      </c>
      <c r="F42" s="51">
        <v>1000</v>
      </c>
      <c r="G42" s="51"/>
      <c r="H42" s="51"/>
      <c r="I42" s="51"/>
      <c r="J42" s="51"/>
      <c r="K42" s="51"/>
      <c r="L42" s="51"/>
      <c r="M42" s="51"/>
      <c r="N42" s="51"/>
      <c r="O42" s="51">
        <f>E42-F42</f>
        <v>860</v>
      </c>
      <c r="P42" s="51"/>
      <c r="Q42" s="51"/>
      <c r="R42" s="51">
        <f t="shared" si="16"/>
        <v>1860</v>
      </c>
      <c r="S42" s="25"/>
    </row>
    <row r="43" spans="1:19" ht="25.5" x14ac:dyDescent="0.2">
      <c r="A43" s="36">
        <v>4</v>
      </c>
      <c r="B43" s="30" t="s">
        <v>55</v>
      </c>
      <c r="C43" s="2" t="s">
        <v>63</v>
      </c>
      <c r="D43" s="31">
        <v>2050</v>
      </c>
      <c r="E43" s="39">
        <v>660</v>
      </c>
      <c r="F43" s="51">
        <f>E43</f>
        <v>660</v>
      </c>
      <c r="G43" s="51"/>
      <c r="H43" s="51"/>
      <c r="I43" s="51"/>
      <c r="J43" s="51"/>
      <c r="K43" s="51"/>
      <c r="L43" s="51"/>
      <c r="M43" s="51"/>
      <c r="N43" s="51"/>
      <c r="O43" s="51"/>
      <c r="P43" s="51"/>
      <c r="Q43" s="51"/>
      <c r="R43" s="51">
        <f t="shared" si="16"/>
        <v>660</v>
      </c>
      <c r="S43" s="25"/>
    </row>
    <row r="44" spans="1:19" ht="21" customHeight="1" x14ac:dyDescent="0.2">
      <c r="A44" s="36">
        <v>5</v>
      </c>
      <c r="B44" s="30" t="s">
        <v>56</v>
      </c>
      <c r="C44" s="2" t="s">
        <v>111</v>
      </c>
      <c r="D44" s="31">
        <v>2100</v>
      </c>
      <c r="E44" s="39">
        <v>720</v>
      </c>
      <c r="F44" s="51">
        <f>E44</f>
        <v>720</v>
      </c>
      <c r="G44" s="51"/>
      <c r="H44" s="51"/>
      <c r="I44" s="51"/>
      <c r="J44" s="51"/>
      <c r="K44" s="51"/>
      <c r="L44" s="51"/>
      <c r="M44" s="51"/>
      <c r="N44" s="51"/>
      <c r="O44" s="51"/>
      <c r="P44" s="51"/>
      <c r="Q44" s="51"/>
      <c r="R44" s="51">
        <f t="shared" si="16"/>
        <v>720</v>
      </c>
      <c r="S44" s="25"/>
    </row>
    <row r="45" spans="1:19" ht="21" customHeight="1" x14ac:dyDescent="0.2">
      <c r="A45" s="36">
        <v>6</v>
      </c>
      <c r="B45" s="30" t="s">
        <v>57</v>
      </c>
      <c r="C45" s="2" t="s">
        <v>109</v>
      </c>
      <c r="D45" s="31">
        <v>3500</v>
      </c>
      <c r="E45" s="39">
        <v>1500</v>
      </c>
      <c r="F45" s="51">
        <v>1000</v>
      </c>
      <c r="G45" s="51"/>
      <c r="H45" s="51"/>
      <c r="I45" s="51"/>
      <c r="J45" s="51"/>
      <c r="K45" s="51"/>
      <c r="L45" s="51"/>
      <c r="M45" s="51"/>
      <c r="N45" s="51"/>
      <c r="O45" s="51"/>
      <c r="P45" s="51">
        <f>E45-F45</f>
        <v>500</v>
      </c>
      <c r="Q45" s="51"/>
      <c r="R45" s="51">
        <f t="shared" si="16"/>
        <v>1500</v>
      </c>
      <c r="S45" s="25"/>
    </row>
    <row r="46" spans="1:19" ht="21" customHeight="1" x14ac:dyDescent="0.2">
      <c r="A46" s="36">
        <v>7</v>
      </c>
      <c r="B46" s="30" t="s">
        <v>58</v>
      </c>
      <c r="C46" s="2" t="s">
        <v>64</v>
      </c>
      <c r="D46" s="31">
        <v>3600</v>
      </c>
      <c r="E46" s="39">
        <v>1500</v>
      </c>
      <c r="F46" s="51">
        <v>1000</v>
      </c>
      <c r="G46" s="51"/>
      <c r="H46" s="51"/>
      <c r="I46" s="51"/>
      <c r="J46" s="51"/>
      <c r="K46" s="51"/>
      <c r="L46" s="51"/>
      <c r="M46" s="51"/>
      <c r="N46" s="51"/>
      <c r="O46" s="51"/>
      <c r="P46" s="51">
        <f t="shared" ref="P46:P47" si="17">E46-F46</f>
        <v>500</v>
      </c>
      <c r="Q46" s="51"/>
      <c r="R46" s="51">
        <f t="shared" si="16"/>
        <v>1500</v>
      </c>
      <c r="S46" s="25"/>
    </row>
    <row r="47" spans="1:19" ht="21" customHeight="1" x14ac:dyDescent="0.2">
      <c r="A47" s="36">
        <v>8</v>
      </c>
      <c r="B47" s="30" t="s">
        <v>59</v>
      </c>
      <c r="C47" s="2" t="s">
        <v>110</v>
      </c>
      <c r="D47" s="31">
        <v>3400</v>
      </c>
      <c r="E47" s="39">
        <v>1500</v>
      </c>
      <c r="F47" s="51">
        <v>1000</v>
      </c>
      <c r="G47" s="51"/>
      <c r="H47" s="51"/>
      <c r="I47" s="51"/>
      <c r="J47" s="51"/>
      <c r="K47" s="51"/>
      <c r="L47" s="51"/>
      <c r="M47" s="51"/>
      <c r="N47" s="51"/>
      <c r="O47" s="51"/>
      <c r="P47" s="51">
        <f t="shared" si="17"/>
        <v>500</v>
      </c>
      <c r="Q47" s="51"/>
      <c r="R47" s="51">
        <f t="shared" si="16"/>
        <v>1500</v>
      </c>
      <c r="S47" s="25"/>
    </row>
    <row r="48" spans="1:19" ht="21" customHeight="1" x14ac:dyDescent="0.2">
      <c r="A48" s="19" t="s">
        <v>36</v>
      </c>
      <c r="B48" s="28" t="s">
        <v>37</v>
      </c>
      <c r="C48" s="69"/>
      <c r="D48" s="25"/>
      <c r="E48" s="25"/>
      <c r="F48" s="51"/>
      <c r="G48" s="51"/>
      <c r="H48" s="51"/>
      <c r="I48" s="51"/>
      <c r="J48" s="51"/>
      <c r="K48" s="51"/>
      <c r="L48" s="51"/>
      <c r="M48" s="51"/>
      <c r="N48" s="51"/>
      <c r="O48" s="51"/>
      <c r="P48" s="51"/>
      <c r="Q48" s="51"/>
      <c r="R48" s="51"/>
      <c r="S48" s="25"/>
    </row>
    <row r="49" spans="1:19" ht="21" customHeight="1" x14ac:dyDescent="0.2">
      <c r="A49" s="19" t="s">
        <v>38</v>
      </c>
      <c r="B49" s="28" t="s">
        <v>39</v>
      </c>
      <c r="C49" s="69"/>
      <c r="D49" s="8">
        <f>SUM(D50:D53)</f>
        <v>35450</v>
      </c>
      <c r="E49" s="8">
        <f t="shared" ref="E49:R49" si="18">SUM(E50:E53)</f>
        <v>6700</v>
      </c>
      <c r="F49" s="35">
        <f t="shared" si="18"/>
        <v>2000</v>
      </c>
      <c r="G49" s="35">
        <f t="shared" si="18"/>
        <v>0</v>
      </c>
      <c r="H49" s="35">
        <f t="shared" si="18"/>
        <v>4700</v>
      </c>
      <c r="I49" s="35">
        <f t="shared" si="18"/>
        <v>0</v>
      </c>
      <c r="J49" s="35">
        <f t="shared" si="18"/>
        <v>0</v>
      </c>
      <c r="K49" s="35">
        <f t="shared" si="18"/>
        <v>0</v>
      </c>
      <c r="L49" s="35">
        <f t="shared" si="18"/>
        <v>0</v>
      </c>
      <c r="M49" s="35">
        <f t="shared" si="18"/>
        <v>0</v>
      </c>
      <c r="N49" s="35">
        <f t="shared" si="18"/>
        <v>0</v>
      </c>
      <c r="O49" s="35">
        <f t="shared" si="18"/>
        <v>0</v>
      </c>
      <c r="P49" s="35">
        <f t="shared" si="18"/>
        <v>0</v>
      </c>
      <c r="Q49" s="35">
        <f t="shared" si="18"/>
        <v>0</v>
      </c>
      <c r="R49" s="35">
        <f t="shared" si="18"/>
        <v>6700</v>
      </c>
      <c r="S49" s="25"/>
    </row>
    <row r="50" spans="1:19" ht="25.5" x14ac:dyDescent="0.2">
      <c r="A50" s="40">
        <v>1</v>
      </c>
      <c r="B50" s="41" t="s">
        <v>65</v>
      </c>
      <c r="C50" s="73" t="s">
        <v>112</v>
      </c>
      <c r="D50" s="51">
        <v>2500</v>
      </c>
      <c r="E50" s="51">
        <v>900</v>
      </c>
      <c r="F50" s="51"/>
      <c r="G50" s="51"/>
      <c r="H50" s="51">
        <v>900</v>
      </c>
      <c r="I50" s="51"/>
      <c r="J50" s="51"/>
      <c r="K50" s="51"/>
      <c r="L50" s="51"/>
      <c r="M50" s="51"/>
      <c r="N50" s="51"/>
      <c r="O50" s="51"/>
      <c r="P50" s="51"/>
      <c r="Q50" s="51"/>
      <c r="R50" s="51">
        <f>SUM(F50:Q50)</f>
        <v>900</v>
      </c>
      <c r="S50" s="25"/>
    </row>
    <row r="51" spans="1:19" ht="25.5" x14ac:dyDescent="0.2">
      <c r="A51" s="40">
        <v>2</v>
      </c>
      <c r="B51" s="29" t="s">
        <v>66</v>
      </c>
      <c r="C51" s="73" t="s">
        <v>113</v>
      </c>
      <c r="D51" s="51">
        <v>6950</v>
      </c>
      <c r="E51" s="51">
        <v>2000</v>
      </c>
      <c r="F51" s="51"/>
      <c r="G51" s="51"/>
      <c r="H51" s="51">
        <f>E51</f>
        <v>2000</v>
      </c>
      <c r="I51" s="51"/>
      <c r="J51" s="51"/>
      <c r="K51" s="51"/>
      <c r="L51" s="51"/>
      <c r="M51" s="51"/>
      <c r="N51" s="51"/>
      <c r="O51" s="51"/>
      <c r="P51" s="51"/>
      <c r="Q51" s="51"/>
      <c r="R51" s="51">
        <f t="shared" ref="R51:R53" si="19">SUM(F51:Q51)</f>
        <v>2000</v>
      </c>
      <c r="S51" s="25"/>
    </row>
    <row r="52" spans="1:19" ht="23.45" customHeight="1" x14ac:dyDescent="0.2">
      <c r="A52" s="40">
        <v>3</v>
      </c>
      <c r="B52" s="41" t="s">
        <v>67</v>
      </c>
      <c r="C52" s="73" t="s">
        <v>114</v>
      </c>
      <c r="D52" s="51">
        <v>6000</v>
      </c>
      <c r="E52" s="51">
        <v>1800</v>
      </c>
      <c r="F52" s="51"/>
      <c r="G52" s="51"/>
      <c r="H52" s="51">
        <f>E52</f>
        <v>1800</v>
      </c>
      <c r="I52" s="51"/>
      <c r="J52" s="51"/>
      <c r="K52" s="51"/>
      <c r="L52" s="51"/>
      <c r="M52" s="51"/>
      <c r="N52" s="51"/>
      <c r="O52" s="51"/>
      <c r="P52" s="51"/>
      <c r="Q52" s="51"/>
      <c r="R52" s="51">
        <f t="shared" si="19"/>
        <v>1800</v>
      </c>
      <c r="S52" s="25"/>
    </row>
    <row r="53" spans="1:19" ht="25.5" x14ac:dyDescent="0.2">
      <c r="A53" s="40">
        <v>4</v>
      </c>
      <c r="B53" s="41" t="s">
        <v>68</v>
      </c>
      <c r="C53" s="73" t="s">
        <v>115</v>
      </c>
      <c r="D53" s="51">
        <v>20000</v>
      </c>
      <c r="E53" s="51">
        <v>2000</v>
      </c>
      <c r="F53" s="51">
        <f>E53</f>
        <v>2000</v>
      </c>
      <c r="G53" s="51"/>
      <c r="H53" s="51"/>
      <c r="I53" s="51"/>
      <c r="J53" s="51"/>
      <c r="K53" s="51"/>
      <c r="L53" s="51"/>
      <c r="M53" s="51"/>
      <c r="N53" s="51"/>
      <c r="O53" s="51"/>
      <c r="P53" s="51"/>
      <c r="Q53" s="51"/>
      <c r="R53" s="51">
        <f t="shared" si="19"/>
        <v>2000</v>
      </c>
      <c r="S53" s="25"/>
    </row>
    <row r="54" spans="1:19" ht="22.5" customHeight="1" x14ac:dyDescent="0.2">
      <c r="A54" s="42" t="s">
        <v>25</v>
      </c>
      <c r="B54" s="43" t="s">
        <v>69</v>
      </c>
      <c r="C54" s="71"/>
      <c r="D54" s="9">
        <f>D55+D58</f>
        <v>40083.94</v>
      </c>
      <c r="E54" s="9">
        <f>E55+E58</f>
        <v>15000</v>
      </c>
      <c r="F54" s="44"/>
      <c r="G54" s="44"/>
      <c r="H54" s="44"/>
      <c r="I54" s="44"/>
      <c r="J54" s="44"/>
      <c r="K54" s="44"/>
      <c r="L54" s="44"/>
      <c r="M54" s="44"/>
      <c r="N54" s="44"/>
      <c r="O54" s="44"/>
      <c r="P54" s="44"/>
      <c r="Q54" s="44"/>
      <c r="R54" s="44"/>
      <c r="S54" s="34"/>
    </row>
    <row r="55" spans="1:19" ht="40.5" x14ac:dyDescent="0.2">
      <c r="A55" s="19" t="s">
        <v>70</v>
      </c>
      <c r="B55" s="28" t="s">
        <v>71</v>
      </c>
      <c r="C55" s="69"/>
      <c r="D55" s="50">
        <f>SUM(D56:D57)</f>
        <v>5103.9399999999996</v>
      </c>
      <c r="E55" s="50">
        <f t="shared" ref="E55:R55" si="20">SUM(E56:E57)</f>
        <v>1907</v>
      </c>
      <c r="F55" s="35">
        <f t="shared" si="20"/>
        <v>0</v>
      </c>
      <c r="G55" s="35">
        <f t="shared" si="20"/>
        <v>0</v>
      </c>
      <c r="H55" s="35">
        <f t="shared" si="20"/>
        <v>0</v>
      </c>
      <c r="I55" s="35">
        <f t="shared" si="20"/>
        <v>0</v>
      </c>
      <c r="J55" s="35">
        <f t="shared" si="20"/>
        <v>0</v>
      </c>
      <c r="K55" s="35">
        <f t="shared" si="20"/>
        <v>0</v>
      </c>
      <c r="L55" s="35">
        <f t="shared" si="20"/>
        <v>0</v>
      </c>
      <c r="M55" s="35">
        <f t="shared" si="20"/>
        <v>0</v>
      </c>
      <c r="N55" s="35">
        <f t="shared" si="20"/>
        <v>0</v>
      </c>
      <c r="O55" s="35">
        <f t="shared" si="20"/>
        <v>0</v>
      </c>
      <c r="P55" s="35">
        <f t="shared" si="20"/>
        <v>0</v>
      </c>
      <c r="Q55" s="35">
        <f t="shared" si="20"/>
        <v>0</v>
      </c>
      <c r="R55" s="35">
        <f t="shared" si="20"/>
        <v>0</v>
      </c>
      <c r="S55" s="25"/>
    </row>
    <row r="56" spans="1:19" ht="38.25" x14ac:dyDescent="0.2">
      <c r="A56" s="37">
        <v>1</v>
      </c>
      <c r="B56" s="30" t="s">
        <v>72</v>
      </c>
      <c r="C56" s="3" t="s">
        <v>73</v>
      </c>
      <c r="D56" s="45">
        <v>2092.9029999999998</v>
      </c>
      <c r="E56" s="45">
        <v>600</v>
      </c>
      <c r="F56" s="51"/>
      <c r="G56" s="51"/>
      <c r="H56" s="51"/>
      <c r="I56" s="51"/>
      <c r="J56" s="51"/>
      <c r="K56" s="51"/>
      <c r="L56" s="51"/>
      <c r="M56" s="51"/>
      <c r="N56" s="51"/>
      <c r="O56" s="51"/>
      <c r="P56" s="51"/>
      <c r="Q56" s="51"/>
      <c r="R56" s="51"/>
      <c r="S56" s="25"/>
    </row>
    <row r="57" spans="1:19" ht="25.5" x14ac:dyDescent="0.2">
      <c r="A57" s="37">
        <v>2</v>
      </c>
      <c r="B57" s="30" t="s">
        <v>74</v>
      </c>
      <c r="C57" s="3" t="s">
        <v>75</v>
      </c>
      <c r="D57" s="45">
        <v>3011.0369999999998</v>
      </c>
      <c r="E57" s="45">
        <v>1307</v>
      </c>
      <c r="F57" s="51"/>
      <c r="G57" s="51"/>
      <c r="H57" s="51"/>
      <c r="I57" s="51"/>
      <c r="J57" s="51"/>
      <c r="K57" s="51"/>
      <c r="L57" s="51"/>
      <c r="M57" s="51"/>
      <c r="N57" s="51"/>
      <c r="O57" s="51"/>
      <c r="P57" s="51"/>
      <c r="Q57" s="51"/>
      <c r="R57" s="51"/>
      <c r="S57" s="25"/>
    </row>
    <row r="58" spans="1:19" ht="18" customHeight="1" x14ac:dyDescent="0.2">
      <c r="A58" s="19" t="s">
        <v>76</v>
      </c>
      <c r="B58" s="28" t="s">
        <v>77</v>
      </c>
      <c r="C58" s="69"/>
      <c r="D58" s="8">
        <f>D59+D62</f>
        <v>34980</v>
      </c>
      <c r="E58" s="8">
        <f t="shared" ref="E58:R58" si="21">E59+E62</f>
        <v>13093</v>
      </c>
      <c r="F58" s="35">
        <f t="shared" si="21"/>
        <v>0</v>
      </c>
      <c r="G58" s="35">
        <f t="shared" si="21"/>
        <v>0</v>
      </c>
      <c r="H58" s="35">
        <f t="shared" si="21"/>
        <v>0</v>
      </c>
      <c r="I58" s="35">
        <f t="shared" si="21"/>
        <v>0</v>
      </c>
      <c r="J58" s="35">
        <f t="shared" si="21"/>
        <v>0</v>
      </c>
      <c r="K58" s="35">
        <f t="shared" si="21"/>
        <v>0</v>
      </c>
      <c r="L58" s="35">
        <f t="shared" si="21"/>
        <v>0</v>
      </c>
      <c r="M58" s="35">
        <f t="shared" si="21"/>
        <v>0</v>
      </c>
      <c r="N58" s="35">
        <f t="shared" si="21"/>
        <v>0</v>
      </c>
      <c r="O58" s="35">
        <f t="shared" si="21"/>
        <v>0</v>
      </c>
      <c r="P58" s="35">
        <f t="shared" si="21"/>
        <v>0</v>
      </c>
      <c r="Q58" s="35">
        <f t="shared" si="21"/>
        <v>0</v>
      </c>
      <c r="R58" s="35">
        <f t="shared" si="21"/>
        <v>0</v>
      </c>
      <c r="S58" s="25"/>
    </row>
    <row r="59" spans="1:19" ht="27" x14ac:dyDescent="0.2">
      <c r="A59" s="19" t="s">
        <v>28</v>
      </c>
      <c r="B59" s="28" t="s">
        <v>35</v>
      </c>
      <c r="C59" s="69"/>
      <c r="D59" s="46">
        <f>SUM(D60)</f>
        <v>6980</v>
      </c>
      <c r="E59" s="46">
        <f t="shared" ref="E59:R59" si="22">SUM(E60)</f>
        <v>3093</v>
      </c>
      <c r="F59" s="52">
        <f t="shared" si="22"/>
        <v>0</v>
      </c>
      <c r="G59" s="52">
        <f t="shared" si="22"/>
        <v>0</v>
      </c>
      <c r="H59" s="52">
        <f t="shared" si="22"/>
        <v>0</v>
      </c>
      <c r="I59" s="52">
        <f t="shared" si="22"/>
        <v>0</v>
      </c>
      <c r="J59" s="52">
        <f t="shared" si="22"/>
        <v>0</v>
      </c>
      <c r="K59" s="52">
        <f t="shared" si="22"/>
        <v>0</v>
      </c>
      <c r="L59" s="52">
        <f t="shared" si="22"/>
        <v>0</v>
      </c>
      <c r="M59" s="52">
        <f t="shared" si="22"/>
        <v>0</v>
      </c>
      <c r="N59" s="52">
        <f t="shared" si="22"/>
        <v>0</v>
      </c>
      <c r="O59" s="52">
        <f t="shared" si="22"/>
        <v>0</v>
      </c>
      <c r="P59" s="52">
        <f t="shared" si="22"/>
        <v>0</v>
      </c>
      <c r="Q59" s="52">
        <f t="shared" si="22"/>
        <v>0</v>
      </c>
      <c r="R59" s="52">
        <f t="shared" si="22"/>
        <v>0</v>
      </c>
      <c r="S59" s="25"/>
    </row>
    <row r="60" spans="1:19" ht="22.5" x14ac:dyDescent="0.2">
      <c r="A60" s="37">
        <v>1</v>
      </c>
      <c r="B60" s="30" t="s">
        <v>78</v>
      </c>
      <c r="C60" s="4" t="s">
        <v>79</v>
      </c>
      <c r="D60" s="45">
        <v>6980</v>
      </c>
      <c r="E60" s="45">
        <v>3093</v>
      </c>
      <c r="F60" s="51"/>
      <c r="G60" s="51"/>
      <c r="H60" s="51"/>
      <c r="I60" s="51"/>
      <c r="J60" s="51"/>
      <c r="K60" s="51"/>
      <c r="L60" s="51"/>
      <c r="M60" s="51"/>
      <c r="N60" s="51"/>
      <c r="O60" s="51"/>
      <c r="P60" s="51"/>
      <c r="Q60" s="51"/>
      <c r="R60" s="51"/>
      <c r="S60" s="25"/>
    </row>
    <row r="61" spans="1:19" ht="13.5" x14ac:dyDescent="0.2">
      <c r="A61" s="19" t="s">
        <v>30</v>
      </c>
      <c r="B61" s="28" t="s">
        <v>31</v>
      </c>
      <c r="C61" s="69"/>
      <c r="D61" s="25"/>
      <c r="E61" s="25"/>
      <c r="F61" s="51"/>
      <c r="G61" s="51"/>
      <c r="H61" s="51"/>
      <c r="I61" s="51"/>
      <c r="J61" s="51"/>
      <c r="K61" s="51"/>
      <c r="L61" s="51"/>
      <c r="M61" s="51"/>
      <c r="N61" s="51"/>
      <c r="O61" s="51"/>
      <c r="P61" s="51"/>
      <c r="Q61" s="51"/>
      <c r="R61" s="51"/>
      <c r="S61" s="25"/>
    </row>
    <row r="62" spans="1:19" ht="13.5" x14ac:dyDescent="0.2">
      <c r="A62" s="19" t="s">
        <v>32</v>
      </c>
      <c r="B62" s="28" t="s">
        <v>37</v>
      </c>
      <c r="C62" s="69"/>
      <c r="D62" s="35">
        <f>SUM(D63)</f>
        <v>28000</v>
      </c>
      <c r="E62" s="35">
        <f t="shared" ref="E62:R62" si="23">SUM(E63)</f>
        <v>10000</v>
      </c>
      <c r="F62" s="35">
        <f t="shared" si="23"/>
        <v>0</v>
      </c>
      <c r="G62" s="35">
        <f t="shared" si="23"/>
        <v>0</v>
      </c>
      <c r="H62" s="35">
        <f t="shared" si="23"/>
        <v>0</v>
      </c>
      <c r="I62" s="35">
        <f t="shared" si="23"/>
        <v>0</v>
      </c>
      <c r="J62" s="35">
        <f t="shared" si="23"/>
        <v>0</v>
      </c>
      <c r="K62" s="35">
        <f t="shared" si="23"/>
        <v>0</v>
      </c>
      <c r="L62" s="35">
        <f t="shared" si="23"/>
        <v>0</v>
      </c>
      <c r="M62" s="35">
        <f t="shared" si="23"/>
        <v>0</v>
      </c>
      <c r="N62" s="35">
        <f t="shared" si="23"/>
        <v>0</v>
      </c>
      <c r="O62" s="35">
        <f t="shared" si="23"/>
        <v>0</v>
      </c>
      <c r="P62" s="35">
        <f t="shared" si="23"/>
        <v>0</v>
      </c>
      <c r="Q62" s="35">
        <f t="shared" si="23"/>
        <v>0</v>
      </c>
      <c r="R62" s="35">
        <f t="shared" si="23"/>
        <v>0</v>
      </c>
      <c r="S62" s="25"/>
    </row>
    <row r="63" spans="1:19" ht="25.5" x14ac:dyDescent="0.2">
      <c r="A63" s="47">
        <v>1</v>
      </c>
      <c r="B63" s="48" t="s">
        <v>80</v>
      </c>
      <c r="C63" s="5" t="s">
        <v>81</v>
      </c>
      <c r="D63" s="49">
        <v>28000</v>
      </c>
      <c r="E63" s="49">
        <v>10000</v>
      </c>
      <c r="F63" s="53"/>
      <c r="G63" s="53"/>
      <c r="H63" s="53"/>
      <c r="I63" s="53"/>
      <c r="J63" s="53"/>
      <c r="K63" s="53"/>
      <c r="L63" s="53"/>
      <c r="M63" s="53"/>
      <c r="N63" s="53"/>
      <c r="O63" s="53"/>
      <c r="P63" s="53"/>
      <c r="Q63" s="53"/>
      <c r="R63" s="53"/>
      <c r="S63" s="54"/>
    </row>
  </sheetData>
  <mergeCells count="10">
    <mergeCell ref="A1:T1"/>
    <mergeCell ref="A2:S2"/>
    <mergeCell ref="A3:S3"/>
    <mergeCell ref="A4:S4"/>
    <mergeCell ref="A5:A6"/>
    <mergeCell ref="B5:B6"/>
    <mergeCell ref="C5:D5"/>
    <mergeCell ref="E5:E6"/>
    <mergeCell ref="F5:R5"/>
    <mergeCell ref="S5:S6"/>
  </mergeCells>
  <printOptions horizontalCentered="1"/>
  <pageMargins left="0.19685039370078741" right="0.19685039370078741" top="0.59055118110236227" bottom="0.39370078740157483" header="0.31496062992125984" footer="0.31496062992125984"/>
  <pageSetup paperSize="9" scale="80"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0"/>
  <sheetViews>
    <sheetView workbookViewId="0">
      <selection activeCell="E12" sqref="E12"/>
    </sheetView>
  </sheetViews>
  <sheetFormatPr defaultColWidth="9.33203125" defaultRowHeight="12.75" x14ac:dyDescent="0.2"/>
  <cols>
    <col min="1" max="1" width="5.1640625" style="165" bestFit="1" customWidth="1"/>
    <col min="2" max="2" width="53.1640625" style="165" customWidth="1"/>
    <col min="3" max="4" width="15" style="165" customWidth="1"/>
    <col min="5" max="5" width="13.33203125" style="165" customWidth="1"/>
    <col min="6" max="6" width="15" style="165" customWidth="1"/>
    <col min="7" max="7" width="10.5" style="165" customWidth="1"/>
    <col min="8" max="8" width="14" style="165" customWidth="1"/>
    <col min="9" max="9" width="12.1640625" style="165" customWidth="1"/>
    <col min="10" max="10" width="11.83203125" style="165" customWidth="1"/>
    <col min="11" max="11" width="9.33203125" style="165"/>
    <col min="12" max="12" width="28.83203125" style="165" customWidth="1"/>
    <col min="13" max="16384" width="9.33203125" style="165"/>
  </cols>
  <sheetData>
    <row r="1" spans="1:12" ht="15.75" x14ac:dyDescent="0.2">
      <c r="A1" s="225" t="s">
        <v>461</v>
      </c>
      <c r="B1" s="225"/>
      <c r="C1" s="225"/>
      <c r="D1" s="225"/>
      <c r="E1" s="225"/>
      <c r="F1" s="225"/>
      <c r="G1" s="225"/>
      <c r="H1" s="225"/>
      <c r="I1" s="225"/>
      <c r="J1" s="225"/>
    </row>
    <row r="2" spans="1:12" ht="18" customHeight="1" x14ac:dyDescent="0.2">
      <c r="A2" s="226" t="s">
        <v>425</v>
      </c>
      <c r="B2" s="226"/>
      <c r="C2" s="226"/>
      <c r="D2" s="226"/>
      <c r="E2" s="226"/>
      <c r="F2" s="226"/>
      <c r="G2" s="226"/>
      <c r="H2" s="226"/>
      <c r="I2" s="226"/>
      <c r="J2" s="226"/>
    </row>
    <row r="3" spans="1:12" ht="17.25" customHeight="1" x14ac:dyDescent="0.2">
      <c r="A3" s="227" t="s">
        <v>465</v>
      </c>
      <c r="B3" s="227"/>
      <c r="C3" s="227"/>
      <c r="D3" s="227"/>
      <c r="E3" s="227"/>
      <c r="F3" s="227"/>
      <c r="G3" s="227"/>
      <c r="H3" s="227"/>
      <c r="I3" s="227"/>
      <c r="J3" s="227"/>
    </row>
    <row r="4" spans="1:12" ht="15.75" x14ac:dyDescent="0.2">
      <c r="A4" s="209"/>
      <c r="B4" s="209"/>
      <c r="C4" s="209"/>
      <c r="D4" s="209"/>
      <c r="E4" s="209"/>
      <c r="F4" s="209"/>
      <c r="G4" s="209"/>
      <c r="H4" s="209"/>
      <c r="I4" s="210" t="s">
        <v>104</v>
      </c>
      <c r="J4" s="210"/>
    </row>
    <row r="5" spans="1:12" ht="22.9" customHeight="1" x14ac:dyDescent="0.2">
      <c r="A5" s="223" t="s">
        <v>84</v>
      </c>
      <c r="B5" s="223" t="s">
        <v>426</v>
      </c>
      <c r="C5" s="228" t="s">
        <v>427</v>
      </c>
      <c r="D5" s="228"/>
      <c r="E5" s="228"/>
      <c r="F5" s="223" t="s">
        <v>430</v>
      </c>
      <c r="G5" s="223" t="s">
        <v>116</v>
      </c>
      <c r="H5" s="223" t="s">
        <v>431</v>
      </c>
      <c r="I5" s="223" t="s">
        <v>432</v>
      </c>
      <c r="J5" s="223" t="s">
        <v>88</v>
      </c>
    </row>
    <row r="6" spans="1:12" ht="33" customHeight="1" x14ac:dyDescent="0.2">
      <c r="A6" s="224"/>
      <c r="B6" s="224"/>
      <c r="C6" s="167" t="s">
        <v>23</v>
      </c>
      <c r="D6" s="167" t="s">
        <v>428</v>
      </c>
      <c r="E6" s="167" t="s">
        <v>429</v>
      </c>
      <c r="F6" s="224"/>
      <c r="G6" s="224"/>
      <c r="H6" s="224"/>
      <c r="I6" s="224"/>
      <c r="J6" s="224"/>
    </row>
    <row r="7" spans="1:12" s="295" customFormat="1" x14ac:dyDescent="0.2">
      <c r="A7" s="292"/>
      <c r="B7" s="292" t="s">
        <v>455</v>
      </c>
      <c r="C7" s="293">
        <f>C8+C14+C16</f>
        <v>472575.91899999999</v>
      </c>
      <c r="D7" s="293">
        <f t="shared" ref="D7:H7" si="0">D8+D14+D16</f>
        <v>470762.91899999999</v>
      </c>
      <c r="E7" s="293">
        <f t="shared" si="0"/>
        <v>1813</v>
      </c>
      <c r="F7" s="293">
        <f t="shared" si="0"/>
        <v>449506.636</v>
      </c>
      <c r="G7" s="294">
        <f t="shared" ref="G7:G19" si="1">F7/D7*100</f>
        <v>95.484715948921206</v>
      </c>
      <c r="H7" s="293">
        <f t="shared" si="0"/>
        <v>21256.282999999999</v>
      </c>
      <c r="I7" s="292"/>
      <c r="J7" s="292"/>
      <c r="L7" s="296"/>
    </row>
    <row r="8" spans="1:12" s="295" customFormat="1" ht="29.25" customHeight="1" x14ac:dyDescent="0.2">
      <c r="A8" s="297" t="s">
        <v>15</v>
      </c>
      <c r="B8" s="298" t="s">
        <v>452</v>
      </c>
      <c r="C8" s="299">
        <f>SUM(C9:C13)</f>
        <v>57337.919000000002</v>
      </c>
      <c r="D8" s="299">
        <f t="shared" ref="D8:I8" si="2">SUM(D9:D13)</f>
        <v>57337.919000000002</v>
      </c>
      <c r="E8" s="299">
        <f t="shared" si="2"/>
        <v>0</v>
      </c>
      <c r="F8" s="299">
        <f t="shared" si="2"/>
        <v>57314.716999999997</v>
      </c>
      <c r="G8" s="300">
        <f t="shared" si="1"/>
        <v>99.959534631872486</v>
      </c>
      <c r="H8" s="299">
        <f t="shared" si="2"/>
        <v>23.201999999999998</v>
      </c>
      <c r="I8" s="301">
        <f t="shared" si="2"/>
        <v>0</v>
      </c>
      <c r="J8" s="302"/>
    </row>
    <row r="9" spans="1:12" ht="29.25" customHeight="1" x14ac:dyDescent="0.2">
      <c r="A9" s="181">
        <v>1</v>
      </c>
      <c r="B9" s="184" t="str">
        <f>'Bieu 2'!B15</f>
        <v>Nguồn vốn NSĐP tỉnh quản lý</v>
      </c>
      <c r="C9" s="186">
        <f>D9+E9</f>
        <v>14725.816000000001</v>
      </c>
      <c r="D9" s="186">
        <f>'Bieu 2'!I15</f>
        <v>14725.816000000001</v>
      </c>
      <c r="E9" s="182">
        <v>0</v>
      </c>
      <c r="F9" s="186">
        <f>'Bieu 2'!L15</f>
        <v>14725.816000000001</v>
      </c>
      <c r="G9" s="182">
        <f t="shared" si="1"/>
        <v>100</v>
      </c>
      <c r="H9" s="186">
        <f>D9-F9</f>
        <v>0</v>
      </c>
      <c r="I9" s="182"/>
      <c r="J9" s="182"/>
    </row>
    <row r="10" spans="1:12" ht="29.25" customHeight="1" x14ac:dyDescent="0.2">
      <c r="A10" s="181">
        <v>2</v>
      </c>
      <c r="B10" s="184" t="str">
        <f>'Bieu 2'!B32</f>
        <v>Cân đối ngân sách cấp huyện</v>
      </c>
      <c r="C10" s="186">
        <f t="shared" ref="C10:C19" si="3">D10+E10</f>
        <v>26065</v>
      </c>
      <c r="D10" s="186">
        <f>'Bieu 2'!I32</f>
        <v>26065</v>
      </c>
      <c r="E10" s="182">
        <v>0</v>
      </c>
      <c r="F10" s="186">
        <f>'Bieu 2'!L32</f>
        <v>26065</v>
      </c>
      <c r="G10" s="182">
        <f t="shared" si="1"/>
        <v>100</v>
      </c>
      <c r="H10" s="186">
        <f t="shared" ref="H10:H19" si="4">D10-F10</f>
        <v>0</v>
      </c>
      <c r="I10" s="182"/>
      <c r="J10" s="182"/>
    </row>
    <row r="11" spans="1:12" ht="29.25" customHeight="1" x14ac:dyDescent="0.2">
      <c r="A11" s="181">
        <v>3</v>
      </c>
      <c r="B11" s="184" t="str">
        <f>'Bieu 2'!B59</f>
        <v>Vốn đầu tư từ nguồn thu sử dụng đất</v>
      </c>
      <c r="C11" s="186">
        <f t="shared" si="3"/>
        <v>13150</v>
      </c>
      <c r="D11" s="186">
        <f>'Bieu 2'!I59</f>
        <v>13150</v>
      </c>
      <c r="E11" s="182">
        <v>0</v>
      </c>
      <c r="F11" s="186">
        <f>'Bieu 2'!L59</f>
        <v>13150</v>
      </c>
      <c r="G11" s="182">
        <f t="shared" si="1"/>
        <v>100</v>
      </c>
      <c r="H11" s="186">
        <f t="shared" si="4"/>
        <v>0</v>
      </c>
      <c r="I11" s="182"/>
      <c r="J11" s="182"/>
    </row>
    <row r="12" spans="1:12" ht="29.25" customHeight="1" x14ac:dyDescent="0.2">
      <c r="A12" s="181">
        <v>4</v>
      </c>
      <c r="B12" s="184" t="str">
        <f>'Bieu 2'!B69</f>
        <v xml:space="preserve">Các dự án phát triển hạ tầng thiết yếu khu sản xuất nông, lâm nghiệp </v>
      </c>
      <c r="C12" s="186">
        <f t="shared" si="3"/>
        <v>1641</v>
      </c>
      <c r="D12" s="186">
        <f>'Bieu 2'!I69</f>
        <v>1641</v>
      </c>
      <c r="E12" s="182">
        <v>0</v>
      </c>
      <c r="F12" s="186">
        <f>'Bieu 2'!L69</f>
        <v>1641</v>
      </c>
      <c r="G12" s="182">
        <f t="shared" si="1"/>
        <v>100</v>
      </c>
      <c r="H12" s="186">
        <f t="shared" si="4"/>
        <v>0</v>
      </c>
      <c r="I12" s="182"/>
      <c r="J12" s="182"/>
    </row>
    <row r="13" spans="1:12" ht="29.25" customHeight="1" x14ac:dyDescent="0.2">
      <c r="A13" s="181">
        <v>5</v>
      </c>
      <c r="B13" s="184" t="str">
        <f>'Bieu 2'!B73</f>
        <v>Các nguồn vốn khác bổ sung trong năm</v>
      </c>
      <c r="C13" s="186">
        <f t="shared" si="3"/>
        <v>1756.1030000000001</v>
      </c>
      <c r="D13" s="186">
        <f>'Bieu 2'!I73</f>
        <v>1756.1030000000001</v>
      </c>
      <c r="E13" s="182">
        <v>0</v>
      </c>
      <c r="F13" s="186">
        <f>'Bieu 2'!L73</f>
        <v>1732.9010000000001</v>
      </c>
      <c r="G13" s="182">
        <f t="shared" si="1"/>
        <v>98.678779092114752</v>
      </c>
      <c r="H13" s="186">
        <f t="shared" si="4"/>
        <v>23.201999999999998</v>
      </c>
      <c r="I13" s="182"/>
      <c r="J13" s="182"/>
    </row>
    <row r="14" spans="1:12" s="295" customFormat="1" ht="29.25" customHeight="1" x14ac:dyDescent="0.2">
      <c r="A14" s="303" t="s">
        <v>25</v>
      </c>
      <c r="B14" s="304" t="s">
        <v>453</v>
      </c>
      <c r="C14" s="305">
        <f>SUM(C15)</f>
        <v>258185</v>
      </c>
      <c r="D14" s="305">
        <f t="shared" ref="D14:F14" si="5">SUM(D15)</f>
        <v>258185</v>
      </c>
      <c r="E14" s="305">
        <f t="shared" si="5"/>
        <v>0</v>
      </c>
      <c r="F14" s="305">
        <f t="shared" si="5"/>
        <v>258185</v>
      </c>
      <c r="G14" s="306">
        <f t="shared" si="1"/>
        <v>100</v>
      </c>
      <c r="H14" s="306">
        <f t="shared" ref="H14" si="6">SUM(H15)</f>
        <v>0</v>
      </c>
      <c r="I14" s="306">
        <f t="shared" ref="I14" si="7">SUM(I15)</f>
        <v>0</v>
      </c>
      <c r="J14" s="306"/>
    </row>
    <row r="15" spans="1:12" s="295" customFormat="1" ht="29.25" customHeight="1" x14ac:dyDescent="0.2">
      <c r="A15" s="307">
        <v>1</v>
      </c>
      <c r="B15" s="308" t="str">
        <f>'Bieu 3'!B15</f>
        <v>Nguồn vốn NSTW</v>
      </c>
      <c r="C15" s="309">
        <f t="shared" si="3"/>
        <v>258185</v>
      </c>
      <c r="D15" s="309">
        <f>'Bieu 3'!I15</f>
        <v>258185</v>
      </c>
      <c r="E15" s="309">
        <v>0</v>
      </c>
      <c r="F15" s="309">
        <f>'Bieu 3'!L15</f>
        <v>258185</v>
      </c>
      <c r="G15" s="310">
        <f t="shared" si="1"/>
        <v>100</v>
      </c>
      <c r="H15" s="310">
        <f t="shared" si="4"/>
        <v>0</v>
      </c>
      <c r="I15" s="310"/>
      <c r="J15" s="310"/>
    </row>
    <row r="16" spans="1:12" s="295" customFormat="1" ht="29.25" customHeight="1" x14ac:dyDescent="0.2">
      <c r="A16" s="303" t="s">
        <v>237</v>
      </c>
      <c r="B16" s="304" t="s">
        <v>454</v>
      </c>
      <c r="C16" s="311">
        <f>SUM(C17:C19)</f>
        <v>157053</v>
      </c>
      <c r="D16" s="311">
        <f t="shared" ref="D16:H16" si="8">SUM(D17:D19)</f>
        <v>155240</v>
      </c>
      <c r="E16" s="311">
        <f t="shared" si="8"/>
        <v>1813</v>
      </c>
      <c r="F16" s="311">
        <f t="shared" si="8"/>
        <v>134006.91899999999</v>
      </c>
      <c r="G16" s="311">
        <f t="shared" si="1"/>
        <v>86.322416258696208</v>
      </c>
      <c r="H16" s="311">
        <f t="shared" si="8"/>
        <v>21233.080999999998</v>
      </c>
      <c r="I16" s="306"/>
      <c r="J16" s="306"/>
    </row>
    <row r="17" spans="1:10" ht="29.25" customHeight="1" x14ac:dyDescent="0.2">
      <c r="A17" s="181">
        <v>1</v>
      </c>
      <c r="B17" s="184" t="str">
        <f>'Bieu 4'!B15</f>
        <v>Chương trinh MTQG NTM</v>
      </c>
      <c r="C17" s="186">
        <f t="shared" si="3"/>
        <v>19772</v>
      </c>
      <c r="D17" s="186">
        <f>'Bieu 4'!G15</f>
        <v>19772</v>
      </c>
      <c r="E17" s="186">
        <v>0</v>
      </c>
      <c r="F17" s="186">
        <f>'Bieu 4'!H15</f>
        <v>13201.025999999998</v>
      </c>
      <c r="G17" s="212">
        <f t="shared" si="1"/>
        <v>66.766265425854726</v>
      </c>
      <c r="H17" s="186">
        <f t="shared" si="4"/>
        <v>6570.974000000002</v>
      </c>
      <c r="I17" s="182"/>
      <c r="J17" s="182"/>
    </row>
    <row r="18" spans="1:10" ht="29.25" customHeight="1" x14ac:dyDescent="0.2">
      <c r="A18" s="181">
        <v>2</v>
      </c>
      <c r="B18" s="184" t="str">
        <f>'Bieu 4'!B34</f>
        <v>Chương trinh MTQG giảm nghèo bền vững</v>
      </c>
      <c r="C18" s="186">
        <f t="shared" si="3"/>
        <v>69103</v>
      </c>
      <c r="D18" s="186">
        <f>'Bieu 4'!G34</f>
        <v>69103</v>
      </c>
      <c r="E18" s="186"/>
      <c r="F18" s="186">
        <f>'Bieu 4'!H34</f>
        <v>61464.118999999999</v>
      </c>
      <c r="G18" s="212">
        <f t="shared" si="1"/>
        <v>88.945659378029902</v>
      </c>
      <c r="H18" s="186">
        <f t="shared" si="4"/>
        <v>7638.8810000000012</v>
      </c>
      <c r="I18" s="182"/>
      <c r="J18" s="182"/>
    </row>
    <row r="19" spans="1:10" ht="29.25" customHeight="1" x14ac:dyDescent="0.2">
      <c r="A19" s="181">
        <v>3</v>
      </c>
      <c r="B19" s="184" t="str">
        <f>'Bieu 4'!B58</f>
        <v>Chương trình MTQG phát triển KTXH vùng ĐBDTTS&amp;MN</v>
      </c>
      <c r="C19" s="185">
        <f t="shared" si="3"/>
        <v>68178</v>
      </c>
      <c r="D19" s="185">
        <f>'Bieu 4'!G58</f>
        <v>66365</v>
      </c>
      <c r="E19" s="185">
        <v>1813</v>
      </c>
      <c r="F19" s="186">
        <f>'Bieu 4'!H58</f>
        <v>59341.774000000005</v>
      </c>
      <c r="G19" s="212">
        <f t="shared" si="1"/>
        <v>89.417274165599352</v>
      </c>
      <c r="H19" s="186">
        <f t="shared" si="4"/>
        <v>7023.2259999999951</v>
      </c>
      <c r="I19" s="182"/>
      <c r="J19" s="182"/>
    </row>
    <row r="20" spans="1:10" ht="29.25" customHeight="1" x14ac:dyDescent="0.2">
      <c r="A20" s="166"/>
      <c r="B20" s="166"/>
      <c r="C20" s="183"/>
      <c r="D20" s="183"/>
      <c r="E20" s="183"/>
      <c r="F20" s="183"/>
      <c r="G20" s="183"/>
      <c r="H20" s="183"/>
      <c r="I20" s="183"/>
      <c r="J20" s="183"/>
    </row>
  </sheetData>
  <mergeCells count="11">
    <mergeCell ref="I5:I6"/>
    <mergeCell ref="J5:J6"/>
    <mergeCell ref="A1:J1"/>
    <mergeCell ref="A2:J2"/>
    <mergeCell ref="A3:J3"/>
    <mergeCell ref="C5:E5"/>
    <mergeCell ref="A5:A6"/>
    <mergeCell ref="B5:B6"/>
    <mergeCell ref="F5:F6"/>
    <mergeCell ref="G5:G6"/>
    <mergeCell ref="H5:H6"/>
  </mergeCells>
  <printOptions horizontalCentered="1"/>
  <pageMargins left="0.51181102362204722" right="0.51181102362204722" top="0.51181102362204722" bottom="0.51181102362204722" header="0.51181102362204722" footer="0.51181102362204722"/>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D134"/>
  <sheetViews>
    <sheetView zoomScale="85" zoomScaleNormal="85" zoomScaleSheetLayoutView="130" workbookViewId="0">
      <selection activeCell="F5" sqref="F5:F7"/>
    </sheetView>
  </sheetViews>
  <sheetFormatPr defaultColWidth="9.33203125" defaultRowHeight="12.75" x14ac:dyDescent="0.2"/>
  <cols>
    <col min="1" max="1" width="4.1640625" style="74" customWidth="1"/>
    <col min="2" max="2" width="42.6640625" style="74" customWidth="1"/>
    <col min="3" max="3" width="7" style="74" customWidth="1"/>
    <col min="4" max="4" width="6.1640625" style="74" customWidth="1"/>
    <col min="5" max="5" width="9.5" style="74" customWidth="1"/>
    <col min="6" max="6" width="9.83203125" style="74" customWidth="1"/>
    <col min="7" max="8" width="10.1640625" style="74" customWidth="1"/>
    <col min="9" max="9" width="11.1640625" style="74" customWidth="1"/>
    <col min="10" max="10" width="11" style="78" customWidth="1"/>
    <col min="11" max="11" width="8.6640625" style="78" customWidth="1"/>
    <col min="12" max="12" width="10.83203125" style="78" customWidth="1"/>
    <col min="13" max="13" width="12" style="78" customWidth="1"/>
    <col min="14" max="14" width="9" style="78" customWidth="1"/>
    <col min="15" max="15" width="7.83203125" style="78" customWidth="1"/>
    <col min="16" max="16" width="8.33203125" style="78" customWidth="1"/>
    <col min="17" max="17" width="9.33203125" style="78" customWidth="1"/>
    <col min="18" max="18" width="7.1640625" style="78" customWidth="1"/>
    <col min="19" max="19" width="5.1640625" style="74" customWidth="1"/>
    <col min="20" max="20" width="8.33203125" style="155" hidden="1" customWidth="1"/>
    <col min="21" max="21" width="28.5" style="74" hidden="1" customWidth="1"/>
    <col min="22" max="22" width="10.5" style="74" hidden="1" customWidth="1"/>
    <col min="23" max="23" width="56.33203125" style="74" customWidth="1"/>
    <col min="24" max="24" width="10.1640625" style="74" customWidth="1"/>
    <col min="25" max="25" width="11.5" style="74" customWidth="1"/>
    <col min="26" max="26" width="11.6640625" style="74" customWidth="1"/>
    <col min="27" max="28" width="9.33203125" style="74" customWidth="1"/>
    <col min="29" max="29" width="9.83203125" style="74" customWidth="1"/>
    <col min="30" max="30" width="9.33203125" style="74" customWidth="1"/>
    <col min="31" max="31" width="9.33203125" style="74"/>
    <col min="32" max="32" width="11.6640625" style="74" bestFit="1" customWidth="1"/>
    <col min="33" max="33" width="9.33203125" style="74"/>
    <col min="34" max="34" width="11.1640625" style="74" bestFit="1" customWidth="1"/>
    <col min="35" max="16384" width="9.33203125" style="74"/>
  </cols>
  <sheetData>
    <row r="1" spans="1:33" ht="15.75" x14ac:dyDescent="0.2">
      <c r="A1" s="225" t="s">
        <v>462</v>
      </c>
      <c r="B1" s="225"/>
      <c r="C1" s="225"/>
      <c r="D1" s="225"/>
      <c r="E1" s="225"/>
      <c r="F1" s="225"/>
      <c r="G1" s="225"/>
      <c r="H1" s="225"/>
      <c r="I1" s="225"/>
      <c r="J1" s="225"/>
      <c r="K1" s="225"/>
      <c r="L1" s="225"/>
      <c r="M1" s="225"/>
      <c r="N1" s="225"/>
      <c r="O1" s="225"/>
      <c r="P1" s="225"/>
      <c r="Q1" s="225"/>
      <c r="R1" s="225"/>
      <c r="S1" s="225"/>
    </row>
    <row r="2" spans="1:33" ht="18.600000000000001" customHeight="1" x14ac:dyDescent="0.2">
      <c r="A2" s="229" t="s">
        <v>456</v>
      </c>
      <c r="B2" s="229"/>
      <c r="C2" s="229"/>
      <c r="D2" s="229"/>
      <c r="E2" s="229"/>
      <c r="F2" s="229"/>
      <c r="G2" s="229"/>
      <c r="H2" s="229"/>
      <c r="I2" s="229"/>
      <c r="J2" s="229"/>
      <c r="K2" s="229"/>
      <c r="L2" s="229"/>
      <c r="M2" s="229"/>
      <c r="N2" s="229"/>
      <c r="O2" s="229"/>
      <c r="P2" s="229"/>
      <c r="Q2" s="229"/>
      <c r="R2" s="229"/>
      <c r="S2" s="229"/>
    </row>
    <row r="3" spans="1:33" ht="17.25" customHeight="1" x14ac:dyDescent="0.2">
      <c r="A3" s="230" t="str">
        <f>'Biểu 1'!A3:J3</f>
        <v xml:space="preserve">(Kèm theo Báo cáo số:             /UBND-TH, ngày        tháng 02 năm 2023 của UBND huyện Mường Tè) </v>
      </c>
      <c r="B3" s="230"/>
      <c r="C3" s="230"/>
      <c r="D3" s="230"/>
      <c r="E3" s="230"/>
      <c r="F3" s="230"/>
      <c r="G3" s="230"/>
      <c r="H3" s="230"/>
      <c r="I3" s="230"/>
      <c r="J3" s="230"/>
      <c r="K3" s="230"/>
      <c r="L3" s="230"/>
      <c r="M3" s="230"/>
      <c r="N3" s="230"/>
      <c r="O3" s="230"/>
      <c r="P3" s="230"/>
      <c r="Q3" s="230"/>
      <c r="R3" s="230"/>
      <c r="S3" s="230"/>
      <c r="T3" s="159"/>
    </row>
    <row r="4" spans="1:33" ht="15" customHeight="1" x14ac:dyDescent="0.2">
      <c r="A4" s="145"/>
      <c r="B4" s="145"/>
      <c r="C4" s="145"/>
      <c r="D4" s="145"/>
      <c r="E4" s="145"/>
      <c r="F4" s="145"/>
      <c r="G4" s="145"/>
      <c r="H4" s="145"/>
      <c r="I4" s="145"/>
      <c r="J4" s="89"/>
      <c r="K4" s="145"/>
      <c r="L4" s="145"/>
      <c r="M4" s="145"/>
      <c r="N4" s="145"/>
      <c r="O4" s="145"/>
      <c r="P4" s="145"/>
      <c r="Q4" s="145"/>
      <c r="R4" s="230" t="s">
        <v>104</v>
      </c>
      <c r="S4" s="230"/>
      <c r="T4" s="159"/>
    </row>
    <row r="5" spans="1:33" ht="38.25" customHeight="1" x14ac:dyDescent="0.2">
      <c r="A5" s="231" t="s">
        <v>84</v>
      </c>
      <c r="B5" s="231" t="s">
        <v>85</v>
      </c>
      <c r="C5" s="221" t="s">
        <v>134</v>
      </c>
      <c r="D5" s="221" t="s">
        <v>135</v>
      </c>
      <c r="E5" s="240" t="s">
        <v>441</v>
      </c>
      <c r="F5" s="240" t="s">
        <v>90</v>
      </c>
      <c r="G5" s="240" t="s">
        <v>433</v>
      </c>
      <c r="H5" s="254" t="s">
        <v>427</v>
      </c>
      <c r="I5" s="255"/>
      <c r="J5" s="256" t="s">
        <v>435</v>
      </c>
      <c r="K5" s="257"/>
      <c r="L5" s="256" t="s">
        <v>133</v>
      </c>
      <c r="M5" s="354"/>
      <c r="N5" s="257"/>
      <c r="O5" s="240" t="s">
        <v>437</v>
      </c>
      <c r="P5" s="355" t="s">
        <v>438</v>
      </c>
      <c r="Q5" s="356"/>
      <c r="R5" s="240" t="s">
        <v>432</v>
      </c>
      <c r="S5" s="231" t="s">
        <v>88</v>
      </c>
      <c r="U5" s="243" t="s">
        <v>291</v>
      </c>
      <c r="V5" s="82">
        <f>92/173%</f>
        <v>53.179190751445084</v>
      </c>
      <c r="W5" s="238"/>
    </row>
    <row r="6" spans="1:33" ht="40.5" customHeight="1" x14ac:dyDescent="0.2">
      <c r="A6" s="231"/>
      <c r="B6" s="231"/>
      <c r="C6" s="221"/>
      <c r="D6" s="221"/>
      <c r="E6" s="232"/>
      <c r="F6" s="232"/>
      <c r="G6" s="232"/>
      <c r="H6" s="240" t="s">
        <v>434</v>
      </c>
      <c r="I6" s="240" t="s">
        <v>87</v>
      </c>
      <c r="J6" s="241" t="s">
        <v>107</v>
      </c>
      <c r="K6" s="236" t="s">
        <v>108</v>
      </c>
      <c r="L6" s="234" t="s">
        <v>23</v>
      </c>
      <c r="M6" s="236" t="s">
        <v>436</v>
      </c>
      <c r="N6" s="236" t="s">
        <v>460</v>
      </c>
      <c r="O6" s="232"/>
      <c r="P6" s="236" t="s">
        <v>439</v>
      </c>
      <c r="Q6" s="236" t="s">
        <v>440</v>
      </c>
      <c r="R6" s="232"/>
      <c r="S6" s="231"/>
      <c r="U6" s="243"/>
      <c r="W6" s="238"/>
    </row>
    <row r="7" spans="1:33" ht="78.75" customHeight="1" x14ac:dyDescent="0.2">
      <c r="A7" s="231"/>
      <c r="B7" s="231"/>
      <c r="C7" s="221"/>
      <c r="D7" s="221"/>
      <c r="E7" s="233"/>
      <c r="F7" s="233"/>
      <c r="G7" s="233"/>
      <c r="H7" s="233"/>
      <c r="I7" s="233"/>
      <c r="J7" s="242"/>
      <c r="K7" s="237"/>
      <c r="L7" s="235"/>
      <c r="M7" s="237"/>
      <c r="N7" s="237"/>
      <c r="O7" s="233"/>
      <c r="P7" s="237"/>
      <c r="Q7" s="237"/>
      <c r="R7" s="233"/>
      <c r="S7" s="231"/>
      <c r="T7" s="337">
        <f>I8+1813</f>
        <v>59150.919000000002</v>
      </c>
      <c r="U7" s="243"/>
      <c r="W7" s="238"/>
    </row>
    <row r="8" spans="1:33" ht="19.149999999999999" customHeight="1" x14ac:dyDescent="0.2">
      <c r="A8" s="275"/>
      <c r="B8" s="216" t="s">
        <v>23</v>
      </c>
      <c r="C8" s="216"/>
      <c r="D8" s="216"/>
      <c r="E8" s="275"/>
      <c r="F8" s="276">
        <f>F14+F31</f>
        <v>458913.16800000001</v>
      </c>
      <c r="G8" s="276">
        <f>G14+G31</f>
        <v>151785</v>
      </c>
      <c r="H8" s="276">
        <f t="shared" ref="H8:R8" si="0">H14+H31</f>
        <v>305412.64100000006</v>
      </c>
      <c r="I8" s="276">
        <f t="shared" si="0"/>
        <v>57337.919000000002</v>
      </c>
      <c r="J8" s="276">
        <f t="shared" si="0"/>
        <v>351164.30699999997</v>
      </c>
      <c r="K8" s="276">
        <f t="shared" si="0"/>
        <v>31972.865000000002</v>
      </c>
      <c r="L8" s="276">
        <f t="shared" si="0"/>
        <v>57314.716999999997</v>
      </c>
      <c r="M8" s="276">
        <f t="shared" si="0"/>
        <v>49292.219999999994</v>
      </c>
      <c r="N8" s="276">
        <f t="shared" si="0"/>
        <v>1652</v>
      </c>
      <c r="O8" s="278">
        <f>L8/I8*100</f>
        <v>99.959534631872486</v>
      </c>
      <c r="P8" s="276">
        <f t="shared" si="0"/>
        <v>23.201999999999998</v>
      </c>
      <c r="Q8" s="276">
        <f t="shared" si="0"/>
        <v>0</v>
      </c>
      <c r="R8" s="276">
        <f t="shared" si="0"/>
        <v>0</v>
      </c>
      <c r="S8" s="279">
        <f>SUM(S9:S13)</f>
        <v>48</v>
      </c>
      <c r="V8" s="88" t="e">
        <f>#REF!-31.84</f>
        <v>#REF!</v>
      </c>
      <c r="X8" s="79">
        <f>I8+66627</f>
        <v>123964.91899999999</v>
      </c>
      <c r="Y8" s="100">
        <f>800+45808+43818</f>
        <v>90426</v>
      </c>
    </row>
    <row r="9" spans="1:33" s="86" customFormat="1" ht="12.75" hidden="1" customHeight="1" x14ac:dyDescent="0.2">
      <c r="A9" s="341">
        <v>1</v>
      </c>
      <c r="B9" s="168" t="s">
        <v>128</v>
      </c>
      <c r="C9" s="169"/>
      <c r="D9" s="169"/>
      <c r="E9" s="169"/>
      <c r="F9" s="170">
        <f>SUMIF($T$14:$T$87,T9,$F$14:$F$87)</f>
        <v>272540.228</v>
      </c>
      <c r="G9" s="170"/>
      <c r="H9" s="170">
        <f>SUMIF($T$14:$T$87,T9,$H$14:$H$87)</f>
        <v>215661.55600000004</v>
      </c>
      <c r="I9" s="170">
        <f>SUMIF($T$14:$T$87,T9,$I$14:$I$87)</f>
        <v>11294.505999999998</v>
      </c>
      <c r="J9" s="170">
        <f>SUMIF($T$14:$T$87,T9,$J$14:$J$87)</f>
        <v>221601.152</v>
      </c>
      <c r="K9" s="170">
        <f>SUMIF($T$14:$T$87,T9,$K$14:$K$87)</f>
        <v>0</v>
      </c>
      <c r="L9" s="170">
        <f>SUMIF($T$14:$T$87,T9,$L$14:$L$87)</f>
        <v>11271.303999999998</v>
      </c>
      <c r="M9" s="170">
        <f>SUMIF($T$14:$T$87,T9,$M$14:$M$87)</f>
        <v>11271.303999999998</v>
      </c>
      <c r="N9" s="170"/>
      <c r="O9" s="170"/>
      <c r="P9" s="170"/>
      <c r="Q9" s="170"/>
      <c r="R9" s="170"/>
      <c r="S9" s="342">
        <f>COUNTIF($T$14:$T$87,T9)</f>
        <v>22</v>
      </c>
      <c r="T9" s="155" t="s">
        <v>125</v>
      </c>
      <c r="Y9" s="101">
        <v>66627</v>
      </c>
    </row>
    <row r="10" spans="1:33" s="86" customFormat="1" ht="12.75" hidden="1" customHeight="1" x14ac:dyDescent="0.2">
      <c r="A10" s="259">
        <v>2</v>
      </c>
      <c r="B10" s="83" t="s">
        <v>129</v>
      </c>
      <c r="C10" s="98"/>
      <c r="D10" s="98"/>
      <c r="E10" s="98"/>
      <c r="F10" s="85">
        <f>SUMIF($T$14:$T$87,T10,$F$14:$F$87)</f>
        <v>55830.939999999995</v>
      </c>
      <c r="G10" s="85"/>
      <c r="H10" s="85">
        <f>SUMIF($T$14:$T$87,T10,$H$14:$H$87)</f>
        <v>42115.084999999999</v>
      </c>
      <c r="I10" s="85">
        <f>SUMIF($T$14:$T$87,T10,$I$14:$I$87)</f>
        <v>9829.005000000001</v>
      </c>
      <c r="J10" s="85">
        <f>SUMIF($T$14:$T$87,T10,$J$14:$J$87)</f>
        <v>54343.705000000002</v>
      </c>
      <c r="K10" s="85">
        <f>SUMIF($T$14:$T$87,T10,$K$14:$K$87)</f>
        <v>0</v>
      </c>
      <c r="L10" s="85">
        <f>SUMIF($T$14:$T$87,T10,$L$14:$L$87)</f>
        <v>9829.005000000001</v>
      </c>
      <c r="M10" s="85">
        <f>SUMIF($T$14:$T$87,T10,$M$14:$M$87)</f>
        <v>9829.005000000001</v>
      </c>
      <c r="N10" s="85"/>
      <c r="O10" s="85"/>
      <c r="P10" s="85"/>
      <c r="Q10" s="85"/>
      <c r="R10" s="85"/>
      <c r="S10" s="281">
        <f>COUNTIF($T$14:$T$87,T10)</f>
        <v>7</v>
      </c>
      <c r="T10" s="155" t="s">
        <v>126</v>
      </c>
      <c r="Y10" s="101">
        <f>Y8+Y9</f>
        <v>157053</v>
      </c>
    </row>
    <row r="11" spans="1:33" s="86" customFormat="1" ht="12.75" hidden="1" customHeight="1" x14ac:dyDescent="0.2">
      <c r="A11" s="259">
        <v>3</v>
      </c>
      <c r="B11" s="83" t="s">
        <v>130</v>
      </c>
      <c r="C11" s="98"/>
      <c r="D11" s="98"/>
      <c r="E11" s="98"/>
      <c r="F11" s="85">
        <f>SUMIF($T$14:$T$87,T11,$F$14:$F$87)</f>
        <v>31350</v>
      </c>
      <c r="G11" s="85"/>
      <c r="H11" s="85">
        <f>SUMIF($T$14:$T$87,T11,$H$14:$H$87)</f>
        <v>25290</v>
      </c>
      <c r="I11" s="85">
        <f>SUMIF($T$14:$T$87,T11,$I$14:$I$87)</f>
        <v>13640</v>
      </c>
      <c r="J11" s="85">
        <f>SUMIF($T$14:$T$87,T11,$J$14:$J$87)</f>
        <v>30658.495999999999</v>
      </c>
      <c r="K11" s="85">
        <f>SUMIF($T$14:$T$87,T11,$K$14:$K$87)</f>
        <v>0</v>
      </c>
      <c r="L11" s="85">
        <f>SUMIF($T$14:$T$87,T11,$L$14:$L$87)</f>
        <v>13640</v>
      </c>
      <c r="M11" s="85">
        <f>SUMIF($T$14:$T$87,T11,$M$14:$M$87)</f>
        <v>13640</v>
      </c>
      <c r="N11" s="85"/>
      <c r="O11" s="85"/>
      <c r="P11" s="85"/>
      <c r="Q11" s="85"/>
      <c r="R11" s="85"/>
      <c r="S11" s="281">
        <f>COUNTIF($T$14:$T$87,T11)</f>
        <v>8</v>
      </c>
      <c r="T11" s="155" t="s">
        <v>127</v>
      </c>
    </row>
    <row r="12" spans="1:33" s="86" customFormat="1" ht="25.5" hidden="1" customHeight="1" x14ac:dyDescent="0.2">
      <c r="A12" s="259">
        <v>4</v>
      </c>
      <c r="B12" s="83" t="s">
        <v>131</v>
      </c>
      <c r="C12" s="98"/>
      <c r="D12" s="98"/>
      <c r="E12" s="98"/>
      <c r="F12" s="85">
        <f>SUMIF($T$14:$T$87,T12,$F$14:$F$87)</f>
        <v>28000</v>
      </c>
      <c r="G12" s="85"/>
      <c r="H12" s="85">
        <f>SUMIF($T$14:$T$87,T12,$H$14:$H$87)</f>
        <v>8457</v>
      </c>
      <c r="I12" s="85">
        <f>SUMIF($T$14:$T$87,T12,$I$14:$I$87)</f>
        <v>8457</v>
      </c>
      <c r="J12" s="85">
        <f>SUMIF($T$14:$T$87,T12,$J$14:$J$87)</f>
        <v>15119</v>
      </c>
      <c r="K12" s="85">
        <f>SUMIF($T$14:$T$87,T12,$K$14:$K$87)</f>
        <v>4300</v>
      </c>
      <c r="L12" s="85">
        <f>SUMIF($T$14:$T$87,T12,$L$14:$L$87)</f>
        <v>8457</v>
      </c>
      <c r="M12" s="85">
        <f>SUMIF($T$14:$T$87,T12,$M$14:$M$87)</f>
        <v>3514.74</v>
      </c>
      <c r="N12" s="85"/>
      <c r="O12" s="85"/>
      <c r="P12" s="85"/>
      <c r="Q12" s="85"/>
      <c r="R12" s="85"/>
      <c r="S12" s="281">
        <f>COUNTIF($T$14:$T$87,T12)</f>
        <v>1</v>
      </c>
      <c r="T12" s="155" t="s">
        <v>123</v>
      </c>
    </row>
    <row r="13" spans="1:33" s="86" customFormat="1" ht="12.75" hidden="1" customHeight="1" x14ac:dyDescent="0.2">
      <c r="A13" s="259">
        <v>5</v>
      </c>
      <c r="B13" s="83" t="s">
        <v>132</v>
      </c>
      <c r="C13" s="98"/>
      <c r="D13" s="98"/>
      <c r="E13" s="98"/>
      <c r="F13" s="85">
        <f>SUMIF($T$14:$T$87,T13,$F$14:$F$87)</f>
        <v>71192</v>
      </c>
      <c r="G13" s="85"/>
      <c r="H13" s="85">
        <f>SUMIF($T$14:$T$87,T13,$H$14:$H$87)</f>
        <v>13889</v>
      </c>
      <c r="I13" s="85">
        <f>SUMIF($T$14:$T$87,T13,$I$14:$I$87)</f>
        <v>14117.407999999999</v>
      </c>
      <c r="J13" s="85">
        <f>SUMIF($T$14:$T$87,T13,$J$14:$J$87)</f>
        <v>29441.953999999998</v>
      </c>
      <c r="K13" s="85">
        <f>SUMIF($T$14:$T$87,T13,$K$14:$K$87)</f>
        <v>27672.864999999998</v>
      </c>
      <c r="L13" s="85">
        <f>SUMIF($T$14:$T$87,T13,$L$14:$L$87)</f>
        <v>14117.407999999999</v>
      </c>
      <c r="M13" s="85">
        <f>SUMIF($T$14:$T$87,T13,$M$14:$M$87)</f>
        <v>11037.171</v>
      </c>
      <c r="N13" s="85"/>
      <c r="O13" s="85"/>
      <c r="P13" s="85"/>
      <c r="Q13" s="85"/>
      <c r="R13" s="85"/>
      <c r="S13" s="281">
        <f>COUNTIF($T$14:$T$87,T13)</f>
        <v>10</v>
      </c>
      <c r="T13" s="155" t="s">
        <v>124</v>
      </c>
    </row>
    <row r="14" spans="1:33" ht="18" customHeight="1" x14ac:dyDescent="0.2">
      <c r="A14" s="260" t="s">
        <v>24</v>
      </c>
      <c r="B14" s="103" t="s">
        <v>0</v>
      </c>
      <c r="C14" s="261"/>
      <c r="D14" s="261"/>
      <c r="E14" s="312"/>
      <c r="F14" s="104">
        <f>F15</f>
        <v>223490</v>
      </c>
      <c r="G14" s="104">
        <f t="shared" ref="G14:R14" si="1">G15</f>
        <v>25156</v>
      </c>
      <c r="H14" s="104">
        <f t="shared" si="1"/>
        <v>207619.18800000002</v>
      </c>
      <c r="I14" s="104">
        <f t="shared" si="1"/>
        <v>14725.816000000001</v>
      </c>
      <c r="J14" s="104">
        <f t="shared" si="1"/>
        <v>204009.06699999998</v>
      </c>
      <c r="K14" s="104">
        <f t="shared" si="1"/>
        <v>4456</v>
      </c>
      <c r="L14" s="104">
        <f t="shared" si="1"/>
        <v>14725.816000000001</v>
      </c>
      <c r="M14" s="104">
        <f t="shared" si="1"/>
        <v>13073.816000000001</v>
      </c>
      <c r="N14" s="104">
        <f t="shared" si="1"/>
        <v>1652</v>
      </c>
      <c r="O14" s="104">
        <f>L14/I14*100</f>
        <v>100</v>
      </c>
      <c r="P14" s="104">
        <f t="shared" si="1"/>
        <v>0</v>
      </c>
      <c r="Q14" s="104">
        <f t="shared" si="1"/>
        <v>0</v>
      </c>
      <c r="R14" s="104">
        <f t="shared" si="1"/>
        <v>0</v>
      </c>
      <c r="S14" s="98"/>
    </row>
    <row r="15" spans="1:33" ht="21.6" customHeight="1" x14ac:dyDescent="0.2">
      <c r="A15" s="260" t="s">
        <v>15</v>
      </c>
      <c r="B15" s="103" t="str">
        <f>'Bieu CKGN (ko in)'!B16</f>
        <v>Nguồn vốn NSĐP tỉnh quản lý</v>
      </c>
      <c r="C15" s="313"/>
      <c r="D15" s="313"/>
      <c r="E15" s="112"/>
      <c r="F15" s="104">
        <f t="shared" ref="F15:R15" si="2">F16+F25+F27+F28+F29</f>
        <v>223490</v>
      </c>
      <c r="G15" s="104">
        <f t="shared" si="2"/>
        <v>25156</v>
      </c>
      <c r="H15" s="104">
        <f t="shared" si="2"/>
        <v>207619.18800000002</v>
      </c>
      <c r="I15" s="104">
        <f t="shared" si="2"/>
        <v>14725.816000000001</v>
      </c>
      <c r="J15" s="104">
        <f t="shared" si="2"/>
        <v>204009.06699999998</v>
      </c>
      <c r="K15" s="104">
        <f t="shared" si="2"/>
        <v>4456</v>
      </c>
      <c r="L15" s="104">
        <f t="shared" si="2"/>
        <v>14725.816000000001</v>
      </c>
      <c r="M15" s="104">
        <f t="shared" si="2"/>
        <v>13073.816000000001</v>
      </c>
      <c r="N15" s="104">
        <f t="shared" si="2"/>
        <v>1652</v>
      </c>
      <c r="O15" s="104">
        <f>L15/I15*100</f>
        <v>100</v>
      </c>
      <c r="P15" s="104">
        <f t="shared" si="2"/>
        <v>0</v>
      </c>
      <c r="Q15" s="104">
        <f t="shared" si="2"/>
        <v>0</v>
      </c>
      <c r="R15" s="104">
        <f t="shared" si="2"/>
        <v>0</v>
      </c>
      <c r="S15" s="98"/>
      <c r="T15" s="337"/>
      <c r="U15" s="79"/>
      <c r="V15" s="82"/>
      <c r="X15" s="79">
        <f>I15+I31</f>
        <v>57337.919000000002</v>
      </c>
      <c r="Y15" s="79">
        <f>L15+L31</f>
        <v>57314.716999999997</v>
      </c>
      <c r="Z15" s="74">
        <f>Y15/X15*100</f>
        <v>99.959534631872486</v>
      </c>
      <c r="AF15" s="79"/>
      <c r="AG15" s="79"/>
    </row>
    <row r="16" spans="1:33" s="95" customFormat="1" ht="18.600000000000001" customHeight="1" x14ac:dyDescent="0.2">
      <c r="A16" s="262" t="str">
        <f>'Bieu CKGN (ko in)'!A17</f>
        <v>a</v>
      </c>
      <c r="B16" s="118" t="str">
        <f>'Bieu CKGN (ko in)'!B17</f>
        <v>Dự án hoàn thành, đã phê duyệt quyết toán</v>
      </c>
      <c r="C16" s="314"/>
      <c r="D16" s="314"/>
      <c r="E16" s="119"/>
      <c r="F16" s="109">
        <f>SUM(F17:F24)</f>
        <v>185500</v>
      </c>
      <c r="G16" s="109">
        <f t="shared" ref="G16:R16" si="3">SUM(G17:G24)</f>
        <v>0</v>
      </c>
      <c r="H16" s="109">
        <f t="shared" si="3"/>
        <v>179817.18800000002</v>
      </c>
      <c r="I16" s="109">
        <f t="shared" si="3"/>
        <v>7823.8960000000006</v>
      </c>
      <c r="J16" s="109">
        <f t="shared" si="3"/>
        <v>176951.06699999998</v>
      </c>
      <c r="K16" s="109">
        <f t="shared" si="3"/>
        <v>0</v>
      </c>
      <c r="L16" s="109">
        <f t="shared" si="3"/>
        <v>7823.8960000000006</v>
      </c>
      <c r="M16" s="109">
        <f t="shared" si="3"/>
        <v>7823.8960000000006</v>
      </c>
      <c r="N16" s="109">
        <f t="shared" si="3"/>
        <v>0</v>
      </c>
      <c r="O16" s="109">
        <f>L16/I16*100</f>
        <v>100</v>
      </c>
      <c r="P16" s="109">
        <f t="shared" si="3"/>
        <v>0</v>
      </c>
      <c r="Q16" s="109">
        <f t="shared" si="3"/>
        <v>0</v>
      </c>
      <c r="R16" s="109">
        <f t="shared" si="3"/>
        <v>0</v>
      </c>
      <c r="S16" s="265"/>
      <c r="T16" s="338"/>
      <c r="U16" s="110"/>
      <c r="V16" s="111"/>
      <c r="X16" s="110"/>
      <c r="AF16" s="79"/>
      <c r="AG16" s="79"/>
    </row>
    <row r="17" spans="1:33" ht="38.25" x14ac:dyDescent="0.2">
      <c r="A17" s="259">
        <f>'Bieu CKGN (ko in)'!A18</f>
        <v>1</v>
      </c>
      <c r="B17" s="83" t="str">
        <f>'Bieu CKGN (ko in)'!B18</f>
        <v>Đường giao thông đến điểm ĐCĐC Nậm Khá A (Tia Sùng Cái), xã Tà Tổng, huyện Mường Tè</v>
      </c>
      <c r="C17" s="315" t="s">
        <v>137</v>
      </c>
      <c r="D17" s="112" t="s">
        <v>154</v>
      </c>
      <c r="E17" s="112" t="str">
        <f>'Bieu CKGN (ko in)'!C18</f>
        <v>1332-27/10/2014</v>
      </c>
      <c r="F17" s="84">
        <v>35000</v>
      </c>
      <c r="G17" s="84"/>
      <c r="H17" s="84">
        <f>32499+2206.339</f>
        <v>34705.339</v>
      </c>
      <c r="I17" s="162">
        <f>'Bieu CKGN (ko in)'!E18</f>
        <v>2206.3389999999999</v>
      </c>
      <c r="J17" s="85">
        <v>32499.262999999999</v>
      </c>
      <c r="K17" s="85"/>
      <c r="L17" s="162">
        <f>M17</f>
        <v>2206.3389999999999</v>
      </c>
      <c r="M17" s="162">
        <f>I17</f>
        <v>2206.3389999999999</v>
      </c>
      <c r="N17" s="85"/>
      <c r="O17" s="85">
        <f>L17/I17*100</f>
        <v>100</v>
      </c>
      <c r="P17" s="85">
        <f>I17-L17</f>
        <v>0</v>
      </c>
      <c r="Q17" s="85"/>
      <c r="R17" s="211"/>
      <c r="S17" s="98"/>
      <c r="T17" s="155" t="s">
        <v>125</v>
      </c>
      <c r="U17" s="122" t="s">
        <v>292</v>
      </c>
      <c r="AF17" s="79">
        <f t="shared" ref="AF17:AG24" si="4">I17-L17</f>
        <v>0</v>
      </c>
      <c r="AG17" s="79">
        <f t="shared" si="4"/>
        <v>30292.923999999999</v>
      </c>
    </row>
    <row r="18" spans="1:33" ht="56.25" x14ac:dyDescent="0.2">
      <c r="A18" s="259">
        <f>'Bieu CKGN (ko in)'!A19</f>
        <v>2</v>
      </c>
      <c r="B18" s="83" t="str">
        <f>'Bieu CKGN (ko in)'!B19</f>
        <v>Điểm vui chơi trẻ em huyện Mường Tè (Giai đoạn I)</v>
      </c>
      <c r="C18" s="315" t="s">
        <v>140</v>
      </c>
      <c r="D18" s="316" t="s">
        <v>155</v>
      </c>
      <c r="E18" s="112" t="str">
        <f>'Bieu CKGN (ko in)'!C19</f>
        <v>196a-24/02/2012; 1320-25/10/2012</v>
      </c>
      <c r="F18" s="84">
        <v>5000</v>
      </c>
      <c r="G18" s="84"/>
      <c r="H18" s="84">
        <f>4844.719+56.161</f>
        <v>4900.88</v>
      </c>
      <c r="I18" s="162">
        <f>'Bieu CKGN (ko in)'!E19</f>
        <v>56.161000000000001</v>
      </c>
      <c r="J18" s="85">
        <v>4900.88</v>
      </c>
      <c r="K18" s="85"/>
      <c r="L18" s="162">
        <f>M18</f>
        <v>56.161000000000001</v>
      </c>
      <c r="M18" s="162">
        <f>I18</f>
        <v>56.161000000000001</v>
      </c>
      <c r="N18" s="85"/>
      <c r="O18" s="85">
        <f>L18/I18*100</f>
        <v>100</v>
      </c>
      <c r="P18" s="85">
        <f>I18-L18</f>
        <v>0</v>
      </c>
      <c r="Q18" s="85"/>
      <c r="R18" s="211"/>
      <c r="S18" s="98"/>
      <c r="T18" s="155" t="s">
        <v>125</v>
      </c>
      <c r="U18" s="122" t="s">
        <v>292</v>
      </c>
      <c r="AF18" s="79">
        <f t="shared" si="4"/>
        <v>0</v>
      </c>
      <c r="AG18" s="79">
        <f t="shared" si="4"/>
        <v>4844.7190000000001</v>
      </c>
    </row>
    <row r="19" spans="1:33" ht="33.75" x14ac:dyDescent="0.2">
      <c r="A19" s="259">
        <v>3</v>
      </c>
      <c r="B19" s="83" t="s">
        <v>248</v>
      </c>
      <c r="C19" s="315" t="s">
        <v>137</v>
      </c>
      <c r="D19" s="112"/>
      <c r="E19" s="112" t="s">
        <v>249</v>
      </c>
      <c r="F19" s="84">
        <v>32000</v>
      </c>
      <c r="G19" s="84"/>
      <c r="H19" s="84">
        <f>29779+1590</f>
        <v>31369</v>
      </c>
      <c r="I19" s="84">
        <v>1590</v>
      </c>
      <c r="J19" s="85">
        <v>31368.967000000001</v>
      </c>
      <c r="K19" s="85"/>
      <c r="L19" s="162">
        <f t="shared" ref="L19:L23" si="5">M19</f>
        <v>1590</v>
      </c>
      <c r="M19" s="317">
        <v>1590</v>
      </c>
      <c r="N19" s="318"/>
      <c r="O19" s="85">
        <f t="shared" ref="O19:O26" si="6">L19/I19*100</f>
        <v>100</v>
      </c>
      <c r="P19" s="85">
        <f t="shared" ref="P19:P26" si="7">I19-L19</f>
        <v>0</v>
      </c>
      <c r="Q19" s="85"/>
      <c r="R19" s="161"/>
      <c r="S19" s="112" t="s">
        <v>407</v>
      </c>
      <c r="T19" s="155" t="s">
        <v>125</v>
      </c>
      <c r="U19" s="122" t="s">
        <v>292</v>
      </c>
      <c r="AF19" s="79">
        <f t="shared" si="4"/>
        <v>0</v>
      </c>
      <c r="AG19" s="79">
        <f t="shared" si="4"/>
        <v>29778.967000000001</v>
      </c>
    </row>
    <row r="20" spans="1:33" ht="33.75" x14ac:dyDescent="0.2">
      <c r="A20" s="259">
        <v>4</v>
      </c>
      <c r="B20" s="83" t="s">
        <v>250</v>
      </c>
      <c r="C20" s="315" t="s">
        <v>149</v>
      </c>
      <c r="D20" s="112"/>
      <c r="E20" s="112" t="s">
        <v>251</v>
      </c>
      <c r="F20" s="84">
        <v>18000</v>
      </c>
      <c r="G20" s="84"/>
      <c r="H20" s="84">
        <f>16200+361.53</f>
        <v>16561.53</v>
      </c>
      <c r="I20" s="317">
        <v>361.53</v>
      </c>
      <c r="J20" s="85">
        <v>16378.81</v>
      </c>
      <c r="K20" s="85"/>
      <c r="L20" s="162">
        <f t="shared" si="5"/>
        <v>361.53</v>
      </c>
      <c r="M20" s="317">
        <v>361.53</v>
      </c>
      <c r="N20" s="84"/>
      <c r="O20" s="85">
        <f t="shared" si="6"/>
        <v>100</v>
      </c>
      <c r="P20" s="85">
        <f t="shared" si="7"/>
        <v>0</v>
      </c>
      <c r="Q20" s="85"/>
      <c r="R20" s="161"/>
      <c r="S20" s="113"/>
      <c r="T20" s="155" t="s">
        <v>125</v>
      </c>
      <c r="U20" s="122" t="s">
        <v>292</v>
      </c>
      <c r="AF20" s="79">
        <f t="shared" si="4"/>
        <v>0</v>
      </c>
      <c r="AG20" s="79">
        <f t="shared" si="4"/>
        <v>16017.279999999999</v>
      </c>
    </row>
    <row r="21" spans="1:33" ht="33.75" x14ac:dyDescent="0.2">
      <c r="A21" s="259">
        <v>5</v>
      </c>
      <c r="B21" s="83" t="s">
        <v>252</v>
      </c>
      <c r="C21" s="315" t="s">
        <v>219</v>
      </c>
      <c r="D21" s="112"/>
      <c r="E21" s="112" t="s">
        <v>253</v>
      </c>
      <c r="F21" s="84">
        <v>13000</v>
      </c>
      <c r="G21" s="84"/>
      <c r="H21" s="84">
        <f>12150+71.274</f>
        <v>12221.273999999999</v>
      </c>
      <c r="I21" s="317">
        <v>71.274000000000001</v>
      </c>
      <c r="J21" s="85">
        <v>12153.704</v>
      </c>
      <c r="K21" s="85"/>
      <c r="L21" s="162">
        <f t="shared" si="5"/>
        <v>71.274000000000001</v>
      </c>
      <c r="M21" s="317">
        <v>71.274000000000001</v>
      </c>
      <c r="N21" s="317"/>
      <c r="O21" s="85">
        <f t="shared" si="6"/>
        <v>100</v>
      </c>
      <c r="P21" s="85">
        <f t="shared" si="7"/>
        <v>0</v>
      </c>
      <c r="Q21" s="85"/>
      <c r="R21" s="161"/>
      <c r="S21" s="112" t="s">
        <v>407</v>
      </c>
      <c r="T21" s="155" t="s">
        <v>125</v>
      </c>
      <c r="U21" s="122" t="s">
        <v>292</v>
      </c>
      <c r="AF21" s="79">
        <f t="shared" si="4"/>
        <v>0</v>
      </c>
      <c r="AG21" s="79">
        <f t="shared" si="4"/>
        <v>12082.43</v>
      </c>
    </row>
    <row r="22" spans="1:33" ht="33.75" x14ac:dyDescent="0.2">
      <c r="A22" s="259">
        <v>6</v>
      </c>
      <c r="B22" s="83" t="s">
        <v>254</v>
      </c>
      <c r="C22" s="315" t="s">
        <v>137</v>
      </c>
      <c r="D22" s="112"/>
      <c r="E22" s="112" t="s">
        <v>255</v>
      </c>
      <c r="F22" s="84">
        <v>10500</v>
      </c>
      <c r="G22" s="84"/>
      <c r="H22" s="84">
        <f>10230+13.941</f>
        <v>10243.941000000001</v>
      </c>
      <c r="I22" s="317">
        <v>13.941000000000001</v>
      </c>
      <c r="J22" s="85">
        <v>10105.367</v>
      </c>
      <c r="K22" s="85"/>
      <c r="L22" s="162">
        <f t="shared" si="5"/>
        <v>13.941000000000001</v>
      </c>
      <c r="M22" s="317">
        <v>13.941000000000001</v>
      </c>
      <c r="N22" s="317"/>
      <c r="O22" s="85">
        <f t="shared" si="6"/>
        <v>100</v>
      </c>
      <c r="P22" s="85">
        <f t="shared" si="7"/>
        <v>0</v>
      </c>
      <c r="Q22" s="85"/>
      <c r="R22" s="161"/>
      <c r="S22" s="112" t="s">
        <v>407</v>
      </c>
      <c r="T22" s="155" t="s">
        <v>125</v>
      </c>
      <c r="U22" s="122" t="s">
        <v>292</v>
      </c>
      <c r="AF22" s="79">
        <f t="shared" si="4"/>
        <v>0</v>
      </c>
      <c r="AG22" s="79">
        <f t="shared" si="4"/>
        <v>10091.425999999999</v>
      </c>
    </row>
    <row r="23" spans="1:33" ht="38.25" x14ac:dyDescent="0.2">
      <c r="A23" s="259">
        <v>7</v>
      </c>
      <c r="B23" s="83" t="s">
        <v>256</v>
      </c>
      <c r="C23" s="315" t="s">
        <v>145</v>
      </c>
      <c r="D23" s="112"/>
      <c r="E23" s="112" t="s">
        <v>257</v>
      </c>
      <c r="F23" s="84">
        <v>40000</v>
      </c>
      <c r="G23" s="84"/>
      <c r="H23" s="84">
        <f>39509+368.224</f>
        <v>39877.224000000002</v>
      </c>
      <c r="I23" s="317">
        <v>368.22399999999999</v>
      </c>
      <c r="J23" s="85">
        <v>39681.493000000002</v>
      </c>
      <c r="K23" s="85"/>
      <c r="L23" s="162">
        <f t="shared" si="5"/>
        <v>368.22399999999999</v>
      </c>
      <c r="M23" s="317">
        <v>368.22399999999999</v>
      </c>
      <c r="N23" s="317"/>
      <c r="O23" s="85">
        <f t="shared" si="6"/>
        <v>100</v>
      </c>
      <c r="P23" s="85">
        <f t="shared" si="7"/>
        <v>0</v>
      </c>
      <c r="Q23" s="85"/>
      <c r="R23" s="161"/>
      <c r="S23" s="98"/>
      <c r="T23" s="155" t="s">
        <v>125</v>
      </c>
      <c r="U23" s="122" t="s">
        <v>292</v>
      </c>
      <c r="AF23" s="79">
        <f t="shared" si="4"/>
        <v>0</v>
      </c>
      <c r="AG23" s="79">
        <f t="shared" si="4"/>
        <v>39313.269</v>
      </c>
    </row>
    <row r="24" spans="1:33" ht="33.75" x14ac:dyDescent="0.2">
      <c r="A24" s="259">
        <v>8</v>
      </c>
      <c r="B24" s="83" t="s">
        <v>387</v>
      </c>
      <c r="C24" s="315" t="s">
        <v>143</v>
      </c>
      <c r="D24" s="112" t="s">
        <v>157</v>
      </c>
      <c r="E24" s="112" t="s">
        <v>258</v>
      </c>
      <c r="F24" s="84">
        <v>32000</v>
      </c>
      <c r="G24" s="84"/>
      <c r="H24" s="84">
        <f>26782+3156</f>
        <v>29938</v>
      </c>
      <c r="I24" s="84">
        <v>3156.4270000000001</v>
      </c>
      <c r="J24" s="85">
        <v>29862.582999999999</v>
      </c>
      <c r="K24" s="85"/>
      <c r="L24" s="180">
        <v>3156.4270000000001</v>
      </c>
      <c r="M24" s="180">
        <v>3156.4270000000001</v>
      </c>
      <c r="N24" s="85"/>
      <c r="O24" s="85">
        <f t="shared" si="6"/>
        <v>100</v>
      </c>
      <c r="P24" s="85">
        <f t="shared" si="7"/>
        <v>0</v>
      </c>
      <c r="Q24" s="85"/>
      <c r="R24" s="161"/>
      <c r="S24" s="98"/>
      <c r="T24" s="155" t="s">
        <v>125</v>
      </c>
      <c r="U24" s="122" t="s">
        <v>292</v>
      </c>
      <c r="AF24" s="79">
        <f t="shared" si="4"/>
        <v>0</v>
      </c>
      <c r="AG24" s="79">
        <f t="shared" si="4"/>
        <v>26706.155999999999</v>
      </c>
    </row>
    <row r="25" spans="1:33" s="115" customFormat="1" ht="27" x14ac:dyDescent="0.2">
      <c r="A25" s="262" t="str">
        <f>'Bieu CKGN (ko in)'!A20</f>
        <v>b</v>
      </c>
      <c r="B25" s="118" t="str">
        <f>'Bieu CKGN (ko in)'!B20</f>
        <v>Dự án hoàn thành bàn giao, đưa vào sử dụng trước ngày 31/12/2021</v>
      </c>
      <c r="C25" s="314"/>
      <c r="D25" s="314"/>
      <c r="E25" s="119"/>
      <c r="F25" s="109">
        <f t="shared" ref="F25:R25" si="8">SUM(F26:F26)</f>
        <v>23000</v>
      </c>
      <c r="G25" s="109">
        <f t="shared" si="8"/>
        <v>10166</v>
      </c>
      <c r="H25" s="109">
        <f t="shared" si="8"/>
        <v>22254</v>
      </c>
      <c r="I25" s="109">
        <f t="shared" si="8"/>
        <v>1353.92</v>
      </c>
      <c r="J25" s="109">
        <f t="shared" si="8"/>
        <v>22558</v>
      </c>
      <c r="K25" s="109">
        <f t="shared" si="8"/>
        <v>0</v>
      </c>
      <c r="L25" s="109">
        <f t="shared" si="8"/>
        <v>1353.92</v>
      </c>
      <c r="M25" s="109">
        <f t="shared" si="8"/>
        <v>1353.92</v>
      </c>
      <c r="N25" s="109">
        <f t="shared" si="8"/>
        <v>0</v>
      </c>
      <c r="O25" s="109">
        <f t="shared" si="8"/>
        <v>100</v>
      </c>
      <c r="P25" s="109">
        <f t="shared" si="8"/>
        <v>0</v>
      </c>
      <c r="Q25" s="109">
        <f t="shared" si="8"/>
        <v>0</v>
      </c>
      <c r="R25" s="109">
        <f t="shared" si="8"/>
        <v>0</v>
      </c>
      <c r="S25" s="263"/>
      <c r="T25" s="159"/>
      <c r="AF25" s="79"/>
      <c r="AG25" s="79"/>
    </row>
    <row r="26" spans="1:33" ht="25.5" x14ac:dyDescent="0.2">
      <c r="A26" s="259">
        <f>'Bieu CKGN (ko in)'!A21</f>
        <v>1</v>
      </c>
      <c r="B26" s="83" t="str">
        <f>'Bieu CKGN (ko in)'!B21</f>
        <v>Nâng cấp đường Pa Ủ - Hà Xi, xã Pa Ủ, huyện Mường Tè</v>
      </c>
      <c r="C26" s="315" t="s">
        <v>141</v>
      </c>
      <c r="D26" s="112" t="s">
        <v>156</v>
      </c>
      <c r="E26" s="112" t="str">
        <f>'Bieu CKGN (ko in)'!C21</f>
        <v>50-31/3/2016</v>
      </c>
      <c r="F26" s="84">
        <f>'Bieu CKGN (ko in)'!D21</f>
        <v>23000</v>
      </c>
      <c r="G26" s="84">
        <v>10166</v>
      </c>
      <c r="H26" s="84">
        <f>20900+1354</f>
        <v>22254</v>
      </c>
      <c r="I26" s="84">
        <v>1353.92</v>
      </c>
      <c r="J26" s="85">
        <v>22558</v>
      </c>
      <c r="K26" s="85"/>
      <c r="L26" s="317">
        <v>1353.92</v>
      </c>
      <c r="M26" s="162">
        <f>L26</f>
        <v>1353.92</v>
      </c>
      <c r="N26" s="85"/>
      <c r="O26" s="85">
        <f t="shared" si="6"/>
        <v>100</v>
      </c>
      <c r="P26" s="85">
        <f t="shared" si="7"/>
        <v>0</v>
      </c>
      <c r="Q26" s="85"/>
      <c r="R26" s="85"/>
      <c r="S26" s="343"/>
      <c r="T26" s="155" t="s">
        <v>126</v>
      </c>
      <c r="U26" s="122" t="s">
        <v>292</v>
      </c>
      <c r="V26" s="79"/>
      <c r="W26" s="79" t="s">
        <v>121</v>
      </c>
      <c r="AF26" s="79">
        <f t="shared" ref="AF26:AG28" si="9">I26-L26</f>
        <v>0</v>
      </c>
      <c r="AG26" s="79">
        <f t="shared" si="9"/>
        <v>21204.080000000002</v>
      </c>
    </row>
    <row r="27" spans="1:33" s="95" customFormat="1" ht="13.5" x14ac:dyDescent="0.2">
      <c r="A27" s="262" t="str">
        <f>'Bieu CKGN (ko in)'!A22</f>
        <v>c</v>
      </c>
      <c r="B27" s="118" t="str">
        <f>'Bieu CKGN (ko in)'!B22</f>
        <v>Dự án dự kiến hoàn thành năm 2022</v>
      </c>
      <c r="C27" s="314"/>
      <c r="D27" s="314"/>
      <c r="E27" s="139"/>
      <c r="F27" s="140"/>
      <c r="G27" s="140"/>
      <c r="H27" s="140"/>
      <c r="I27" s="140">
        <f>'Bieu CKGN (ko in)'!E22</f>
        <v>0</v>
      </c>
      <c r="J27" s="319"/>
      <c r="K27" s="319"/>
      <c r="L27" s="320"/>
      <c r="M27" s="320"/>
      <c r="N27" s="319"/>
      <c r="O27" s="319"/>
      <c r="P27" s="319"/>
      <c r="Q27" s="319"/>
      <c r="R27" s="319"/>
      <c r="S27" s="265"/>
      <c r="T27" s="159"/>
      <c r="AF27" s="79">
        <f t="shared" si="9"/>
        <v>0</v>
      </c>
      <c r="AG27" s="79">
        <f t="shared" si="9"/>
        <v>0</v>
      </c>
    </row>
    <row r="28" spans="1:33" s="95" customFormat="1" ht="27" x14ac:dyDescent="0.2">
      <c r="A28" s="262" t="str">
        <f>'Bieu CKGN (ko in)'!A23</f>
        <v>d</v>
      </c>
      <c r="B28" s="118" t="str">
        <f>'Bieu CKGN (ko in)'!B23</f>
        <v>Dự án chuyển tiếp hoàn thành sau năm 2022</v>
      </c>
      <c r="C28" s="314"/>
      <c r="D28" s="314"/>
      <c r="E28" s="139"/>
      <c r="F28" s="140"/>
      <c r="G28" s="140"/>
      <c r="H28" s="140"/>
      <c r="I28" s="140">
        <f>'Bieu CKGN (ko in)'!E23</f>
        <v>0</v>
      </c>
      <c r="J28" s="319"/>
      <c r="K28" s="319"/>
      <c r="L28" s="320"/>
      <c r="M28" s="320"/>
      <c r="N28" s="319"/>
      <c r="O28" s="319"/>
      <c r="P28" s="319"/>
      <c r="Q28" s="319"/>
      <c r="R28" s="319"/>
      <c r="S28" s="265"/>
      <c r="T28" s="159"/>
      <c r="U28" s="110"/>
      <c r="AF28" s="79">
        <f t="shared" si="9"/>
        <v>0</v>
      </c>
      <c r="AG28" s="79">
        <f t="shared" si="9"/>
        <v>0</v>
      </c>
    </row>
    <row r="29" spans="1:33" s="95" customFormat="1" ht="13.5" x14ac:dyDescent="0.2">
      <c r="A29" s="262" t="str">
        <f>'Bieu CKGN (ko in)'!A24</f>
        <v>đ</v>
      </c>
      <c r="B29" s="118" t="str">
        <f>'Bieu CKGN (ko in)'!B24</f>
        <v>Dự án khởi công mới năm 2022</v>
      </c>
      <c r="C29" s="314"/>
      <c r="D29" s="314"/>
      <c r="E29" s="139"/>
      <c r="F29" s="109">
        <f>SUM(F30)</f>
        <v>14990</v>
      </c>
      <c r="G29" s="109">
        <f t="shared" ref="G29:R29" si="10">SUM(G30)</f>
        <v>14990</v>
      </c>
      <c r="H29" s="109">
        <f t="shared" si="10"/>
        <v>5548</v>
      </c>
      <c r="I29" s="109">
        <f t="shared" si="10"/>
        <v>5548</v>
      </c>
      <c r="J29" s="109">
        <f t="shared" si="10"/>
        <v>4500</v>
      </c>
      <c r="K29" s="109">
        <f t="shared" si="10"/>
        <v>4456</v>
      </c>
      <c r="L29" s="109">
        <f t="shared" si="10"/>
        <v>5548</v>
      </c>
      <c r="M29" s="109">
        <f t="shared" si="10"/>
        <v>3896</v>
      </c>
      <c r="N29" s="109">
        <f t="shared" si="10"/>
        <v>1652</v>
      </c>
      <c r="O29" s="109">
        <f t="shared" si="10"/>
        <v>100</v>
      </c>
      <c r="P29" s="109">
        <f t="shared" si="10"/>
        <v>0</v>
      </c>
      <c r="Q29" s="109">
        <f t="shared" si="10"/>
        <v>0</v>
      </c>
      <c r="R29" s="109">
        <f t="shared" si="10"/>
        <v>0</v>
      </c>
      <c r="S29" s="265"/>
      <c r="T29" s="159"/>
      <c r="AF29" s="79"/>
      <c r="AG29" s="79"/>
    </row>
    <row r="30" spans="1:33" s="86" customFormat="1" ht="33.75" x14ac:dyDescent="0.2">
      <c r="A30" s="259">
        <f>'Bieu CKGN (ko in)'!A25</f>
        <v>1</v>
      </c>
      <c r="B30" s="83" t="str">
        <f>'Bieu CKGN (ko in)'!B25</f>
        <v>Nâng cấp hệ thống nước sinh hoạt thị trấn Mường Tè</v>
      </c>
      <c r="C30" s="112" t="s">
        <v>142</v>
      </c>
      <c r="D30" s="113"/>
      <c r="E30" s="112" t="str">
        <f>'Bieu CKGN (ko in)'!C25</f>
        <v>1626-06/12/2021</v>
      </c>
      <c r="F30" s="84">
        <f>'Bieu CKGN (ko in)'!D25</f>
        <v>14990</v>
      </c>
      <c r="G30" s="84">
        <v>14990</v>
      </c>
      <c r="H30" s="84">
        <v>5548</v>
      </c>
      <c r="I30" s="84">
        <v>5548</v>
      </c>
      <c r="J30" s="85">
        <v>4500</v>
      </c>
      <c r="K30" s="85">
        <v>4456</v>
      </c>
      <c r="L30" s="180">
        <f>2250+188+1950+1160</f>
        <v>5548</v>
      </c>
      <c r="M30" s="162">
        <v>3896</v>
      </c>
      <c r="N30" s="211">
        <f>L30-M30</f>
        <v>1652</v>
      </c>
      <c r="O30" s="85">
        <f t="shared" ref="O30" si="11">L30/I30*100</f>
        <v>100</v>
      </c>
      <c r="P30" s="85">
        <f t="shared" ref="P30" si="12">I30-L30</f>
        <v>0</v>
      </c>
      <c r="Q30" s="85"/>
      <c r="R30" s="85"/>
      <c r="S30" s="98"/>
      <c r="T30" s="155" t="s">
        <v>124</v>
      </c>
      <c r="U30" s="122" t="s">
        <v>292</v>
      </c>
      <c r="W30" s="87"/>
      <c r="AF30" s="79">
        <f>I30-L30</f>
        <v>0</v>
      </c>
      <c r="AG30" s="79">
        <f>J30-M30</f>
        <v>604</v>
      </c>
    </row>
    <row r="31" spans="1:33" ht="18.600000000000001" customHeight="1" x14ac:dyDescent="0.2">
      <c r="A31" s="260" t="str">
        <f>'Bieu CKGN (ko in)'!A26</f>
        <v>B</v>
      </c>
      <c r="B31" s="103" t="str">
        <f>'Bieu CKGN (ko in)'!B26</f>
        <v>Cấp huyện quản lý</v>
      </c>
      <c r="C31" s="313"/>
      <c r="D31" s="313"/>
      <c r="E31" s="112"/>
      <c r="F31" s="104">
        <f>F32+F59+F69+F73</f>
        <v>235423.16800000001</v>
      </c>
      <c r="G31" s="104">
        <f t="shared" ref="G31:M31" si="13">G32+G59+G69+G73</f>
        <v>126629</v>
      </c>
      <c r="H31" s="104">
        <f t="shared" si="13"/>
        <v>97793.453000000009</v>
      </c>
      <c r="I31" s="104">
        <f t="shared" si="13"/>
        <v>42612.103000000003</v>
      </c>
      <c r="J31" s="104">
        <f t="shared" si="13"/>
        <v>147155.24</v>
      </c>
      <c r="K31" s="104">
        <f t="shared" si="13"/>
        <v>27516.865000000002</v>
      </c>
      <c r="L31" s="104">
        <f t="shared" si="13"/>
        <v>42588.900999999998</v>
      </c>
      <c r="M31" s="104">
        <f t="shared" si="13"/>
        <v>36218.403999999995</v>
      </c>
      <c r="N31" s="104">
        <f t="shared" ref="N31:R31" si="14">N32+N59+N69+N74</f>
        <v>0</v>
      </c>
      <c r="O31" s="171">
        <f>L31/I31*100</f>
        <v>99.945550680753769</v>
      </c>
      <c r="P31" s="104">
        <f>P32+P59+P69+P73</f>
        <v>23.201999999999998</v>
      </c>
      <c r="Q31" s="104">
        <f t="shared" si="14"/>
        <v>0</v>
      </c>
      <c r="R31" s="104">
        <f t="shared" si="14"/>
        <v>0</v>
      </c>
      <c r="S31" s="98"/>
      <c r="AF31" s="79"/>
      <c r="AG31" s="79"/>
    </row>
    <row r="32" spans="1:33" ht="16.5" customHeight="1" x14ac:dyDescent="0.2">
      <c r="A32" s="260" t="str">
        <f>'Bieu CKGN (ko in)'!A27</f>
        <v>I</v>
      </c>
      <c r="B32" s="103" t="str">
        <f>'Bieu CKGN (ko in)'!B27</f>
        <v>Cân đối ngân sách cấp huyện</v>
      </c>
      <c r="C32" s="313"/>
      <c r="D32" s="313"/>
      <c r="E32" s="112"/>
      <c r="F32" s="104">
        <f>F33+F40+F44+F53+F54</f>
        <v>142853.228</v>
      </c>
      <c r="G32" s="104">
        <f t="shared" ref="G32:R32" si="15">G33+G40+G44+G53+G54</f>
        <v>79500</v>
      </c>
      <c r="H32" s="104">
        <f t="shared" si="15"/>
        <v>87695.453000000009</v>
      </c>
      <c r="I32" s="104">
        <f t="shared" si="15"/>
        <v>26065</v>
      </c>
      <c r="J32" s="104">
        <f t="shared" si="15"/>
        <v>118850.67000000001</v>
      </c>
      <c r="K32" s="104">
        <f t="shared" si="15"/>
        <v>21679</v>
      </c>
      <c r="L32" s="104">
        <f t="shared" si="15"/>
        <v>26065</v>
      </c>
      <c r="M32" s="104">
        <f t="shared" si="15"/>
        <v>26065</v>
      </c>
      <c r="N32" s="104">
        <f t="shared" si="15"/>
        <v>0</v>
      </c>
      <c r="O32" s="104">
        <f>L32/I32*100</f>
        <v>100</v>
      </c>
      <c r="P32" s="104">
        <f t="shared" si="15"/>
        <v>0</v>
      </c>
      <c r="Q32" s="104">
        <f t="shared" si="15"/>
        <v>0</v>
      </c>
      <c r="R32" s="104">
        <f t="shared" si="15"/>
        <v>0</v>
      </c>
      <c r="S32" s="98"/>
      <c r="V32" s="79">
        <f>I32+I15+I59+I74</f>
        <v>55696.919000000002</v>
      </c>
      <c r="X32" s="79">
        <f>L15+L32+L74</f>
        <v>42523.716999999997</v>
      </c>
      <c r="Y32" s="74">
        <f>X32/V32*100</f>
        <v>76.348418841623882</v>
      </c>
      <c r="AF32" s="79"/>
      <c r="AG32" s="79"/>
    </row>
    <row r="33" spans="1:47" s="95" customFormat="1" ht="13.5" x14ac:dyDescent="0.2">
      <c r="A33" s="262" t="str">
        <f>'Bieu CKGN (ko in)'!A28</f>
        <v>a</v>
      </c>
      <c r="B33" s="118" t="str">
        <f>'Bieu CKGN (ko in)'!B28</f>
        <v>Dự án hoàn thành, đã phê duyệt quyết toán</v>
      </c>
      <c r="C33" s="314"/>
      <c r="D33" s="314"/>
      <c r="E33" s="139"/>
      <c r="F33" s="109">
        <f>SUM(F34:F39)</f>
        <v>55306.228000000003</v>
      </c>
      <c r="G33" s="109">
        <f t="shared" ref="G33:R33" si="16">SUM(G34:G39)</f>
        <v>0</v>
      </c>
      <c r="H33" s="109">
        <f t="shared" si="16"/>
        <v>35844.368000000002</v>
      </c>
      <c r="I33" s="109">
        <f t="shared" si="16"/>
        <v>1942.9150000000002</v>
      </c>
      <c r="J33" s="109">
        <f t="shared" si="16"/>
        <v>44650.084999999999</v>
      </c>
      <c r="K33" s="109">
        <f t="shared" si="16"/>
        <v>0</v>
      </c>
      <c r="L33" s="109">
        <f t="shared" si="16"/>
        <v>1942.9150000000002</v>
      </c>
      <c r="M33" s="109">
        <f t="shared" si="16"/>
        <v>1942.9150000000002</v>
      </c>
      <c r="N33" s="109">
        <f t="shared" si="16"/>
        <v>0</v>
      </c>
      <c r="O33" s="109">
        <f>L33/I33*100</f>
        <v>100</v>
      </c>
      <c r="P33" s="109">
        <f t="shared" si="16"/>
        <v>0</v>
      </c>
      <c r="Q33" s="109">
        <f t="shared" si="16"/>
        <v>0</v>
      </c>
      <c r="R33" s="109">
        <f t="shared" si="16"/>
        <v>0</v>
      </c>
      <c r="S33" s="265"/>
      <c r="T33" s="159"/>
      <c r="AF33" s="79"/>
      <c r="AG33" s="79"/>
    </row>
    <row r="34" spans="1:47" s="76" customFormat="1" ht="33.75" x14ac:dyDescent="0.2">
      <c r="A34" s="259">
        <f>'Bieu CKGN (ko in)'!A29</f>
        <v>1</v>
      </c>
      <c r="B34" s="83" t="str">
        <f>'Bieu CKGN (ko in)'!B29</f>
        <v>Đầu tư xây dựng phòng học các trường MN, TH huyện Mường Tè</v>
      </c>
      <c r="C34" s="315" t="s">
        <v>143</v>
      </c>
      <c r="D34" s="112" t="s">
        <v>157</v>
      </c>
      <c r="E34" s="112" t="str">
        <f>'Bieu CKGN (ko in)'!C29</f>
        <v>566-07/06/2017</v>
      </c>
      <c r="F34" s="84">
        <f>'Bieu CKGN (ko in)'!D29</f>
        <v>30600</v>
      </c>
      <c r="G34" s="84"/>
      <c r="H34" s="84">
        <f>24192+715.722</f>
        <v>24907.722000000002</v>
      </c>
      <c r="I34" s="317">
        <f>'Bieu CKGN (ko in)'!E29</f>
        <v>715.72199999999998</v>
      </c>
      <c r="J34" s="85">
        <v>24907</v>
      </c>
      <c r="K34" s="85"/>
      <c r="L34" s="162">
        <f>I34</f>
        <v>715.72199999999998</v>
      </c>
      <c r="M34" s="162">
        <f t="shared" ref="M34:M37" si="17">L34</f>
        <v>715.72199999999998</v>
      </c>
      <c r="N34" s="85"/>
      <c r="O34" s="85">
        <f t="shared" ref="O34:O52" si="18">L34/I34*100</f>
        <v>100</v>
      </c>
      <c r="P34" s="85">
        <f t="shared" ref="P34:P52" si="19">I34-L34</f>
        <v>0</v>
      </c>
      <c r="Q34" s="85"/>
      <c r="R34" s="85"/>
      <c r="S34" s="98"/>
      <c r="T34" s="155" t="s">
        <v>125</v>
      </c>
      <c r="U34" s="122" t="s">
        <v>292</v>
      </c>
      <c r="V34" s="74"/>
      <c r="W34" s="74"/>
      <c r="X34" s="74"/>
      <c r="Y34" s="74"/>
      <c r="Z34" s="74"/>
      <c r="AE34" s="74"/>
      <c r="AF34" s="79">
        <f t="shared" ref="AF34:AG39" si="20">I34-L34</f>
        <v>0</v>
      </c>
      <c r="AG34" s="79">
        <f t="shared" si="20"/>
        <v>24191.277999999998</v>
      </c>
      <c r="AH34" s="74"/>
      <c r="AI34" s="74"/>
      <c r="AJ34" s="74"/>
      <c r="AK34" s="74"/>
      <c r="AL34" s="74"/>
      <c r="AM34" s="74"/>
      <c r="AN34" s="74"/>
      <c r="AO34" s="74"/>
      <c r="AP34" s="74"/>
      <c r="AQ34" s="74"/>
      <c r="AR34" s="74"/>
      <c r="AS34" s="74"/>
      <c r="AT34" s="74"/>
      <c r="AU34" s="74"/>
    </row>
    <row r="35" spans="1:47" s="77" customFormat="1" ht="33.75" x14ac:dyDescent="0.2">
      <c r="A35" s="259">
        <f>'Bieu CKGN (ko in)'!A30</f>
        <v>2</v>
      </c>
      <c r="B35" s="83" t="str">
        <f>'Bieu CKGN (ko in)'!B30</f>
        <v>Nước sinh hoạt điểm ĐCĐC Xé Ma xã Tà Tổng</v>
      </c>
      <c r="C35" s="315" t="s">
        <v>137</v>
      </c>
      <c r="D35" s="113"/>
      <c r="E35" s="112" t="str">
        <f>'Bieu CKGN (ko in)'!C30</f>
        <v>2174-30/10/2014</v>
      </c>
      <c r="F35" s="84">
        <f>'Bieu CKGN (ko in)'!D30</f>
        <v>970</v>
      </c>
      <c r="G35" s="84"/>
      <c r="H35" s="84"/>
      <c r="I35" s="317">
        <f>'Bieu CKGN (ko in)'!E30</f>
        <v>140.53700000000001</v>
      </c>
      <c r="J35" s="85">
        <v>951.07500000000005</v>
      </c>
      <c r="K35" s="85"/>
      <c r="L35" s="162">
        <v>140.53700000000001</v>
      </c>
      <c r="M35" s="162">
        <f t="shared" si="17"/>
        <v>140.53700000000001</v>
      </c>
      <c r="N35" s="85"/>
      <c r="O35" s="85">
        <f t="shared" si="18"/>
        <v>100</v>
      </c>
      <c r="P35" s="85">
        <f t="shared" si="19"/>
        <v>0</v>
      </c>
      <c r="Q35" s="85"/>
      <c r="R35" s="85"/>
      <c r="S35" s="98"/>
      <c r="T35" s="155" t="s">
        <v>125</v>
      </c>
      <c r="U35" s="122" t="s">
        <v>292</v>
      </c>
      <c r="V35" s="74"/>
      <c r="W35" s="74"/>
      <c r="X35" s="74"/>
      <c r="Y35" s="74"/>
      <c r="Z35" s="74"/>
      <c r="AE35" s="74"/>
      <c r="AF35" s="79">
        <f t="shared" si="20"/>
        <v>0</v>
      </c>
      <c r="AG35" s="79">
        <f t="shared" si="20"/>
        <v>810.53800000000001</v>
      </c>
      <c r="AH35" s="74"/>
      <c r="AI35" s="74"/>
      <c r="AJ35" s="74"/>
      <c r="AK35" s="74"/>
      <c r="AL35" s="74"/>
      <c r="AM35" s="74"/>
      <c r="AN35" s="74"/>
      <c r="AO35" s="74"/>
      <c r="AP35" s="74"/>
      <c r="AQ35" s="74"/>
      <c r="AR35" s="74"/>
      <c r="AS35" s="74"/>
      <c r="AT35" s="74"/>
      <c r="AU35" s="74"/>
    </row>
    <row r="36" spans="1:47" s="77" customFormat="1" ht="33.75" x14ac:dyDescent="0.2">
      <c r="A36" s="259">
        <f>'Bieu CKGN (ko in)'!A31</f>
        <v>3</v>
      </c>
      <c r="B36" s="83" t="str">
        <f>'Bieu CKGN (ko in)'!B31</f>
        <v>Đầu tư 12 phòng học các trường MN huyện Mường Tè</v>
      </c>
      <c r="C36" s="315" t="s">
        <v>143</v>
      </c>
      <c r="D36" s="112" t="s">
        <v>158</v>
      </c>
      <c r="E36" s="112" t="str">
        <f>'Bieu CKGN (ko in)'!C31</f>
        <v>1322-27/10/2017</v>
      </c>
      <c r="F36" s="84">
        <f>'Bieu CKGN (ko in)'!D31</f>
        <v>12500</v>
      </c>
      <c r="G36" s="84"/>
      <c r="H36" s="84"/>
      <c r="I36" s="317">
        <f>'Bieu CKGN (ko in)'!E31</f>
        <v>608.01</v>
      </c>
      <c r="J36" s="85">
        <v>9873.01</v>
      </c>
      <c r="K36" s="85"/>
      <c r="L36" s="162">
        <f>M36</f>
        <v>608.01</v>
      </c>
      <c r="M36" s="162">
        <v>608.01</v>
      </c>
      <c r="N36" s="85"/>
      <c r="O36" s="85">
        <f t="shared" si="18"/>
        <v>100</v>
      </c>
      <c r="P36" s="85">
        <f t="shared" si="19"/>
        <v>0</v>
      </c>
      <c r="Q36" s="161"/>
      <c r="R36" s="85"/>
      <c r="S36" s="98"/>
      <c r="T36" s="155" t="s">
        <v>125</v>
      </c>
      <c r="U36" s="122" t="s">
        <v>292</v>
      </c>
      <c r="V36" s="74"/>
      <c r="W36" s="74"/>
      <c r="X36" s="74"/>
      <c r="Y36" s="74"/>
      <c r="Z36" s="74"/>
      <c r="AE36" s="74"/>
      <c r="AF36" s="79">
        <f t="shared" si="20"/>
        <v>0</v>
      </c>
      <c r="AG36" s="79">
        <f t="shared" si="20"/>
        <v>9265</v>
      </c>
      <c r="AH36" s="74"/>
      <c r="AI36" s="74"/>
      <c r="AJ36" s="74"/>
      <c r="AK36" s="74"/>
      <c r="AL36" s="74"/>
      <c r="AM36" s="74"/>
      <c r="AN36" s="74"/>
      <c r="AO36" s="74"/>
      <c r="AP36" s="74"/>
      <c r="AQ36" s="74"/>
      <c r="AR36" s="74"/>
      <c r="AS36" s="74"/>
      <c r="AT36" s="74"/>
      <c r="AU36" s="74"/>
    </row>
    <row r="37" spans="1:47" s="77" customFormat="1" ht="38.25" x14ac:dyDescent="0.2">
      <c r="A37" s="259">
        <f>'Bieu CKGN (ko in)'!A32</f>
        <v>4</v>
      </c>
      <c r="B37" s="83" t="str">
        <f>'Bieu CKGN (ko in)'!B32</f>
        <v>Cấp điện sinh hoạt cho nhân dân tại các điểm sắp xếp dân cư bị ảnh hưởng do mưa lũ năm 2018, huyện Mường Tè</v>
      </c>
      <c r="C37" s="315" t="s">
        <v>143</v>
      </c>
      <c r="D37" s="113"/>
      <c r="E37" s="112" t="str">
        <f>'Bieu CKGN (ko in)'!C32</f>
        <v>214-28/02/2019</v>
      </c>
      <c r="F37" s="84">
        <f>'Bieu CKGN (ko in)'!D32</f>
        <v>2236.2280000000001</v>
      </c>
      <c r="G37" s="84"/>
      <c r="H37" s="84">
        <f>2000+169.015</f>
        <v>2169.0149999999999</v>
      </c>
      <c r="I37" s="317">
        <v>169.01499999999999</v>
      </c>
      <c r="J37" s="321">
        <v>2169</v>
      </c>
      <c r="K37" s="85"/>
      <c r="L37" s="162">
        <v>169.01499999999999</v>
      </c>
      <c r="M37" s="162">
        <f t="shared" si="17"/>
        <v>169.01499999999999</v>
      </c>
      <c r="N37" s="85"/>
      <c r="O37" s="85">
        <f t="shared" si="18"/>
        <v>100</v>
      </c>
      <c r="P37" s="85">
        <f t="shared" si="19"/>
        <v>0</v>
      </c>
      <c r="Q37" s="85"/>
      <c r="R37" s="85"/>
      <c r="S37" s="343"/>
      <c r="T37" s="155" t="s">
        <v>125</v>
      </c>
      <c r="U37" s="122" t="s">
        <v>292</v>
      </c>
      <c r="V37" s="79">
        <f>I37-M37</f>
        <v>0</v>
      </c>
      <c r="W37" s="74"/>
      <c r="X37" s="74"/>
      <c r="Y37" s="74"/>
      <c r="Z37" s="74"/>
      <c r="AE37" s="74"/>
      <c r="AF37" s="79">
        <f t="shared" si="20"/>
        <v>0</v>
      </c>
      <c r="AG37" s="79">
        <f t="shared" si="20"/>
        <v>1999.9850000000001</v>
      </c>
      <c r="AH37" s="74"/>
      <c r="AI37" s="74"/>
      <c r="AJ37" s="74"/>
      <c r="AK37" s="74"/>
      <c r="AL37" s="74"/>
      <c r="AM37" s="74"/>
      <c r="AN37" s="74"/>
      <c r="AO37" s="74"/>
      <c r="AP37" s="74"/>
      <c r="AQ37" s="74"/>
      <c r="AR37" s="74"/>
      <c r="AS37" s="74"/>
      <c r="AT37" s="74"/>
      <c r="AU37" s="74"/>
    </row>
    <row r="38" spans="1:47" s="77" customFormat="1" ht="33.75" x14ac:dyDescent="0.2">
      <c r="A38" s="259">
        <f>'Bieu CKGN (ko in)'!A33</f>
        <v>5</v>
      </c>
      <c r="B38" s="83" t="str">
        <f>'Bieu CKGN (ko in)'!B33</f>
        <v>Nhà văn hóa bản Nậm Củm 1 xã Mường Tè</v>
      </c>
      <c r="C38" s="315" t="s">
        <v>139</v>
      </c>
      <c r="D38" s="113"/>
      <c r="E38" s="112" t="str">
        <f>'Bieu CKGN (ko in)'!C33</f>
        <v>1931-28/08/2015</v>
      </c>
      <c r="F38" s="84">
        <f>'Bieu CKGN (ko in)'!D33</f>
        <v>2500</v>
      </c>
      <c r="G38" s="84"/>
      <c r="H38" s="84">
        <f>2143+246.25</f>
        <v>2389.25</v>
      </c>
      <c r="I38" s="317">
        <f>'Bieu CKGN (ko in)'!E33</f>
        <v>246.25</v>
      </c>
      <c r="J38" s="322">
        <v>964</v>
      </c>
      <c r="K38" s="85"/>
      <c r="L38" s="162">
        <v>246.25</v>
      </c>
      <c r="M38" s="162">
        <v>246.25</v>
      </c>
      <c r="N38" s="85"/>
      <c r="O38" s="85">
        <f t="shared" si="18"/>
        <v>100</v>
      </c>
      <c r="P38" s="85">
        <f t="shared" si="19"/>
        <v>0</v>
      </c>
      <c r="Q38" s="162"/>
      <c r="R38" s="85"/>
      <c r="S38" s="98"/>
      <c r="T38" s="155" t="s">
        <v>125</v>
      </c>
      <c r="U38" s="122" t="s">
        <v>292</v>
      </c>
      <c r="V38" s="74"/>
      <c r="W38" s="74"/>
      <c r="X38" s="74"/>
      <c r="Y38" s="74"/>
      <c r="Z38" s="125"/>
      <c r="AE38" s="74"/>
      <c r="AF38" s="79">
        <f t="shared" si="20"/>
        <v>0</v>
      </c>
      <c r="AG38" s="79">
        <f t="shared" si="20"/>
        <v>717.75</v>
      </c>
      <c r="AH38" s="74"/>
      <c r="AI38" s="74"/>
      <c r="AJ38" s="74"/>
      <c r="AK38" s="74"/>
      <c r="AL38" s="74"/>
      <c r="AM38" s="74"/>
      <c r="AN38" s="74"/>
      <c r="AO38" s="74"/>
      <c r="AP38" s="74"/>
      <c r="AQ38" s="74"/>
      <c r="AR38" s="74"/>
      <c r="AS38" s="74"/>
      <c r="AT38" s="74"/>
      <c r="AU38" s="74"/>
    </row>
    <row r="39" spans="1:47" s="76" customFormat="1" ht="33.75" x14ac:dyDescent="0.2">
      <c r="A39" s="259">
        <v>6</v>
      </c>
      <c r="B39" s="83" t="s">
        <v>43</v>
      </c>
      <c r="C39" s="315" t="s">
        <v>144</v>
      </c>
      <c r="D39" s="113"/>
      <c r="E39" s="112" t="s">
        <v>45</v>
      </c>
      <c r="F39" s="84">
        <v>6500</v>
      </c>
      <c r="G39" s="84"/>
      <c r="H39" s="84">
        <f>6315+63.381</f>
        <v>6378.3810000000003</v>
      </c>
      <c r="I39" s="317">
        <v>63.381</v>
      </c>
      <c r="J39" s="322">
        <v>5786</v>
      </c>
      <c r="K39" s="85"/>
      <c r="L39" s="162">
        <v>63.381</v>
      </c>
      <c r="M39" s="162">
        <v>63.381</v>
      </c>
      <c r="N39" s="85"/>
      <c r="O39" s="85">
        <f t="shared" si="18"/>
        <v>100</v>
      </c>
      <c r="P39" s="85">
        <f t="shared" si="19"/>
        <v>0</v>
      </c>
      <c r="Q39" s="162"/>
      <c r="R39" s="85"/>
      <c r="S39" s="98"/>
      <c r="T39" s="155" t="s">
        <v>125</v>
      </c>
      <c r="U39" s="122" t="s">
        <v>292</v>
      </c>
      <c r="V39" s="74"/>
      <c r="W39" s="74"/>
      <c r="X39" s="74"/>
      <c r="Y39" s="74"/>
      <c r="Z39" s="125"/>
      <c r="AE39" s="74"/>
      <c r="AF39" s="79">
        <f t="shared" si="20"/>
        <v>0</v>
      </c>
      <c r="AG39" s="79">
        <f t="shared" si="20"/>
        <v>5722.6189999999997</v>
      </c>
      <c r="AH39" s="74"/>
      <c r="AI39" s="74"/>
      <c r="AJ39" s="74"/>
      <c r="AK39" s="74"/>
      <c r="AL39" s="74"/>
      <c r="AM39" s="74"/>
      <c r="AN39" s="74"/>
      <c r="AO39" s="74"/>
      <c r="AP39" s="74"/>
      <c r="AQ39" s="74"/>
      <c r="AR39" s="74"/>
      <c r="AS39" s="74"/>
      <c r="AT39" s="74"/>
      <c r="AU39" s="74"/>
    </row>
    <row r="40" spans="1:47" s="116" customFormat="1" ht="27" x14ac:dyDescent="0.2">
      <c r="A40" s="262" t="s">
        <v>30</v>
      </c>
      <c r="B40" s="118" t="str">
        <f>'Bieu CKGN (ko in)'!B35</f>
        <v>Dự án hoàn thành bàn giao, đưa vào sử dụng trước ngày 31/12/2021</v>
      </c>
      <c r="C40" s="314"/>
      <c r="D40" s="314"/>
      <c r="E40" s="139"/>
      <c r="F40" s="109">
        <f>SUM(F41:F43)</f>
        <v>20747</v>
      </c>
      <c r="G40" s="109">
        <f t="shared" ref="G40:R40" si="21">SUM(G41:G43)</f>
        <v>12700</v>
      </c>
      <c r="H40" s="109">
        <f t="shared" si="21"/>
        <v>19861.084999999999</v>
      </c>
      <c r="I40" s="109">
        <f t="shared" si="21"/>
        <v>3782.085</v>
      </c>
      <c r="J40" s="109">
        <f t="shared" si="21"/>
        <v>20138</v>
      </c>
      <c r="K40" s="109">
        <f t="shared" si="21"/>
        <v>0</v>
      </c>
      <c r="L40" s="173">
        <f t="shared" si="21"/>
        <v>3782.085</v>
      </c>
      <c r="M40" s="173">
        <f t="shared" si="21"/>
        <v>3782.085</v>
      </c>
      <c r="N40" s="109">
        <f t="shared" si="21"/>
        <v>0</v>
      </c>
      <c r="O40" s="109">
        <f>L40/I40*100</f>
        <v>100</v>
      </c>
      <c r="P40" s="109">
        <f t="shared" si="21"/>
        <v>0</v>
      </c>
      <c r="Q40" s="109">
        <f t="shared" si="21"/>
        <v>0</v>
      </c>
      <c r="R40" s="109">
        <f t="shared" si="21"/>
        <v>0</v>
      </c>
      <c r="S40" s="265"/>
      <c r="T40" s="159"/>
      <c r="U40" s="95"/>
      <c r="V40" s="95"/>
      <c r="W40" s="95"/>
      <c r="X40" s="95"/>
      <c r="Y40" s="95"/>
      <c r="Z40" s="95"/>
      <c r="AE40" s="95"/>
      <c r="AF40" s="79"/>
      <c r="AG40" s="79"/>
      <c r="AH40" s="95"/>
      <c r="AI40" s="95"/>
      <c r="AJ40" s="95"/>
      <c r="AK40" s="95"/>
      <c r="AL40" s="95"/>
      <c r="AM40" s="95"/>
      <c r="AN40" s="95"/>
      <c r="AO40" s="95"/>
      <c r="AP40" s="95"/>
      <c r="AQ40" s="95"/>
      <c r="AR40" s="95"/>
      <c r="AS40" s="95"/>
      <c r="AT40" s="95"/>
      <c r="AU40" s="95"/>
    </row>
    <row r="41" spans="1:47" s="77" customFormat="1" ht="25.5" x14ac:dyDescent="0.2">
      <c r="A41" s="259">
        <f>'Bieu CKGN (ko in)'!A36</f>
        <v>1</v>
      </c>
      <c r="B41" s="83" t="str">
        <f>'Bieu CKGN (ko in)'!B36</f>
        <v>Mặt bằng hạ tầng kỹ thuật điểm ĐCĐC  Là Si, xã Tá Bạ</v>
      </c>
      <c r="C41" s="315" t="s">
        <v>145</v>
      </c>
      <c r="D41" s="113"/>
      <c r="E41" s="112" t="str">
        <f>'Bieu CKGN (ko in)'!C36</f>
        <v>2048-31/10/18</v>
      </c>
      <c r="F41" s="84">
        <f>'Bieu CKGN (ko in)'!D36</f>
        <v>6997</v>
      </c>
      <c r="G41" s="84">
        <v>5700</v>
      </c>
      <c r="H41" s="84">
        <f>5800+682.085</f>
        <v>6482.085</v>
      </c>
      <c r="I41" s="317">
        <v>682.08500000000004</v>
      </c>
      <c r="J41" s="323">
        <v>6650</v>
      </c>
      <c r="K41" s="85"/>
      <c r="L41" s="162">
        <v>682.08500000000004</v>
      </c>
      <c r="M41" s="162">
        <f>L41</f>
        <v>682.08500000000004</v>
      </c>
      <c r="N41" s="85"/>
      <c r="O41" s="85">
        <f t="shared" si="18"/>
        <v>100</v>
      </c>
      <c r="P41" s="85">
        <f t="shared" si="19"/>
        <v>0</v>
      </c>
      <c r="Q41" s="85"/>
      <c r="R41" s="85"/>
      <c r="S41" s="98"/>
      <c r="T41" s="155" t="s">
        <v>126</v>
      </c>
      <c r="U41" s="122" t="s">
        <v>292</v>
      </c>
      <c r="V41" s="74"/>
      <c r="W41" s="74"/>
      <c r="X41" s="74"/>
      <c r="Y41" s="74"/>
      <c r="Z41" s="74">
        <f>1000</f>
        <v>1000</v>
      </c>
      <c r="AA41" s="77">
        <f>Y41+Z41</f>
        <v>1000</v>
      </c>
      <c r="AE41" s="74"/>
      <c r="AF41" s="79">
        <f t="shared" ref="AF41:AG43" si="22">I41-L41</f>
        <v>0</v>
      </c>
      <c r="AG41" s="79">
        <f t="shared" si="22"/>
        <v>5967.915</v>
      </c>
      <c r="AH41" s="74"/>
      <c r="AI41" s="74"/>
      <c r="AJ41" s="74"/>
      <c r="AK41" s="74"/>
      <c r="AL41" s="74"/>
      <c r="AM41" s="74"/>
      <c r="AN41" s="74"/>
      <c r="AO41" s="74"/>
      <c r="AP41" s="74"/>
      <c r="AQ41" s="74"/>
      <c r="AR41" s="74"/>
      <c r="AS41" s="74"/>
      <c r="AT41" s="74"/>
      <c r="AU41" s="74"/>
    </row>
    <row r="42" spans="1:47" s="77" customFormat="1" ht="25.5" x14ac:dyDescent="0.2">
      <c r="A42" s="259">
        <f>'Bieu CKGN (ko in)'!A37</f>
        <v>2</v>
      </c>
      <c r="B42" s="83" t="str">
        <f>'Bieu CKGN (ko in)'!B37</f>
        <v>Xây dựng phòng họp Huyện ủy, huyện Mường Tè</v>
      </c>
      <c r="C42" s="315" t="s">
        <v>140</v>
      </c>
      <c r="D42" s="112" t="s">
        <v>159</v>
      </c>
      <c r="E42" s="112" t="str">
        <f>'Bieu CKGN (ko in)'!C37</f>
        <v>2824-18/10/19</v>
      </c>
      <c r="F42" s="84">
        <f>'Bieu CKGN (ko in)'!D37</f>
        <v>6800</v>
      </c>
      <c r="G42" s="84">
        <v>4300</v>
      </c>
      <c r="H42" s="84">
        <f>4925+1710</f>
        <v>6635</v>
      </c>
      <c r="I42" s="317">
        <v>1710</v>
      </c>
      <c r="J42" s="323">
        <v>6788</v>
      </c>
      <c r="K42" s="85"/>
      <c r="L42" s="317">
        <v>1710</v>
      </c>
      <c r="M42" s="180">
        <v>1710</v>
      </c>
      <c r="N42" s="324"/>
      <c r="O42" s="85">
        <f t="shared" si="18"/>
        <v>100</v>
      </c>
      <c r="P42" s="85">
        <f t="shared" si="19"/>
        <v>0</v>
      </c>
      <c r="Q42" s="85"/>
      <c r="R42" s="85"/>
      <c r="S42" s="98"/>
      <c r="T42" s="155" t="s">
        <v>126</v>
      </c>
      <c r="U42" s="122" t="s">
        <v>292</v>
      </c>
      <c r="V42" s="74"/>
      <c r="W42" s="74"/>
      <c r="X42" s="74"/>
      <c r="Y42" s="74"/>
      <c r="Z42" s="74"/>
      <c r="AE42" s="74"/>
      <c r="AF42" s="79">
        <f t="shared" si="22"/>
        <v>0</v>
      </c>
      <c r="AG42" s="79">
        <f t="shared" si="22"/>
        <v>5078</v>
      </c>
      <c r="AH42" s="74"/>
      <c r="AI42" s="74"/>
      <c r="AJ42" s="74"/>
      <c r="AK42" s="74"/>
      <c r="AL42" s="74"/>
      <c r="AM42" s="74"/>
      <c r="AN42" s="74"/>
      <c r="AO42" s="74"/>
      <c r="AP42" s="74"/>
      <c r="AQ42" s="74"/>
      <c r="AR42" s="74"/>
      <c r="AS42" s="74"/>
      <c r="AT42" s="74"/>
      <c r="AU42" s="74"/>
    </row>
    <row r="43" spans="1:47" s="77" customFormat="1" ht="25.5" x14ac:dyDescent="0.2">
      <c r="A43" s="259">
        <f>'Bieu CKGN (ko in)'!A38</f>
        <v>3</v>
      </c>
      <c r="B43" s="83" t="str">
        <f>'Bieu CKGN (ko in)'!B38</f>
        <v>Sắp xếp dân cư vùng thiên tai bản Pa Thoóng trên với bản Đầu Nậm Xả</v>
      </c>
      <c r="C43" s="315" t="s">
        <v>146</v>
      </c>
      <c r="D43" s="112" t="s">
        <v>159</v>
      </c>
      <c r="E43" s="112" t="str">
        <f>'Bieu CKGN (ko in)'!C38</f>
        <v>2946a/31.10.19</v>
      </c>
      <c r="F43" s="84">
        <f>'Bieu CKGN (ko in)'!D38</f>
        <v>6950</v>
      </c>
      <c r="G43" s="84">
        <v>2700</v>
      </c>
      <c r="H43" s="84">
        <f>5354+1390</f>
        <v>6744</v>
      </c>
      <c r="I43" s="317">
        <v>1390</v>
      </c>
      <c r="J43" s="322">
        <v>6700</v>
      </c>
      <c r="K43" s="85"/>
      <c r="L43" s="162">
        <v>1390</v>
      </c>
      <c r="M43" s="162">
        <f>L43</f>
        <v>1390</v>
      </c>
      <c r="N43" s="85"/>
      <c r="O43" s="85">
        <f t="shared" si="18"/>
        <v>100</v>
      </c>
      <c r="P43" s="85">
        <f t="shared" si="19"/>
        <v>0</v>
      </c>
      <c r="Q43" s="85"/>
      <c r="R43" s="85"/>
      <c r="S43" s="98"/>
      <c r="T43" s="155" t="s">
        <v>126</v>
      </c>
      <c r="U43" s="122" t="s">
        <v>292</v>
      </c>
      <c r="V43" s="74"/>
      <c r="W43" s="74"/>
      <c r="X43" s="74"/>
      <c r="Y43" s="74"/>
      <c r="Z43" s="74"/>
      <c r="AE43" s="74"/>
      <c r="AF43" s="79">
        <f t="shared" si="22"/>
        <v>0</v>
      </c>
      <c r="AG43" s="79">
        <f t="shared" si="22"/>
        <v>5310</v>
      </c>
      <c r="AH43" s="74"/>
      <c r="AI43" s="74"/>
      <c r="AJ43" s="74"/>
      <c r="AK43" s="74"/>
      <c r="AL43" s="74"/>
      <c r="AM43" s="74"/>
      <c r="AN43" s="74"/>
      <c r="AO43" s="74"/>
      <c r="AP43" s="74"/>
      <c r="AQ43" s="74"/>
      <c r="AR43" s="74"/>
      <c r="AS43" s="74"/>
      <c r="AT43" s="74"/>
      <c r="AU43" s="74"/>
    </row>
    <row r="44" spans="1:47" s="117" customFormat="1" ht="18" customHeight="1" x14ac:dyDescent="0.2">
      <c r="A44" s="262" t="s">
        <v>32</v>
      </c>
      <c r="B44" s="118" t="str">
        <f>'Bieu CKGN (ko in)'!B39</f>
        <v>Dự án dự kiến hoàn thành năm 2022</v>
      </c>
      <c r="C44" s="314"/>
      <c r="D44" s="314"/>
      <c r="E44" s="119"/>
      <c r="F44" s="109">
        <f>SUM(F45:F52)</f>
        <v>31350</v>
      </c>
      <c r="G44" s="109">
        <f t="shared" ref="G44:R44" si="23">SUM(G45:G52)</f>
        <v>31350</v>
      </c>
      <c r="H44" s="109">
        <f t="shared" si="23"/>
        <v>25290</v>
      </c>
      <c r="I44" s="109">
        <f t="shared" si="23"/>
        <v>13640</v>
      </c>
      <c r="J44" s="109">
        <f t="shared" si="23"/>
        <v>30658.495999999999</v>
      </c>
      <c r="K44" s="109">
        <f t="shared" si="23"/>
        <v>0</v>
      </c>
      <c r="L44" s="325">
        <f t="shared" si="23"/>
        <v>13640</v>
      </c>
      <c r="M44" s="325">
        <f t="shared" si="23"/>
        <v>13640</v>
      </c>
      <c r="N44" s="109">
        <f t="shared" si="23"/>
        <v>0</v>
      </c>
      <c r="O44" s="109">
        <f>L44/I44*100</f>
        <v>100</v>
      </c>
      <c r="P44" s="109">
        <f t="shared" si="23"/>
        <v>0</v>
      </c>
      <c r="Q44" s="109">
        <f t="shared" si="23"/>
        <v>0</v>
      </c>
      <c r="R44" s="109">
        <f t="shared" si="23"/>
        <v>0</v>
      </c>
      <c r="S44" s="265"/>
      <c r="T44" s="159"/>
      <c r="U44" s="95"/>
      <c r="V44" s="95"/>
      <c r="W44" s="95"/>
      <c r="X44" s="95"/>
      <c r="Y44" s="95"/>
      <c r="Z44" s="95"/>
      <c r="AE44" s="95"/>
      <c r="AF44" s="79"/>
      <c r="AG44" s="79"/>
      <c r="AH44" s="95"/>
      <c r="AI44" s="95"/>
      <c r="AJ44" s="95"/>
      <c r="AK44" s="95"/>
      <c r="AL44" s="95"/>
      <c r="AM44" s="95"/>
      <c r="AN44" s="95"/>
      <c r="AO44" s="95"/>
      <c r="AP44" s="95"/>
      <c r="AQ44" s="95"/>
      <c r="AR44" s="95"/>
      <c r="AS44" s="95"/>
      <c r="AT44" s="95"/>
      <c r="AU44" s="95"/>
    </row>
    <row r="45" spans="1:47" ht="33.75" x14ac:dyDescent="0.2">
      <c r="A45" s="259">
        <f>'Bieu CKGN (ko in)'!A40</f>
        <v>1</v>
      </c>
      <c r="B45" s="83" t="str">
        <f>'Bieu CKGN (ko in)'!B40</f>
        <v>Xây dựng bổ sung trường PTDTBT TH, THCS xã Can Hồ</v>
      </c>
      <c r="C45" s="315" t="s">
        <v>147</v>
      </c>
      <c r="D45" s="112" t="s">
        <v>160</v>
      </c>
      <c r="E45" s="112" t="str">
        <f>'Bieu CKGN (ko in)'!C40</f>
        <v>3557-31/12/2020</v>
      </c>
      <c r="F45" s="84">
        <f>'Bieu CKGN (ko in)'!D40</f>
        <v>6000</v>
      </c>
      <c r="G45" s="84">
        <v>6000</v>
      </c>
      <c r="H45" s="84">
        <f>2000+2850</f>
        <v>4850</v>
      </c>
      <c r="I45" s="317">
        <f>'Bieu CKGN (ko in)'!E40</f>
        <v>2850</v>
      </c>
      <c r="J45" s="85">
        <f>5912.496+68</f>
        <v>5980.4960000000001</v>
      </c>
      <c r="K45" s="85"/>
      <c r="L45" s="162">
        <v>2850</v>
      </c>
      <c r="M45" s="162">
        <f t="shared" ref="M45:M52" si="24">L45</f>
        <v>2850</v>
      </c>
      <c r="N45" s="85"/>
      <c r="O45" s="85">
        <f t="shared" si="18"/>
        <v>100</v>
      </c>
      <c r="P45" s="85">
        <f t="shared" si="19"/>
        <v>0</v>
      </c>
      <c r="Q45" s="85"/>
      <c r="R45" s="85"/>
      <c r="S45" s="98"/>
      <c r="T45" s="155" t="s">
        <v>127</v>
      </c>
      <c r="U45" s="122" t="s">
        <v>292</v>
      </c>
      <c r="AF45" s="79">
        <f t="shared" ref="AF45:AF53" si="25">I45-L45</f>
        <v>0</v>
      </c>
      <c r="AG45" s="79">
        <f t="shared" ref="AG45:AG53" si="26">J45-M45</f>
        <v>3130.4960000000001</v>
      </c>
    </row>
    <row r="46" spans="1:47" ht="33.75" x14ac:dyDescent="0.2">
      <c r="A46" s="259">
        <f>'Bieu CKGN (ko in)'!A41</f>
        <v>2</v>
      </c>
      <c r="B46" s="83" t="str">
        <f>'Bieu CKGN (ko in)'!B41</f>
        <v>Nhà hiệu bộ, phòng học chức năng trường THCS Thu Lũm</v>
      </c>
      <c r="C46" s="315" t="s">
        <v>144</v>
      </c>
      <c r="D46" s="112" t="s">
        <v>160</v>
      </c>
      <c r="E46" s="112" t="str">
        <f>'Bieu CKGN (ko in)'!C41</f>
        <v>3559-31/12/2020</v>
      </c>
      <c r="F46" s="84">
        <f>'Bieu CKGN (ko in)'!D41</f>
        <v>6500</v>
      </c>
      <c r="G46" s="84">
        <v>6500</v>
      </c>
      <c r="H46" s="84">
        <f>2150+3050</f>
        <v>5200</v>
      </c>
      <c r="I46" s="317">
        <f>'Bieu CKGN (ko in)'!E41</f>
        <v>3050</v>
      </c>
      <c r="J46" s="85">
        <v>6497</v>
      </c>
      <c r="K46" s="85"/>
      <c r="L46" s="162">
        <f>2799.559+250.441</f>
        <v>3050</v>
      </c>
      <c r="M46" s="162">
        <f t="shared" si="24"/>
        <v>3050</v>
      </c>
      <c r="N46" s="85"/>
      <c r="O46" s="85">
        <f t="shared" si="18"/>
        <v>100</v>
      </c>
      <c r="P46" s="85">
        <f t="shared" si="19"/>
        <v>0</v>
      </c>
      <c r="Q46" s="85"/>
      <c r="R46" s="85"/>
      <c r="S46" s="98"/>
      <c r="T46" s="155" t="s">
        <v>127</v>
      </c>
      <c r="U46" s="122" t="s">
        <v>292</v>
      </c>
      <c r="V46" s="81"/>
      <c r="AF46" s="79">
        <f t="shared" si="25"/>
        <v>0</v>
      </c>
      <c r="AG46" s="79">
        <f t="shared" si="26"/>
        <v>3447</v>
      </c>
    </row>
    <row r="47" spans="1:47" ht="33.75" x14ac:dyDescent="0.2">
      <c r="A47" s="259">
        <f>'Bieu CKGN (ko in)'!A42</f>
        <v>3</v>
      </c>
      <c r="B47" s="83" t="str">
        <f>'Bieu CKGN (ko in)'!B42</f>
        <v>Phòng học chức năng trường TH, THCS Bum Nưa</v>
      </c>
      <c r="C47" s="315" t="s">
        <v>148</v>
      </c>
      <c r="D47" s="112" t="s">
        <v>160</v>
      </c>
      <c r="E47" s="112" t="str">
        <f>'Bieu CKGN (ko in)'!C42</f>
        <v>3558-31/12/2020</v>
      </c>
      <c r="F47" s="84">
        <f>'Bieu CKGN (ko in)'!D42</f>
        <v>4200</v>
      </c>
      <c r="G47" s="84">
        <v>4200</v>
      </c>
      <c r="H47" s="84">
        <f>1500+1860</f>
        <v>3360</v>
      </c>
      <c r="I47" s="317">
        <f>'Bieu CKGN (ko in)'!E42</f>
        <v>1860</v>
      </c>
      <c r="J47" s="85">
        <v>4196</v>
      </c>
      <c r="K47" s="85"/>
      <c r="L47" s="162">
        <f>1752.779+107.221</f>
        <v>1860</v>
      </c>
      <c r="M47" s="162">
        <f t="shared" si="24"/>
        <v>1860</v>
      </c>
      <c r="N47" s="85"/>
      <c r="O47" s="85">
        <f t="shared" si="18"/>
        <v>100</v>
      </c>
      <c r="P47" s="85">
        <f t="shared" si="19"/>
        <v>0</v>
      </c>
      <c r="Q47" s="85"/>
      <c r="R47" s="85"/>
      <c r="S47" s="98"/>
      <c r="T47" s="155" t="s">
        <v>127</v>
      </c>
      <c r="U47" s="122" t="s">
        <v>292</v>
      </c>
      <c r="V47" s="81"/>
      <c r="AF47" s="79">
        <f t="shared" si="25"/>
        <v>0</v>
      </c>
      <c r="AG47" s="79">
        <f t="shared" si="26"/>
        <v>2336</v>
      </c>
    </row>
    <row r="48" spans="1:47" ht="33.75" x14ac:dyDescent="0.2">
      <c r="A48" s="259">
        <f>'Bieu CKGN (ko in)'!A43</f>
        <v>4</v>
      </c>
      <c r="B48" s="83" t="str">
        <f>'Bieu CKGN (ko in)'!B43</f>
        <v>Sửa chữa nhà lớp học, nhà bán trú và các HMPT trường THCS xã Mù Cả</v>
      </c>
      <c r="C48" s="112" t="s">
        <v>149</v>
      </c>
      <c r="D48" s="112" t="s">
        <v>160</v>
      </c>
      <c r="E48" s="112" t="str">
        <f>'Bieu CKGN (ko in)'!C43</f>
        <v>3561-31/12/2020</v>
      </c>
      <c r="F48" s="84">
        <f>'Bieu CKGN (ko in)'!D43</f>
        <v>2050</v>
      </c>
      <c r="G48" s="84">
        <v>2050</v>
      </c>
      <c r="H48" s="84">
        <f>1000+660</f>
        <v>1660</v>
      </c>
      <c r="I48" s="317">
        <f>'Bieu CKGN (ko in)'!E43</f>
        <v>660</v>
      </c>
      <c r="J48" s="85">
        <v>1800</v>
      </c>
      <c r="K48" s="85"/>
      <c r="L48" s="162">
        <v>660</v>
      </c>
      <c r="M48" s="162">
        <f t="shared" si="24"/>
        <v>660</v>
      </c>
      <c r="N48" s="85"/>
      <c r="O48" s="85">
        <f t="shared" si="18"/>
        <v>100</v>
      </c>
      <c r="P48" s="85">
        <f t="shared" si="19"/>
        <v>0</v>
      </c>
      <c r="Q48" s="85"/>
      <c r="R48" s="85"/>
      <c r="S48" s="98"/>
      <c r="T48" s="155" t="s">
        <v>127</v>
      </c>
      <c r="U48" s="164" t="s">
        <v>413</v>
      </c>
      <c r="AF48" s="79">
        <f t="shared" si="25"/>
        <v>0</v>
      </c>
      <c r="AG48" s="79">
        <f t="shared" si="26"/>
        <v>1140</v>
      </c>
    </row>
    <row r="49" spans="1:33" ht="33.75" x14ac:dyDescent="0.2">
      <c r="A49" s="259">
        <f>'Bieu CKGN (ko in)'!A44</f>
        <v>5</v>
      </c>
      <c r="B49" s="83" t="str">
        <f>'Bieu CKGN (ko in)'!B44</f>
        <v>Kè chống sạt bảo vệ trường TH, THCS, xã Tá Bạ</v>
      </c>
      <c r="C49" s="315" t="s">
        <v>145</v>
      </c>
      <c r="D49" s="112" t="s">
        <v>160</v>
      </c>
      <c r="E49" s="112" t="str">
        <f>'Bieu CKGN (ko in)'!C44</f>
        <v>3491-29/12/2020</v>
      </c>
      <c r="F49" s="84">
        <f>'Bieu CKGN (ko in)'!D44</f>
        <v>2100</v>
      </c>
      <c r="G49" s="84">
        <v>2100</v>
      </c>
      <c r="H49" s="84">
        <f>1000+720</f>
        <v>1720</v>
      </c>
      <c r="I49" s="317">
        <f>'Bieu CKGN (ko in)'!E44</f>
        <v>720</v>
      </c>
      <c r="J49" s="85">
        <f>1687+397</f>
        <v>2084</v>
      </c>
      <c r="K49" s="85"/>
      <c r="L49" s="162">
        <v>720</v>
      </c>
      <c r="M49" s="162">
        <f t="shared" si="24"/>
        <v>720</v>
      </c>
      <c r="N49" s="85"/>
      <c r="O49" s="85">
        <f t="shared" si="18"/>
        <v>100</v>
      </c>
      <c r="P49" s="85">
        <f t="shared" si="19"/>
        <v>0</v>
      </c>
      <c r="Q49" s="85"/>
      <c r="R49" s="85"/>
      <c r="S49" s="98"/>
      <c r="T49" s="155" t="s">
        <v>127</v>
      </c>
      <c r="U49" s="122" t="s">
        <v>292</v>
      </c>
      <c r="AF49" s="79">
        <f t="shared" si="25"/>
        <v>0</v>
      </c>
      <c r="AG49" s="79">
        <f t="shared" si="26"/>
        <v>1364</v>
      </c>
    </row>
    <row r="50" spans="1:33" ht="33.75" x14ac:dyDescent="0.2">
      <c r="A50" s="259">
        <f>'Bieu CKGN (ko in)'!A45</f>
        <v>6</v>
      </c>
      <c r="B50" s="83" t="str">
        <f>'Bieu CKGN (ko in)'!B45</f>
        <v>Thủy lợi Nhù Cư Ló Cá, xã Thu Lũm</v>
      </c>
      <c r="C50" s="315" t="s">
        <v>144</v>
      </c>
      <c r="D50" s="112" t="s">
        <v>160</v>
      </c>
      <c r="E50" s="112" t="str">
        <f>'Bieu CKGN (ko in)'!C45</f>
        <v>3552-31/12/2020</v>
      </c>
      <c r="F50" s="84">
        <f>'Bieu CKGN (ko in)'!D45</f>
        <v>3500</v>
      </c>
      <c r="G50" s="84">
        <v>3500</v>
      </c>
      <c r="H50" s="84">
        <f>1350+1500</f>
        <v>2850</v>
      </c>
      <c r="I50" s="317">
        <f>'Bieu CKGN (ko in)'!E45</f>
        <v>1500</v>
      </c>
      <c r="J50" s="85">
        <v>3449</v>
      </c>
      <c r="K50" s="85"/>
      <c r="L50" s="162">
        <f>1417.108+82.892</f>
        <v>1500</v>
      </c>
      <c r="M50" s="162">
        <f t="shared" si="24"/>
        <v>1500</v>
      </c>
      <c r="N50" s="85"/>
      <c r="O50" s="85">
        <f t="shared" si="18"/>
        <v>100</v>
      </c>
      <c r="P50" s="85">
        <f t="shared" si="19"/>
        <v>0</v>
      </c>
      <c r="Q50" s="85"/>
      <c r="R50" s="85"/>
      <c r="S50" s="98"/>
      <c r="T50" s="155" t="s">
        <v>127</v>
      </c>
      <c r="U50" s="122" t="s">
        <v>292</v>
      </c>
      <c r="V50" s="81"/>
      <c r="AF50" s="79">
        <f t="shared" si="25"/>
        <v>0</v>
      </c>
      <c r="AG50" s="79">
        <f t="shared" si="26"/>
        <v>1949</v>
      </c>
    </row>
    <row r="51" spans="1:33" ht="33.75" x14ac:dyDescent="0.2">
      <c r="A51" s="259">
        <f>'Bieu CKGN (ko in)'!A46</f>
        <v>7</v>
      </c>
      <c r="B51" s="83" t="str">
        <f>'Bieu CKGN (ko in)'!B46</f>
        <v>Thủy lợi Phu Khà Ló Cá, xã Thu Lũm</v>
      </c>
      <c r="C51" s="315" t="s">
        <v>144</v>
      </c>
      <c r="D51" s="112" t="s">
        <v>160</v>
      </c>
      <c r="E51" s="112" t="str">
        <f>'Bieu CKGN (ko in)'!C46</f>
        <v>3554-31/12/2020</v>
      </c>
      <c r="F51" s="84">
        <f>'Bieu CKGN (ko in)'!D46</f>
        <v>3600</v>
      </c>
      <c r="G51" s="84">
        <v>3600</v>
      </c>
      <c r="H51" s="84">
        <f>1400+1500</f>
        <v>2900</v>
      </c>
      <c r="I51" s="317">
        <f>'Bieu CKGN (ko in)'!E46</f>
        <v>1500</v>
      </c>
      <c r="J51" s="85">
        <v>3563</v>
      </c>
      <c r="K51" s="85"/>
      <c r="L51" s="162">
        <v>1500</v>
      </c>
      <c r="M51" s="162">
        <f t="shared" si="24"/>
        <v>1500</v>
      </c>
      <c r="N51" s="85"/>
      <c r="O51" s="85">
        <f t="shared" si="18"/>
        <v>100</v>
      </c>
      <c r="P51" s="85">
        <f t="shared" si="19"/>
        <v>0</v>
      </c>
      <c r="Q51" s="85"/>
      <c r="R51" s="85"/>
      <c r="S51" s="98"/>
      <c r="T51" s="155" t="s">
        <v>127</v>
      </c>
      <c r="U51" s="122" t="s">
        <v>292</v>
      </c>
      <c r="AF51" s="79">
        <f t="shared" si="25"/>
        <v>0</v>
      </c>
      <c r="AG51" s="79">
        <f t="shared" si="26"/>
        <v>2063</v>
      </c>
    </row>
    <row r="52" spans="1:33" ht="33.75" x14ac:dyDescent="0.2">
      <c r="A52" s="259">
        <f>'Bieu CKGN (ko in)'!A47</f>
        <v>8</v>
      </c>
      <c r="B52" s="83" t="str">
        <f>'Bieu CKGN (ko in)'!B47</f>
        <v>Nâng cấp thủy lợi Nậm Dính, xã Tà Tổng</v>
      </c>
      <c r="C52" s="315" t="s">
        <v>137</v>
      </c>
      <c r="D52" s="112" t="s">
        <v>160</v>
      </c>
      <c r="E52" s="112" t="str">
        <f>'Bieu CKGN (ko in)'!C47</f>
        <v>3553-31/12/2020</v>
      </c>
      <c r="F52" s="84">
        <f>'Bieu CKGN (ko in)'!D47</f>
        <v>3400</v>
      </c>
      <c r="G52" s="84">
        <v>3400</v>
      </c>
      <c r="H52" s="84">
        <f>1250+1500</f>
        <v>2750</v>
      </c>
      <c r="I52" s="317">
        <f>'Bieu CKGN (ko in)'!E47</f>
        <v>1500</v>
      </c>
      <c r="J52" s="85">
        <v>3089</v>
      </c>
      <c r="K52" s="85"/>
      <c r="L52" s="162">
        <v>1500</v>
      </c>
      <c r="M52" s="162">
        <f t="shared" si="24"/>
        <v>1500</v>
      </c>
      <c r="N52" s="85"/>
      <c r="O52" s="85">
        <f t="shared" si="18"/>
        <v>100</v>
      </c>
      <c r="P52" s="85">
        <f t="shared" si="19"/>
        <v>0</v>
      </c>
      <c r="Q52" s="85"/>
      <c r="R52" s="85"/>
      <c r="S52" s="98"/>
      <c r="T52" s="155" t="s">
        <v>127</v>
      </c>
      <c r="U52" s="122" t="s">
        <v>292</v>
      </c>
      <c r="AF52" s="79">
        <f t="shared" si="25"/>
        <v>0</v>
      </c>
      <c r="AG52" s="79">
        <f t="shared" si="26"/>
        <v>1589</v>
      </c>
    </row>
    <row r="53" spans="1:33" s="95" customFormat="1" ht="27" x14ac:dyDescent="0.2">
      <c r="A53" s="262" t="s">
        <v>36</v>
      </c>
      <c r="B53" s="118" t="str">
        <f>'Bieu CKGN (ko in)'!B48</f>
        <v>Dự án chuyển tiếp hoàn thành sau năm 2022</v>
      </c>
      <c r="C53" s="314"/>
      <c r="D53" s="314"/>
      <c r="E53" s="139"/>
      <c r="F53" s="140"/>
      <c r="G53" s="140"/>
      <c r="H53" s="140"/>
      <c r="I53" s="140"/>
      <c r="J53" s="319"/>
      <c r="K53" s="319"/>
      <c r="L53" s="326"/>
      <c r="M53" s="326"/>
      <c r="N53" s="327"/>
      <c r="O53" s="327"/>
      <c r="P53" s="319"/>
      <c r="Q53" s="319"/>
      <c r="R53" s="319"/>
      <c r="S53" s="265"/>
      <c r="T53" s="159"/>
      <c r="AF53" s="79">
        <f t="shared" si="25"/>
        <v>0</v>
      </c>
      <c r="AG53" s="79">
        <f t="shared" si="26"/>
        <v>0</v>
      </c>
    </row>
    <row r="54" spans="1:33" s="95" customFormat="1" ht="13.5" x14ac:dyDescent="0.2">
      <c r="A54" s="262" t="s">
        <v>161</v>
      </c>
      <c r="B54" s="118" t="str">
        <f>'Bieu CKGN (ko in)'!B49</f>
        <v>Dự án khởi công mới năm 2022</v>
      </c>
      <c r="C54" s="314"/>
      <c r="D54" s="314"/>
      <c r="E54" s="139"/>
      <c r="F54" s="109">
        <f>SUM(F55:F58)</f>
        <v>35450</v>
      </c>
      <c r="G54" s="109">
        <f t="shared" ref="G54:R54" si="27">SUM(G55:G58)</f>
        <v>35450</v>
      </c>
      <c r="H54" s="109">
        <f t="shared" si="27"/>
        <v>6700</v>
      </c>
      <c r="I54" s="109">
        <f t="shared" si="27"/>
        <v>6700</v>
      </c>
      <c r="J54" s="109">
        <f t="shared" si="27"/>
        <v>23404.089</v>
      </c>
      <c r="K54" s="109">
        <f t="shared" si="27"/>
        <v>21679</v>
      </c>
      <c r="L54" s="173">
        <f t="shared" si="27"/>
        <v>6700</v>
      </c>
      <c r="M54" s="173">
        <f t="shared" si="27"/>
        <v>6700</v>
      </c>
      <c r="N54" s="109">
        <f t="shared" si="27"/>
        <v>0</v>
      </c>
      <c r="O54" s="109">
        <f>L54/I54*100</f>
        <v>100</v>
      </c>
      <c r="P54" s="109">
        <f t="shared" si="27"/>
        <v>0</v>
      </c>
      <c r="Q54" s="109">
        <f t="shared" si="27"/>
        <v>0</v>
      </c>
      <c r="R54" s="109">
        <f t="shared" si="27"/>
        <v>0</v>
      </c>
      <c r="S54" s="265"/>
      <c r="T54" s="159"/>
      <c r="AF54" s="79"/>
      <c r="AG54" s="79"/>
    </row>
    <row r="55" spans="1:33" ht="33.75" x14ac:dyDescent="0.2">
      <c r="A55" s="259">
        <f>'Bieu CKGN (ko in)'!A50</f>
        <v>1</v>
      </c>
      <c r="B55" s="83" t="str">
        <f>'Bieu CKGN (ko in)'!B50</f>
        <v>Trường mầm non xã Ka Lăng, huyện Mường Tè (Hạng mục phụ trợ)</v>
      </c>
      <c r="C55" s="315" t="s">
        <v>150</v>
      </c>
      <c r="D55" s="112">
        <v>2022</v>
      </c>
      <c r="E55" s="112" t="str">
        <f>'Bieu CKGN (ko in)'!C50</f>
        <v>2225-15/12/2021</v>
      </c>
      <c r="F55" s="84">
        <f>'Bieu CKGN (ko in)'!D50</f>
        <v>2500</v>
      </c>
      <c r="G55" s="84">
        <v>2500</v>
      </c>
      <c r="H55" s="84">
        <v>900</v>
      </c>
      <c r="I55" s="84">
        <f>'Bieu CKGN (ko in)'!E50</f>
        <v>900</v>
      </c>
      <c r="J55" s="85">
        <v>1710.0889999999999</v>
      </c>
      <c r="K55" s="85">
        <v>1085</v>
      </c>
      <c r="L55" s="162">
        <v>900</v>
      </c>
      <c r="M55" s="162">
        <v>900</v>
      </c>
      <c r="N55" s="211"/>
      <c r="O55" s="85">
        <f t="shared" ref="O55:O58" si="28">L55/I55*100</f>
        <v>100</v>
      </c>
      <c r="P55" s="85">
        <f t="shared" ref="P55:P58" si="29">I55-L55</f>
        <v>0</v>
      </c>
      <c r="Q55" s="85"/>
      <c r="R55" s="85"/>
      <c r="S55" s="98"/>
      <c r="T55" s="155" t="s">
        <v>124</v>
      </c>
      <c r="U55" s="122" t="s">
        <v>292</v>
      </c>
      <c r="V55" s="74">
        <v>1085</v>
      </c>
      <c r="X55" s="79">
        <f>V55-K55</f>
        <v>0</v>
      </c>
      <c r="Y55" s="74">
        <v>900</v>
      </c>
      <c r="Z55" s="81">
        <f>Y55-L55</f>
        <v>0</v>
      </c>
      <c r="AF55" s="79">
        <f t="shared" ref="AF55:AG58" si="30">I55-L55</f>
        <v>0</v>
      </c>
      <c r="AG55" s="79">
        <f t="shared" si="30"/>
        <v>810.08899999999994</v>
      </c>
    </row>
    <row r="56" spans="1:33" ht="33.75" x14ac:dyDescent="0.2">
      <c r="A56" s="259">
        <f>'Bieu CKGN (ko in)'!A51</f>
        <v>2</v>
      </c>
      <c r="B56" s="83" t="str">
        <f>'Bieu CKGN (ko in)'!B51</f>
        <v>Phòng họp trực tuyến Huyện ủy, huyện Mường Tè (GĐII)</v>
      </c>
      <c r="C56" s="315" t="s">
        <v>140</v>
      </c>
      <c r="D56" s="112">
        <v>2022</v>
      </c>
      <c r="E56" s="112" t="str">
        <f>'Bieu CKGN (ko in)'!C51</f>
        <v>2224-15/12/2021</v>
      </c>
      <c r="F56" s="84">
        <f>'Bieu CKGN (ko in)'!D51</f>
        <v>6950</v>
      </c>
      <c r="G56" s="84">
        <v>6950</v>
      </c>
      <c r="H56" s="84">
        <v>2000</v>
      </c>
      <c r="I56" s="84">
        <f>'Bieu CKGN (ko in)'!E51</f>
        <v>2000</v>
      </c>
      <c r="J56" s="85">
        <v>6000</v>
      </c>
      <c r="K56" s="85">
        <v>6000</v>
      </c>
      <c r="L56" s="162">
        <v>2000</v>
      </c>
      <c r="M56" s="162">
        <v>2000</v>
      </c>
      <c r="N56" s="85"/>
      <c r="O56" s="85">
        <f t="shared" si="28"/>
        <v>100</v>
      </c>
      <c r="P56" s="85">
        <f t="shared" si="29"/>
        <v>0</v>
      </c>
      <c r="Q56" s="85"/>
      <c r="R56" s="85"/>
      <c r="S56" s="98"/>
      <c r="T56" s="155" t="s">
        <v>124</v>
      </c>
      <c r="U56" s="122" t="s">
        <v>292</v>
      </c>
      <c r="V56" s="79">
        <v>2200</v>
      </c>
      <c r="Y56" s="74">
        <v>1843.35</v>
      </c>
      <c r="AF56" s="79">
        <f t="shared" si="30"/>
        <v>0</v>
      </c>
      <c r="AG56" s="79">
        <f t="shared" si="30"/>
        <v>4000</v>
      </c>
    </row>
    <row r="57" spans="1:33" ht="33.75" x14ac:dyDescent="0.2">
      <c r="A57" s="259">
        <f>'Bieu CKGN (ko in)'!A52</f>
        <v>3</v>
      </c>
      <c r="B57" s="83" t="str">
        <f>'Bieu CKGN (ko in)'!B52</f>
        <v>Nhà đa năng trường THCS thị trấn, huyện Mường Tè</v>
      </c>
      <c r="C57" s="315" t="s">
        <v>140</v>
      </c>
      <c r="D57" s="112">
        <v>2022</v>
      </c>
      <c r="E57" s="112" t="str">
        <f>'Bieu CKGN (ko in)'!C52</f>
        <v>2223-15/12/2021</v>
      </c>
      <c r="F57" s="84">
        <f>'Bieu CKGN (ko in)'!D52</f>
        <v>6000</v>
      </c>
      <c r="G57" s="84">
        <v>6000</v>
      </c>
      <c r="H57" s="84">
        <v>1800</v>
      </c>
      <c r="I57" s="84">
        <f>'Bieu CKGN (ko in)'!E52</f>
        <v>1800</v>
      </c>
      <c r="J57" s="85">
        <v>5994</v>
      </c>
      <c r="K57" s="85">
        <v>5094</v>
      </c>
      <c r="L57" s="162">
        <v>1800</v>
      </c>
      <c r="M57" s="162">
        <v>1800</v>
      </c>
      <c r="N57" s="85"/>
      <c r="O57" s="85">
        <f t="shared" si="28"/>
        <v>100</v>
      </c>
      <c r="P57" s="85">
        <f t="shared" si="29"/>
        <v>0</v>
      </c>
      <c r="Q57" s="85"/>
      <c r="R57" s="85"/>
      <c r="S57" s="98"/>
      <c r="T57" s="155" t="s">
        <v>124</v>
      </c>
      <c r="U57" s="122" t="s">
        <v>292</v>
      </c>
      <c r="V57" s="79">
        <v>1800</v>
      </c>
      <c r="X57" s="90">
        <v>1843.347</v>
      </c>
      <c r="Y57" s="79">
        <f>V57-X57</f>
        <v>-43.34699999999998</v>
      </c>
      <c r="AF57" s="79">
        <f t="shared" si="30"/>
        <v>0</v>
      </c>
      <c r="AG57" s="79">
        <f t="shared" si="30"/>
        <v>4194</v>
      </c>
    </row>
    <row r="58" spans="1:33" ht="33.75" x14ac:dyDescent="0.2">
      <c r="A58" s="259">
        <f>'Bieu CKGN (ko in)'!A53</f>
        <v>4</v>
      </c>
      <c r="B58" s="83" t="str">
        <f>'Bieu CKGN (ko in)'!B53</f>
        <v>Hạ tầng đô thị, điện chiếu sáng thị trấn Mường Tè, huyện Mường Tè</v>
      </c>
      <c r="C58" s="315" t="s">
        <v>140</v>
      </c>
      <c r="D58" s="112">
        <v>2022</v>
      </c>
      <c r="E58" s="112" t="str">
        <f>'Bieu CKGN (ko in)'!C53</f>
        <v>2207-10/12/2021</v>
      </c>
      <c r="F58" s="84">
        <f>'Bieu CKGN (ko in)'!D53</f>
        <v>20000</v>
      </c>
      <c r="G58" s="84">
        <v>20000</v>
      </c>
      <c r="H58" s="84">
        <v>2000</v>
      </c>
      <c r="I58" s="84">
        <f>'Bieu CKGN (ko in)'!E53</f>
        <v>2000</v>
      </c>
      <c r="J58" s="85">
        <v>9700</v>
      </c>
      <c r="K58" s="85">
        <v>9500</v>
      </c>
      <c r="L58" s="162">
        <v>2000</v>
      </c>
      <c r="M58" s="162">
        <v>2000</v>
      </c>
      <c r="N58" s="85"/>
      <c r="O58" s="85">
        <f t="shared" si="28"/>
        <v>100</v>
      </c>
      <c r="P58" s="85">
        <f t="shared" si="29"/>
        <v>0</v>
      </c>
      <c r="Q58" s="85"/>
      <c r="R58" s="85"/>
      <c r="S58" s="98"/>
      <c r="T58" s="155" t="s">
        <v>124</v>
      </c>
      <c r="U58" s="122" t="s">
        <v>292</v>
      </c>
      <c r="V58" s="80"/>
      <c r="Y58" s="74">
        <v>1463.46</v>
      </c>
      <c r="AF58" s="79">
        <f t="shared" si="30"/>
        <v>0</v>
      </c>
      <c r="AG58" s="79">
        <f t="shared" si="30"/>
        <v>7700</v>
      </c>
    </row>
    <row r="59" spans="1:33" ht="16.899999999999999" customHeight="1" x14ac:dyDescent="0.2">
      <c r="A59" s="260" t="str">
        <f>'Bieu CKGN (ko in)'!A54</f>
        <v>II</v>
      </c>
      <c r="B59" s="103" t="str">
        <f>'Bieu CKGN (ko in)'!B54</f>
        <v>Vốn đầu tư từ nguồn thu sử dụng đất</v>
      </c>
      <c r="C59" s="313"/>
      <c r="D59" s="313"/>
      <c r="E59" s="112"/>
      <c r="F59" s="104">
        <f t="shared" ref="F59:R59" si="31">F60+F63</f>
        <v>40083.94</v>
      </c>
      <c r="G59" s="104">
        <f t="shared" si="31"/>
        <v>33177</v>
      </c>
      <c r="H59" s="104">
        <f t="shared" si="31"/>
        <v>8457</v>
      </c>
      <c r="I59" s="104">
        <f t="shared" si="31"/>
        <v>13150</v>
      </c>
      <c r="J59" s="104">
        <f t="shared" si="31"/>
        <v>26766.705000000002</v>
      </c>
      <c r="K59" s="104">
        <f t="shared" si="31"/>
        <v>4300</v>
      </c>
      <c r="L59" s="172">
        <f t="shared" si="31"/>
        <v>13150</v>
      </c>
      <c r="M59" s="172">
        <f t="shared" si="31"/>
        <v>8207.74</v>
      </c>
      <c r="N59" s="104">
        <f t="shared" si="31"/>
        <v>0</v>
      </c>
      <c r="O59" s="104">
        <f>L59/I59*100</f>
        <v>100</v>
      </c>
      <c r="P59" s="104">
        <f t="shared" si="31"/>
        <v>0</v>
      </c>
      <c r="Q59" s="104">
        <f t="shared" si="31"/>
        <v>0</v>
      </c>
      <c r="R59" s="104">
        <f t="shared" si="31"/>
        <v>0</v>
      </c>
      <c r="S59" s="98"/>
      <c r="Y59" s="88">
        <f>Y58-L57</f>
        <v>-336.53999999999996</v>
      </c>
      <c r="AF59" s="79"/>
      <c r="AG59" s="79"/>
    </row>
    <row r="60" spans="1:33" ht="38.25" x14ac:dyDescent="0.2">
      <c r="A60" s="260" t="str">
        <f>'Bieu CKGN (ko in)'!A55</f>
        <v>II.1</v>
      </c>
      <c r="B60" s="103" t="str">
        <f>'Bieu CKGN (ko in)'!B55</f>
        <v>Kinh phí đo đạc, lập cơ sở dữ liệu hồ sơ địa chính và cấp giấy chứng nhận quyền sử dụng đất, quy hoạch sử dụng đất và kiểm kê đất đai</v>
      </c>
      <c r="C60" s="313"/>
      <c r="D60" s="313"/>
      <c r="E60" s="112"/>
      <c r="F60" s="104">
        <f t="shared" ref="F60:R60" si="32">SUM(F61:F62)</f>
        <v>5103.9399999999996</v>
      </c>
      <c r="G60" s="104">
        <f t="shared" si="32"/>
        <v>0</v>
      </c>
      <c r="H60" s="104">
        <f t="shared" si="32"/>
        <v>0</v>
      </c>
      <c r="I60" s="104">
        <f t="shared" si="32"/>
        <v>1600</v>
      </c>
      <c r="J60" s="104">
        <f t="shared" si="32"/>
        <v>4763.8280000000004</v>
      </c>
      <c r="K60" s="104">
        <f t="shared" si="32"/>
        <v>0</v>
      </c>
      <c r="L60" s="172">
        <f t="shared" si="32"/>
        <v>1600</v>
      </c>
      <c r="M60" s="172">
        <f t="shared" si="32"/>
        <v>1600</v>
      </c>
      <c r="N60" s="104">
        <f t="shared" si="32"/>
        <v>0</v>
      </c>
      <c r="O60" s="104">
        <f>L60/I60*100</f>
        <v>100</v>
      </c>
      <c r="P60" s="104">
        <f t="shared" si="32"/>
        <v>0</v>
      </c>
      <c r="Q60" s="104">
        <f t="shared" si="32"/>
        <v>0</v>
      </c>
      <c r="R60" s="104">
        <f t="shared" si="32"/>
        <v>0</v>
      </c>
      <c r="S60" s="98"/>
      <c r="AF60" s="79"/>
      <c r="AG60" s="79"/>
    </row>
    <row r="61" spans="1:33" ht="38.25" x14ac:dyDescent="0.2">
      <c r="A61" s="259">
        <f>'Bieu CKGN (ko in)'!A56</f>
        <v>1</v>
      </c>
      <c r="B61" s="83" t="str">
        <f>'Bieu CKGN (ko in)'!B56</f>
        <v>Kinh phí đo đạc bổ sung bản đồ địa chính, lập hồ sơ địa chính, cấp GCNQSD đất 02 xã Vàng San và Bum Nưa</v>
      </c>
      <c r="C61" s="113"/>
      <c r="D61" s="113"/>
      <c r="E61" s="112" t="str">
        <f>'Bieu CKGN (ko in)'!C56</f>
        <v>1202A-24/6/2019</v>
      </c>
      <c r="F61" s="84">
        <f>'Bieu CKGN (ko in)'!D56</f>
        <v>2092.9029999999998</v>
      </c>
      <c r="G61" s="84"/>
      <c r="H61" s="84"/>
      <c r="I61" s="84">
        <f>'Bieu CKGN (ko in)'!E56</f>
        <v>600</v>
      </c>
      <c r="J61" s="85">
        <v>1967.066</v>
      </c>
      <c r="K61" s="85"/>
      <c r="L61" s="162">
        <f>M61</f>
        <v>600</v>
      </c>
      <c r="M61" s="162">
        <v>600</v>
      </c>
      <c r="N61" s="85"/>
      <c r="O61" s="85">
        <f t="shared" ref="O61:O62" si="33">L61/I61*100</f>
        <v>100</v>
      </c>
      <c r="P61" s="85">
        <f t="shared" ref="P61:P62" si="34">I61-L61</f>
        <v>0</v>
      </c>
      <c r="Q61" s="85"/>
      <c r="R61" s="85"/>
      <c r="S61" s="98"/>
      <c r="T61" s="155" t="s">
        <v>126</v>
      </c>
      <c r="U61" s="164" t="s">
        <v>414</v>
      </c>
      <c r="AF61" s="79">
        <f>I61-L61</f>
        <v>0</v>
      </c>
      <c r="AG61" s="79">
        <f>J61-M61</f>
        <v>1367.066</v>
      </c>
    </row>
    <row r="62" spans="1:33" ht="25.5" x14ac:dyDescent="0.2">
      <c r="A62" s="259">
        <f>'Bieu CKGN (ko in)'!A57</f>
        <v>2</v>
      </c>
      <c r="B62" s="83" t="str">
        <f>'Bieu CKGN (ko in)'!B57</f>
        <v>Kiểm kê đất đai, lập bản đồ hiện trạng sử dụng đất năm 2019</v>
      </c>
      <c r="C62" s="113"/>
      <c r="D62" s="113"/>
      <c r="E62" s="112" t="str">
        <f>'Bieu CKGN (ko in)'!C57</f>
        <v>904-03/6/2020</v>
      </c>
      <c r="F62" s="84">
        <f>'Bieu CKGN (ko in)'!D57</f>
        <v>3011.0369999999998</v>
      </c>
      <c r="G62" s="84"/>
      <c r="H62" s="84"/>
      <c r="I62" s="84">
        <v>1000</v>
      </c>
      <c r="J62" s="85">
        <v>2796.7620000000002</v>
      </c>
      <c r="K62" s="85"/>
      <c r="L62" s="162">
        <f>M62</f>
        <v>1000</v>
      </c>
      <c r="M62" s="162">
        <v>1000</v>
      </c>
      <c r="N62" s="85"/>
      <c r="O62" s="85">
        <f t="shared" si="33"/>
        <v>100</v>
      </c>
      <c r="P62" s="85">
        <f t="shared" si="34"/>
        <v>0</v>
      </c>
      <c r="Q62" s="85"/>
      <c r="R62" s="85"/>
      <c r="S62" s="98"/>
      <c r="T62" s="155" t="s">
        <v>126</v>
      </c>
      <c r="U62" s="164" t="s">
        <v>414</v>
      </c>
      <c r="AF62" s="79">
        <f>I62-L62</f>
        <v>0</v>
      </c>
      <c r="AG62" s="79">
        <f>J62-M62</f>
        <v>1796.7620000000002</v>
      </c>
    </row>
    <row r="63" spans="1:33" x14ac:dyDescent="0.2">
      <c r="A63" s="260" t="str">
        <f>'Bieu CKGN (ko in)'!A58</f>
        <v>II.2</v>
      </c>
      <c r="B63" s="103" t="str">
        <f>'Bieu CKGN (ko in)'!B58</f>
        <v>Chi đầu tư các dự án</v>
      </c>
      <c r="C63" s="313"/>
      <c r="D63" s="313"/>
      <c r="E63" s="112"/>
      <c r="F63" s="104">
        <f>F64+F67</f>
        <v>34980</v>
      </c>
      <c r="G63" s="104">
        <f t="shared" ref="G63:R63" si="35">G64+G67</f>
        <v>33177</v>
      </c>
      <c r="H63" s="104">
        <f t="shared" si="35"/>
        <v>8457</v>
      </c>
      <c r="I63" s="104">
        <f t="shared" si="35"/>
        <v>11550</v>
      </c>
      <c r="J63" s="104">
        <f t="shared" si="35"/>
        <v>22002.877</v>
      </c>
      <c r="K63" s="104">
        <f t="shared" si="35"/>
        <v>4300</v>
      </c>
      <c r="L63" s="172">
        <f t="shared" si="35"/>
        <v>11550</v>
      </c>
      <c r="M63" s="172">
        <f t="shared" si="35"/>
        <v>6607.74</v>
      </c>
      <c r="N63" s="104">
        <f t="shared" si="35"/>
        <v>0</v>
      </c>
      <c r="O63" s="104">
        <f>L63/I63*100</f>
        <v>100</v>
      </c>
      <c r="P63" s="104">
        <f t="shared" si="35"/>
        <v>0</v>
      </c>
      <c r="Q63" s="104">
        <f t="shared" si="35"/>
        <v>0</v>
      </c>
      <c r="R63" s="104">
        <f t="shared" si="35"/>
        <v>0</v>
      </c>
      <c r="S63" s="98"/>
      <c r="AF63" s="79"/>
      <c r="AG63" s="79"/>
    </row>
    <row r="64" spans="1:33" s="95" customFormat="1" ht="27" x14ac:dyDescent="0.2">
      <c r="A64" s="262" t="str">
        <f>'Bieu CKGN (ko in)'!A59</f>
        <v>a</v>
      </c>
      <c r="B64" s="118" t="str">
        <f>'Bieu CKGN (ko in)'!B59</f>
        <v>Dự án hoàn thành bàn giao, đưa vào sử dụng trước ngày 31/12/2021</v>
      </c>
      <c r="C64" s="314"/>
      <c r="D64" s="314"/>
      <c r="E64" s="139"/>
      <c r="F64" s="109">
        <f>F65</f>
        <v>6980</v>
      </c>
      <c r="G64" s="109">
        <f t="shared" ref="G64:R64" si="36">G65</f>
        <v>5694</v>
      </c>
      <c r="H64" s="109">
        <f t="shared" si="36"/>
        <v>0</v>
      </c>
      <c r="I64" s="109">
        <f t="shared" si="36"/>
        <v>3093</v>
      </c>
      <c r="J64" s="109">
        <f t="shared" si="36"/>
        <v>6883.8770000000004</v>
      </c>
      <c r="K64" s="109">
        <f t="shared" si="36"/>
        <v>0</v>
      </c>
      <c r="L64" s="173">
        <f t="shared" si="36"/>
        <v>3093</v>
      </c>
      <c r="M64" s="173">
        <f t="shared" si="36"/>
        <v>3093</v>
      </c>
      <c r="N64" s="109">
        <f t="shared" si="36"/>
        <v>0</v>
      </c>
      <c r="O64" s="109">
        <f t="shared" si="36"/>
        <v>100</v>
      </c>
      <c r="P64" s="109">
        <f t="shared" si="36"/>
        <v>0</v>
      </c>
      <c r="Q64" s="109">
        <f t="shared" si="36"/>
        <v>0</v>
      </c>
      <c r="R64" s="109">
        <f t="shared" si="36"/>
        <v>0</v>
      </c>
      <c r="S64" s="265"/>
      <c r="T64" s="159"/>
      <c r="AF64" s="79"/>
      <c r="AG64" s="79"/>
    </row>
    <row r="65" spans="1:47" ht="21.6" customHeight="1" x14ac:dyDescent="0.2">
      <c r="A65" s="259">
        <f>'Bieu CKGN (ko in)'!A60</f>
        <v>1</v>
      </c>
      <c r="B65" s="83" t="str">
        <f>'Bieu CKGN (ko in)'!B60</f>
        <v>Bến xe khách huyện Mường Tè (GĐ2)</v>
      </c>
      <c r="C65" s="113"/>
      <c r="D65" s="113"/>
      <c r="E65" s="112" t="str">
        <f>'Bieu CKGN (ko in)'!C60</f>
        <v>2816-16/10/19</v>
      </c>
      <c r="F65" s="84">
        <f>'Bieu CKGN (ko in)'!D60</f>
        <v>6980</v>
      </c>
      <c r="G65" s="84">
        <v>5694</v>
      </c>
      <c r="H65" s="84"/>
      <c r="I65" s="84">
        <f>'Bieu CKGN (ko in)'!E60</f>
        <v>3093</v>
      </c>
      <c r="J65" s="85">
        <v>6883.8770000000004</v>
      </c>
      <c r="K65" s="85"/>
      <c r="L65" s="162">
        <f>M65</f>
        <v>3093</v>
      </c>
      <c r="M65" s="162">
        <v>3093</v>
      </c>
      <c r="N65" s="85"/>
      <c r="O65" s="85">
        <f t="shared" ref="O65" si="37">L65/I65*100</f>
        <v>100</v>
      </c>
      <c r="P65" s="85">
        <f t="shared" ref="P65" si="38">I65-L65</f>
        <v>0</v>
      </c>
      <c r="Q65" s="85"/>
      <c r="R65" s="85"/>
      <c r="S65" s="98"/>
      <c r="T65" s="155" t="s">
        <v>126</v>
      </c>
      <c r="U65" s="164" t="s">
        <v>415</v>
      </c>
      <c r="AF65" s="79">
        <f>I65-L65</f>
        <v>0</v>
      </c>
      <c r="AG65" s="79">
        <f>J65-M65</f>
        <v>3790.8770000000004</v>
      </c>
    </row>
    <row r="66" spans="1:47" s="95" customFormat="1" ht="13.5" x14ac:dyDescent="0.2">
      <c r="A66" s="262" t="str">
        <f>'Bieu CKGN (ko in)'!A61</f>
        <v>b</v>
      </c>
      <c r="B66" s="118" t="str">
        <f>'Bieu CKGN (ko in)'!B61</f>
        <v>Dự án dự kiến hoàn thành năm 2022</v>
      </c>
      <c r="C66" s="314"/>
      <c r="D66" s="314"/>
      <c r="E66" s="139"/>
      <c r="F66" s="140">
        <f>'Bieu CKGN (ko in)'!D61</f>
        <v>0</v>
      </c>
      <c r="G66" s="140"/>
      <c r="H66" s="140"/>
      <c r="I66" s="140">
        <f>'Bieu CKGN (ko in)'!E61</f>
        <v>0</v>
      </c>
      <c r="J66" s="319"/>
      <c r="K66" s="319"/>
      <c r="L66" s="326"/>
      <c r="M66" s="326"/>
      <c r="N66" s="327"/>
      <c r="O66" s="327"/>
      <c r="P66" s="319"/>
      <c r="Q66" s="319"/>
      <c r="R66" s="319"/>
      <c r="S66" s="265"/>
      <c r="T66" s="159"/>
      <c r="AF66" s="79">
        <f>I66-L66</f>
        <v>0</v>
      </c>
      <c r="AG66" s="79">
        <f>J66-M66</f>
        <v>0</v>
      </c>
    </row>
    <row r="67" spans="1:47" s="95" customFormat="1" ht="27" x14ac:dyDescent="0.2">
      <c r="A67" s="262" t="str">
        <f>'Bieu CKGN (ko in)'!A62</f>
        <v>c</v>
      </c>
      <c r="B67" s="118" t="str">
        <f>'Bieu CKGN (ko in)'!B62</f>
        <v>Dự án chuyển tiếp hoàn thành sau năm 2022</v>
      </c>
      <c r="C67" s="314"/>
      <c r="D67" s="314"/>
      <c r="E67" s="139"/>
      <c r="F67" s="109">
        <f>F68</f>
        <v>28000</v>
      </c>
      <c r="G67" s="109">
        <f t="shared" ref="G67:R67" si="39">G68</f>
        <v>27483</v>
      </c>
      <c r="H67" s="109">
        <f t="shared" si="39"/>
        <v>8457</v>
      </c>
      <c r="I67" s="109">
        <f t="shared" si="39"/>
        <v>8457</v>
      </c>
      <c r="J67" s="109">
        <f t="shared" si="39"/>
        <v>15119</v>
      </c>
      <c r="K67" s="109">
        <f t="shared" si="39"/>
        <v>4300</v>
      </c>
      <c r="L67" s="173">
        <f t="shared" si="39"/>
        <v>8457</v>
      </c>
      <c r="M67" s="173">
        <f t="shared" si="39"/>
        <v>3514.74</v>
      </c>
      <c r="N67" s="109">
        <f t="shared" si="39"/>
        <v>0</v>
      </c>
      <c r="O67" s="109">
        <f t="shared" si="39"/>
        <v>100</v>
      </c>
      <c r="P67" s="109">
        <f t="shared" si="39"/>
        <v>0</v>
      </c>
      <c r="Q67" s="109">
        <f t="shared" si="39"/>
        <v>0</v>
      </c>
      <c r="R67" s="109">
        <f t="shared" si="39"/>
        <v>0</v>
      </c>
      <c r="S67" s="265"/>
      <c r="T67" s="159"/>
      <c r="AF67" s="79"/>
      <c r="AG67" s="79"/>
    </row>
    <row r="68" spans="1:47" s="86" customFormat="1" ht="25.5" x14ac:dyDescent="0.2">
      <c r="A68" s="259">
        <f>'Bieu CKGN (ko in)'!A63</f>
        <v>1</v>
      </c>
      <c r="B68" s="83" t="str">
        <f>'Bieu CKGN (ko in)'!B63</f>
        <v>Xây dựng hạ tầng kỹ thuật và chỉnh trang đô thị, thị trấn Mường Tè, huyện Mường Tè</v>
      </c>
      <c r="C68" s="315" t="s">
        <v>140</v>
      </c>
      <c r="D68" s="112">
        <v>2022</v>
      </c>
      <c r="E68" s="112" t="str">
        <f>'Bieu CKGN (ko in)'!C63</f>
        <v>628-02/4/2021</v>
      </c>
      <c r="F68" s="84">
        <f>'Bieu CKGN (ko in)'!D63</f>
        <v>28000</v>
      </c>
      <c r="G68" s="84">
        <v>27483</v>
      </c>
      <c r="H68" s="84">
        <v>8457</v>
      </c>
      <c r="I68" s="84">
        <v>8457</v>
      </c>
      <c r="J68" s="85">
        <f>9819+1000+4300</f>
        <v>15119</v>
      </c>
      <c r="K68" s="85">
        <v>4300</v>
      </c>
      <c r="L68" s="162">
        <v>8457</v>
      </c>
      <c r="M68" s="162">
        <v>3514.74</v>
      </c>
      <c r="N68" s="85"/>
      <c r="O68" s="85">
        <f t="shared" ref="O68:O72" si="40">L68/I68*100</f>
        <v>100</v>
      </c>
      <c r="P68" s="85">
        <f t="shared" ref="P68:P72" si="41">I68-L68</f>
        <v>0</v>
      </c>
      <c r="Q68" s="85"/>
      <c r="R68" s="85"/>
      <c r="S68" s="98"/>
      <c r="T68" s="155" t="s">
        <v>123</v>
      </c>
      <c r="U68" s="122" t="s">
        <v>292</v>
      </c>
      <c r="V68" s="93">
        <v>6342</v>
      </c>
      <c r="X68" s="94">
        <f>L68-V68</f>
        <v>2115</v>
      </c>
      <c r="AF68" s="79">
        <f>I68-L68</f>
        <v>0</v>
      </c>
      <c r="AG68" s="79">
        <f>J68-M68</f>
        <v>11604.26</v>
      </c>
    </row>
    <row r="69" spans="1:47" s="142" customFormat="1" ht="25.5" x14ac:dyDescent="0.2">
      <c r="A69" s="260" t="s">
        <v>238</v>
      </c>
      <c r="B69" s="103" t="s">
        <v>239</v>
      </c>
      <c r="C69" s="328"/>
      <c r="D69" s="114"/>
      <c r="E69" s="329"/>
      <c r="F69" s="104">
        <f>SUM(F70:F72)</f>
        <v>13952</v>
      </c>
      <c r="G69" s="104">
        <f t="shared" ref="G69:R69" si="42">SUM(G70:G72)</f>
        <v>13952</v>
      </c>
      <c r="H69" s="104">
        <f t="shared" si="42"/>
        <v>1641</v>
      </c>
      <c r="I69" s="104">
        <f t="shared" si="42"/>
        <v>1641</v>
      </c>
      <c r="J69" s="104">
        <f t="shared" si="42"/>
        <v>1237.865</v>
      </c>
      <c r="K69" s="104">
        <f t="shared" si="42"/>
        <v>1237.865</v>
      </c>
      <c r="L69" s="172">
        <f t="shared" si="42"/>
        <v>1641</v>
      </c>
      <c r="M69" s="172">
        <f t="shared" si="42"/>
        <v>229.54300000000001</v>
      </c>
      <c r="N69" s="104">
        <f t="shared" si="42"/>
        <v>0</v>
      </c>
      <c r="O69" s="104">
        <f>L69/I69*100</f>
        <v>100</v>
      </c>
      <c r="P69" s="104">
        <f t="shared" si="42"/>
        <v>0</v>
      </c>
      <c r="Q69" s="104">
        <f t="shared" si="42"/>
        <v>0</v>
      </c>
      <c r="R69" s="104">
        <f t="shared" si="42"/>
        <v>0</v>
      </c>
      <c r="S69" s="261"/>
      <c r="T69" s="339"/>
      <c r="V69" s="143"/>
      <c r="X69" s="144"/>
      <c r="AF69" s="79"/>
      <c r="AG69" s="79"/>
    </row>
    <row r="70" spans="1:47" s="86" customFormat="1" ht="38.25" x14ac:dyDescent="0.2">
      <c r="A70" s="259">
        <v>1</v>
      </c>
      <c r="B70" s="146" t="s">
        <v>240</v>
      </c>
      <c r="C70" s="147" t="s">
        <v>243</v>
      </c>
      <c r="D70" s="147" t="s">
        <v>177</v>
      </c>
      <c r="E70" s="147" t="s">
        <v>245</v>
      </c>
      <c r="F70" s="84">
        <v>4650</v>
      </c>
      <c r="G70" s="84">
        <v>4650</v>
      </c>
      <c r="H70" s="284">
        <v>553</v>
      </c>
      <c r="I70" s="284">
        <v>553</v>
      </c>
      <c r="J70" s="85">
        <v>322.10300000000001</v>
      </c>
      <c r="K70" s="85">
        <v>322.10300000000001</v>
      </c>
      <c r="L70" s="162">
        <v>553</v>
      </c>
      <c r="M70" s="162">
        <v>109.955</v>
      </c>
      <c r="N70" s="162"/>
      <c r="O70" s="85">
        <f t="shared" si="40"/>
        <v>100</v>
      </c>
      <c r="P70" s="85">
        <f t="shared" si="41"/>
        <v>0</v>
      </c>
      <c r="Q70" s="85"/>
      <c r="R70" s="85"/>
      <c r="S70" s="98"/>
      <c r="T70" s="155" t="s">
        <v>124</v>
      </c>
      <c r="U70" s="122" t="s">
        <v>292</v>
      </c>
      <c r="V70" s="93"/>
      <c r="X70" s="94"/>
      <c r="AF70" s="79">
        <f t="shared" ref="AF70:AF84" si="43">I70-L70</f>
        <v>0</v>
      </c>
      <c r="AG70" s="79">
        <f t="shared" ref="AG70:AG84" si="44">J70-M70</f>
        <v>212.14800000000002</v>
      </c>
    </row>
    <row r="71" spans="1:47" s="86" customFormat="1" ht="38.25" x14ac:dyDescent="0.2">
      <c r="A71" s="259">
        <v>2</v>
      </c>
      <c r="B71" s="146" t="s">
        <v>241</v>
      </c>
      <c r="C71" s="147" t="s">
        <v>243</v>
      </c>
      <c r="D71" s="147" t="s">
        <v>177</v>
      </c>
      <c r="E71" s="147" t="s">
        <v>246</v>
      </c>
      <c r="F71" s="84">
        <v>1550</v>
      </c>
      <c r="G71" s="84">
        <v>1550</v>
      </c>
      <c r="H71" s="284">
        <v>184</v>
      </c>
      <c r="I71" s="284">
        <v>184</v>
      </c>
      <c r="J71" s="85">
        <v>130.762</v>
      </c>
      <c r="K71" s="85">
        <v>130.762</v>
      </c>
      <c r="L71" s="162">
        <v>184</v>
      </c>
      <c r="M71" s="162">
        <v>3.29</v>
      </c>
      <c r="N71" s="161"/>
      <c r="O71" s="85">
        <f t="shared" si="40"/>
        <v>100</v>
      </c>
      <c r="P71" s="85">
        <f t="shared" si="41"/>
        <v>0</v>
      </c>
      <c r="Q71" s="85"/>
      <c r="R71" s="85"/>
      <c r="S71" s="98"/>
      <c r="T71" s="155" t="s">
        <v>124</v>
      </c>
      <c r="U71" s="122" t="s">
        <v>292</v>
      </c>
      <c r="V71" s="93"/>
      <c r="X71" s="94"/>
      <c r="AF71" s="79">
        <f t="shared" si="43"/>
        <v>0</v>
      </c>
      <c r="AG71" s="79">
        <f t="shared" si="44"/>
        <v>127.47199999999999</v>
      </c>
    </row>
    <row r="72" spans="1:47" s="86" customFormat="1" ht="56.25" x14ac:dyDescent="0.2">
      <c r="A72" s="259">
        <v>3</v>
      </c>
      <c r="B72" s="146" t="s">
        <v>242</v>
      </c>
      <c r="C72" s="147" t="s">
        <v>244</v>
      </c>
      <c r="D72" s="147" t="s">
        <v>177</v>
      </c>
      <c r="E72" s="147" t="s">
        <v>247</v>
      </c>
      <c r="F72" s="84">
        <v>7752</v>
      </c>
      <c r="G72" s="84">
        <v>7752</v>
      </c>
      <c r="H72" s="284">
        <v>904</v>
      </c>
      <c r="I72" s="284">
        <v>904</v>
      </c>
      <c r="J72" s="85">
        <v>785</v>
      </c>
      <c r="K72" s="85">
        <v>785</v>
      </c>
      <c r="L72" s="162">
        <v>904</v>
      </c>
      <c r="M72" s="162">
        <v>116.298</v>
      </c>
      <c r="N72" s="85"/>
      <c r="O72" s="85">
        <f t="shared" si="40"/>
        <v>100</v>
      </c>
      <c r="P72" s="85">
        <f t="shared" si="41"/>
        <v>0</v>
      </c>
      <c r="Q72" s="85"/>
      <c r="R72" s="85"/>
      <c r="S72" s="98"/>
      <c r="T72" s="155" t="s">
        <v>124</v>
      </c>
      <c r="U72" s="122" t="s">
        <v>292</v>
      </c>
      <c r="V72" s="93"/>
      <c r="X72" s="94"/>
      <c r="AF72" s="79">
        <f t="shared" si="43"/>
        <v>0</v>
      </c>
      <c r="AG72" s="79">
        <f t="shared" si="44"/>
        <v>668.702</v>
      </c>
    </row>
    <row r="73" spans="1:47" s="142" customFormat="1" ht="21" customHeight="1" x14ac:dyDescent="0.2">
      <c r="A73" s="260" t="s">
        <v>404</v>
      </c>
      <c r="B73" s="330" t="s">
        <v>406</v>
      </c>
      <c r="C73" s="331"/>
      <c r="D73" s="331"/>
      <c r="E73" s="331"/>
      <c r="F73" s="104">
        <f>F74</f>
        <v>38534</v>
      </c>
      <c r="G73" s="104">
        <f t="shared" ref="G73:P73" si="45">G74</f>
        <v>0</v>
      </c>
      <c r="H73" s="104">
        <f t="shared" si="45"/>
        <v>0</v>
      </c>
      <c r="I73" s="104">
        <f t="shared" si="45"/>
        <v>1756.1030000000001</v>
      </c>
      <c r="J73" s="104">
        <f t="shared" si="45"/>
        <v>300</v>
      </c>
      <c r="K73" s="104">
        <f t="shared" si="45"/>
        <v>300</v>
      </c>
      <c r="L73" s="104">
        <f t="shared" si="45"/>
        <v>1732.9010000000001</v>
      </c>
      <c r="M73" s="104">
        <f t="shared" si="45"/>
        <v>1716.1210000000001</v>
      </c>
      <c r="N73" s="104">
        <f t="shared" si="45"/>
        <v>0</v>
      </c>
      <c r="O73" s="104">
        <f t="shared" si="45"/>
        <v>100</v>
      </c>
      <c r="P73" s="104">
        <f t="shared" si="45"/>
        <v>23.201999999999998</v>
      </c>
      <c r="Q73" s="332"/>
      <c r="R73" s="332"/>
      <c r="S73" s="261"/>
      <c r="T73" s="339"/>
      <c r="U73" s="150"/>
      <c r="V73" s="143"/>
      <c r="X73" s="144"/>
      <c r="AF73" s="79">
        <f t="shared" si="43"/>
        <v>23.201999999999998</v>
      </c>
      <c r="AG73" s="79">
        <f t="shared" si="44"/>
        <v>-1416.1210000000001</v>
      </c>
    </row>
    <row r="74" spans="1:47" s="152" customFormat="1" ht="25.5" x14ac:dyDescent="0.2">
      <c r="A74" s="260" t="s">
        <v>409</v>
      </c>
      <c r="B74" s="103" t="s">
        <v>410</v>
      </c>
      <c r="C74" s="328"/>
      <c r="D74" s="313"/>
      <c r="E74" s="114"/>
      <c r="F74" s="104">
        <f>F75+F85</f>
        <v>38534</v>
      </c>
      <c r="G74" s="104">
        <f t="shared" ref="G74:R74" si="46">G75+G85</f>
        <v>0</v>
      </c>
      <c r="H74" s="104">
        <f t="shared" si="46"/>
        <v>0</v>
      </c>
      <c r="I74" s="104">
        <f t="shared" si="46"/>
        <v>1756.1030000000001</v>
      </c>
      <c r="J74" s="104">
        <f t="shared" si="46"/>
        <v>300</v>
      </c>
      <c r="K74" s="104">
        <f t="shared" si="46"/>
        <v>300</v>
      </c>
      <c r="L74" s="172">
        <f t="shared" si="46"/>
        <v>1732.9010000000001</v>
      </c>
      <c r="M74" s="172">
        <f t="shared" si="46"/>
        <v>1716.1210000000001</v>
      </c>
      <c r="N74" s="104">
        <f t="shared" si="46"/>
        <v>0</v>
      </c>
      <c r="O74" s="104">
        <f t="shared" ref="O74" si="47">O75</f>
        <v>100</v>
      </c>
      <c r="P74" s="104">
        <f t="shared" si="46"/>
        <v>23.201999999999998</v>
      </c>
      <c r="Q74" s="104">
        <f t="shared" si="46"/>
        <v>0</v>
      </c>
      <c r="R74" s="104">
        <f t="shared" si="46"/>
        <v>0</v>
      </c>
      <c r="S74" s="261"/>
      <c r="T74" s="339"/>
      <c r="U74" s="75"/>
      <c r="V74" s="75"/>
      <c r="W74" s="75"/>
      <c r="X74" s="75"/>
      <c r="Y74" s="75"/>
      <c r="Z74" s="151"/>
      <c r="AE74" s="75"/>
      <c r="AF74" s="79">
        <f t="shared" si="43"/>
        <v>23.201999999999998</v>
      </c>
      <c r="AG74" s="79">
        <f t="shared" si="44"/>
        <v>-1416.1210000000001</v>
      </c>
      <c r="AH74" s="75"/>
      <c r="AI74" s="75"/>
      <c r="AJ74" s="75"/>
      <c r="AK74" s="75"/>
      <c r="AL74" s="75"/>
      <c r="AM74" s="75"/>
      <c r="AN74" s="75"/>
      <c r="AO74" s="75"/>
      <c r="AP74" s="75"/>
      <c r="AQ74" s="75"/>
      <c r="AR74" s="75"/>
      <c r="AS74" s="75"/>
      <c r="AT74" s="75"/>
      <c r="AU74" s="75"/>
    </row>
    <row r="75" spans="1:47" s="154" customFormat="1" ht="13.5" x14ac:dyDescent="0.2">
      <c r="A75" s="262"/>
      <c r="B75" s="118" t="s">
        <v>405</v>
      </c>
      <c r="C75" s="333"/>
      <c r="D75" s="314"/>
      <c r="E75" s="119"/>
      <c r="F75" s="109">
        <f>SUM(F76:F84)</f>
        <v>35984</v>
      </c>
      <c r="G75" s="109">
        <f t="shared" ref="G75:R75" si="48">SUM(G76:G84)</f>
        <v>0</v>
      </c>
      <c r="H75" s="109">
        <f t="shared" si="48"/>
        <v>0</v>
      </c>
      <c r="I75" s="109">
        <f t="shared" si="48"/>
        <v>1247.3920000000001</v>
      </c>
      <c r="J75" s="109">
        <f t="shared" si="48"/>
        <v>300</v>
      </c>
      <c r="K75" s="109">
        <f t="shared" si="48"/>
        <v>300</v>
      </c>
      <c r="L75" s="173">
        <f t="shared" si="48"/>
        <v>1224.19</v>
      </c>
      <c r="M75" s="173">
        <f t="shared" si="48"/>
        <v>1207.4100000000001</v>
      </c>
      <c r="N75" s="109">
        <f t="shared" si="48"/>
        <v>0</v>
      </c>
      <c r="O75" s="109">
        <f t="shared" ref="O75" si="49">O76</f>
        <v>100</v>
      </c>
      <c r="P75" s="109">
        <f t="shared" si="48"/>
        <v>23.201999999999998</v>
      </c>
      <c r="Q75" s="109">
        <f t="shared" si="48"/>
        <v>0</v>
      </c>
      <c r="R75" s="109">
        <f t="shared" si="48"/>
        <v>0</v>
      </c>
      <c r="S75" s="263"/>
      <c r="T75" s="340"/>
      <c r="U75" s="115"/>
      <c r="V75" s="115"/>
      <c r="W75" s="115"/>
      <c r="X75" s="115"/>
      <c r="Y75" s="115"/>
      <c r="Z75" s="153"/>
      <c r="AE75" s="115"/>
      <c r="AF75" s="79">
        <f t="shared" si="43"/>
        <v>23.201999999999998</v>
      </c>
      <c r="AG75" s="79">
        <f t="shared" si="44"/>
        <v>-907.41000000000008</v>
      </c>
      <c r="AH75" s="115"/>
      <c r="AI75" s="115"/>
      <c r="AJ75" s="115"/>
      <c r="AK75" s="115"/>
      <c r="AL75" s="115"/>
      <c r="AM75" s="115"/>
      <c r="AN75" s="115"/>
      <c r="AO75" s="115"/>
      <c r="AP75" s="115"/>
      <c r="AQ75" s="115"/>
      <c r="AR75" s="115"/>
      <c r="AS75" s="115"/>
      <c r="AT75" s="115"/>
      <c r="AU75" s="115"/>
    </row>
    <row r="76" spans="1:47" s="76" customFormat="1" ht="25.5" x14ac:dyDescent="0.2">
      <c r="A76" s="259">
        <v>1</v>
      </c>
      <c r="B76" s="334" t="s">
        <v>388</v>
      </c>
      <c r="C76" s="315" t="s">
        <v>137</v>
      </c>
      <c r="D76" s="112">
        <v>2020</v>
      </c>
      <c r="E76" s="112" t="s">
        <v>395</v>
      </c>
      <c r="F76" s="84">
        <v>5880</v>
      </c>
      <c r="G76" s="84"/>
      <c r="H76" s="84"/>
      <c r="I76" s="317">
        <v>351.279</v>
      </c>
      <c r="J76" s="322"/>
      <c r="K76" s="85"/>
      <c r="L76" s="162">
        <f>M76</f>
        <v>351.279</v>
      </c>
      <c r="M76" s="162">
        <v>351.279</v>
      </c>
      <c r="N76" s="162"/>
      <c r="O76" s="85">
        <f t="shared" ref="O76:O84" si="50">L76/I76*100</f>
        <v>100</v>
      </c>
      <c r="P76" s="85">
        <f t="shared" ref="P76:P84" si="51">I76-L76</f>
        <v>0</v>
      </c>
      <c r="Q76" s="162"/>
      <c r="R76" s="162"/>
      <c r="S76" s="98"/>
      <c r="T76" s="155" t="s">
        <v>125</v>
      </c>
      <c r="U76" s="122" t="s">
        <v>292</v>
      </c>
      <c r="V76" s="74"/>
      <c r="W76" s="74"/>
      <c r="X76" s="74"/>
      <c r="Y76" s="74"/>
      <c r="Z76" s="125"/>
      <c r="AE76" s="74"/>
      <c r="AF76" s="79">
        <f t="shared" si="43"/>
        <v>0</v>
      </c>
      <c r="AG76" s="79">
        <f t="shared" si="44"/>
        <v>-351.279</v>
      </c>
      <c r="AH76" s="74"/>
      <c r="AI76" s="74"/>
      <c r="AJ76" s="74"/>
      <c r="AK76" s="74"/>
      <c r="AL76" s="74"/>
      <c r="AM76" s="74"/>
      <c r="AN76" s="74"/>
      <c r="AO76" s="74"/>
      <c r="AP76" s="74"/>
      <c r="AQ76" s="74"/>
      <c r="AR76" s="74"/>
      <c r="AS76" s="74"/>
      <c r="AT76" s="74"/>
      <c r="AU76" s="74"/>
    </row>
    <row r="77" spans="1:47" s="76" customFormat="1" ht="33.75" x14ac:dyDescent="0.2">
      <c r="A77" s="259">
        <v>2</v>
      </c>
      <c r="B77" s="334" t="s">
        <v>389</v>
      </c>
      <c r="C77" s="315" t="s">
        <v>145</v>
      </c>
      <c r="D77" s="112" t="s">
        <v>159</v>
      </c>
      <c r="E77" s="112" t="s">
        <v>396</v>
      </c>
      <c r="F77" s="84">
        <v>6995</v>
      </c>
      <c r="G77" s="84"/>
      <c r="H77" s="84"/>
      <c r="I77" s="317">
        <v>261.75</v>
      </c>
      <c r="J77" s="322"/>
      <c r="K77" s="85"/>
      <c r="L77" s="162">
        <f>M77</f>
        <v>261.75</v>
      </c>
      <c r="M77" s="317">
        <v>261.75</v>
      </c>
      <c r="N77" s="317"/>
      <c r="O77" s="85">
        <f t="shared" si="50"/>
        <v>100</v>
      </c>
      <c r="P77" s="85">
        <f t="shared" si="51"/>
        <v>0</v>
      </c>
      <c r="Q77" s="162"/>
      <c r="R77" s="162"/>
      <c r="S77" s="98"/>
      <c r="T77" s="155" t="s">
        <v>125</v>
      </c>
      <c r="U77" s="122" t="s">
        <v>292</v>
      </c>
      <c r="V77" s="74"/>
      <c r="W77" s="74"/>
      <c r="X77" s="74"/>
      <c r="Y77" s="74"/>
      <c r="Z77" s="125"/>
      <c r="AE77" s="74"/>
      <c r="AF77" s="79">
        <f t="shared" si="43"/>
        <v>0</v>
      </c>
      <c r="AG77" s="79">
        <f t="shared" si="44"/>
        <v>-261.75</v>
      </c>
      <c r="AH77" s="74"/>
      <c r="AI77" s="74"/>
      <c r="AJ77" s="74"/>
      <c r="AK77" s="74"/>
      <c r="AL77" s="74"/>
      <c r="AM77" s="74"/>
      <c r="AN77" s="74"/>
      <c r="AO77" s="74"/>
      <c r="AP77" s="74"/>
      <c r="AQ77" s="74"/>
      <c r="AR77" s="74"/>
      <c r="AS77" s="74"/>
      <c r="AT77" s="74"/>
      <c r="AU77" s="74"/>
    </row>
    <row r="78" spans="1:47" s="76" customFormat="1" ht="33.75" x14ac:dyDescent="0.2">
      <c r="A78" s="259">
        <v>3</v>
      </c>
      <c r="B78" s="334" t="s">
        <v>390</v>
      </c>
      <c r="C78" s="315" t="s">
        <v>148</v>
      </c>
      <c r="D78" s="112" t="s">
        <v>159</v>
      </c>
      <c r="E78" s="112" t="s">
        <v>397</v>
      </c>
      <c r="F78" s="84">
        <v>6990</v>
      </c>
      <c r="G78" s="84"/>
      <c r="H78" s="84"/>
      <c r="I78" s="317">
        <v>119.114</v>
      </c>
      <c r="J78" s="322"/>
      <c r="K78" s="85"/>
      <c r="L78" s="162">
        <f t="shared" ref="L78:L84" si="52">M78</f>
        <v>119.114</v>
      </c>
      <c r="M78" s="317">
        <v>119.114</v>
      </c>
      <c r="N78" s="317"/>
      <c r="O78" s="85">
        <f t="shared" si="50"/>
        <v>100</v>
      </c>
      <c r="P78" s="85">
        <f t="shared" si="51"/>
        <v>0</v>
      </c>
      <c r="Q78" s="162"/>
      <c r="R78" s="162"/>
      <c r="S78" s="98"/>
      <c r="T78" s="155" t="s">
        <v>125</v>
      </c>
      <c r="U78" s="122" t="s">
        <v>292</v>
      </c>
      <c r="V78" s="74"/>
      <c r="W78" s="74"/>
      <c r="X78" s="74"/>
      <c r="Y78" s="74"/>
      <c r="Z78" s="125"/>
      <c r="AE78" s="74"/>
      <c r="AF78" s="79">
        <f t="shared" si="43"/>
        <v>0</v>
      </c>
      <c r="AG78" s="79">
        <f t="shared" si="44"/>
        <v>-119.114</v>
      </c>
      <c r="AH78" s="74"/>
      <c r="AI78" s="74"/>
      <c r="AJ78" s="74"/>
      <c r="AK78" s="74"/>
      <c r="AL78" s="74"/>
      <c r="AM78" s="74"/>
      <c r="AN78" s="74"/>
      <c r="AO78" s="74"/>
      <c r="AP78" s="74"/>
      <c r="AQ78" s="74"/>
      <c r="AR78" s="74"/>
      <c r="AS78" s="74"/>
      <c r="AT78" s="74"/>
      <c r="AU78" s="74"/>
    </row>
    <row r="79" spans="1:47" s="76" customFormat="1" ht="33.75" x14ac:dyDescent="0.2">
      <c r="A79" s="259">
        <v>4</v>
      </c>
      <c r="B79" s="334" t="s">
        <v>391</v>
      </c>
      <c r="C79" s="315" t="s">
        <v>148</v>
      </c>
      <c r="D79" s="112" t="s">
        <v>159</v>
      </c>
      <c r="E79" s="112" t="s">
        <v>398</v>
      </c>
      <c r="F79" s="84">
        <v>700</v>
      </c>
      <c r="G79" s="84"/>
      <c r="H79" s="84"/>
      <c r="I79" s="317">
        <v>18.969000000000001</v>
      </c>
      <c r="J79" s="322"/>
      <c r="K79" s="85"/>
      <c r="L79" s="162">
        <f t="shared" si="52"/>
        <v>18.969000000000001</v>
      </c>
      <c r="M79" s="317">
        <v>18.969000000000001</v>
      </c>
      <c r="N79" s="317"/>
      <c r="O79" s="85">
        <f t="shared" si="50"/>
        <v>100</v>
      </c>
      <c r="P79" s="85">
        <f t="shared" si="51"/>
        <v>0</v>
      </c>
      <c r="Q79" s="162"/>
      <c r="R79" s="162"/>
      <c r="S79" s="98"/>
      <c r="T79" s="155" t="s">
        <v>125</v>
      </c>
      <c r="U79" s="124" t="s">
        <v>298</v>
      </c>
      <c r="V79" s="74"/>
      <c r="W79" s="74"/>
      <c r="X79" s="74"/>
      <c r="Y79" s="74"/>
      <c r="Z79" s="125"/>
      <c r="AE79" s="74"/>
      <c r="AF79" s="79">
        <f t="shared" si="43"/>
        <v>0</v>
      </c>
      <c r="AG79" s="79">
        <f t="shared" si="44"/>
        <v>-18.969000000000001</v>
      </c>
      <c r="AH79" s="74"/>
      <c r="AI79" s="74"/>
      <c r="AJ79" s="74"/>
      <c r="AK79" s="74"/>
      <c r="AL79" s="74"/>
      <c r="AM79" s="74"/>
      <c r="AN79" s="74"/>
      <c r="AO79" s="74"/>
      <c r="AP79" s="74"/>
      <c r="AQ79" s="74"/>
      <c r="AR79" s="74"/>
      <c r="AS79" s="74"/>
      <c r="AT79" s="74"/>
      <c r="AU79" s="74"/>
    </row>
    <row r="80" spans="1:47" s="76" customFormat="1" ht="33.75" x14ac:dyDescent="0.2">
      <c r="A80" s="259">
        <v>5</v>
      </c>
      <c r="B80" s="334" t="s">
        <v>392</v>
      </c>
      <c r="C80" s="315" t="s">
        <v>148</v>
      </c>
      <c r="D80" s="112" t="s">
        <v>159</v>
      </c>
      <c r="E80" s="112" t="s">
        <v>399</v>
      </c>
      <c r="F80" s="84">
        <v>2871</v>
      </c>
      <c r="G80" s="84"/>
      <c r="H80" s="84"/>
      <c r="I80" s="317">
        <v>67</v>
      </c>
      <c r="J80" s="322"/>
      <c r="K80" s="85"/>
      <c r="L80" s="162">
        <f t="shared" si="52"/>
        <v>67</v>
      </c>
      <c r="M80" s="162">
        <v>67</v>
      </c>
      <c r="N80" s="162"/>
      <c r="O80" s="85">
        <f t="shared" si="50"/>
        <v>100</v>
      </c>
      <c r="P80" s="85">
        <f t="shared" si="51"/>
        <v>0</v>
      </c>
      <c r="Q80" s="162"/>
      <c r="R80" s="162"/>
      <c r="S80" s="98"/>
      <c r="T80" s="155" t="s">
        <v>125</v>
      </c>
      <c r="U80" s="124" t="s">
        <v>298</v>
      </c>
      <c r="V80" s="74"/>
      <c r="W80" s="74"/>
      <c r="X80" s="74"/>
      <c r="Y80" s="74"/>
      <c r="Z80" s="125"/>
      <c r="AE80" s="74"/>
      <c r="AF80" s="79">
        <f t="shared" si="43"/>
        <v>0</v>
      </c>
      <c r="AG80" s="79">
        <f t="shared" si="44"/>
        <v>-67</v>
      </c>
      <c r="AH80" s="74"/>
      <c r="AI80" s="74"/>
      <c r="AJ80" s="74"/>
      <c r="AK80" s="74"/>
      <c r="AL80" s="74"/>
      <c r="AM80" s="74"/>
      <c r="AN80" s="74"/>
      <c r="AO80" s="74"/>
      <c r="AP80" s="74"/>
      <c r="AQ80" s="74"/>
      <c r="AR80" s="74"/>
      <c r="AS80" s="74"/>
      <c r="AT80" s="74"/>
      <c r="AU80" s="74"/>
    </row>
    <row r="81" spans="1:47" s="76" customFormat="1" ht="33.75" x14ac:dyDescent="0.2">
      <c r="A81" s="259">
        <v>6</v>
      </c>
      <c r="B81" s="334" t="s">
        <v>393</v>
      </c>
      <c r="C81" s="315" t="s">
        <v>219</v>
      </c>
      <c r="D81" s="112" t="s">
        <v>159</v>
      </c>
      <c r="E81" s="112" t="s">
        <v>400</v>
      </c>
      <c r="F81" s="84">
        <v>4948</v>
      </c>
      <c r="G81" s="84"/>
      <c r="H81" s="84"/>
      <c r="I81" s="317">
        <v>78.027000000000001</v>
      </c>
      <c r="J81" s="322"/>
      <c r="K81" s="85"/>
      <c r="L81" s="162">
        <f t="shared" si="52"/>
        <v>78.027000000000001</v>
      </c>
      <c r="M81" s="162">
        <v>78.027000000000001</v>
      </c>
      <c r="N81" s="335"/>
      <c r="O81" s="85">
        <f t="shared" si="50"/>
        <v>100</v>
      </c>
      <c r="P81" s="85">
        <f t="shared" si="51"/>
        <v>0</v>
      </c>
      <c r="Q81" s="162"/>
      <c r="R81" s="162"/>
      <c r="S81" s="98"/>
      <c r="T81" s="155" t="s">
        <v>125</v>
      </c>
      <c r="U81" s="123" t="s">
        <v>303</v>
      </c>
      <c r="V81" s="74"/>
      <c r="W81" s="74"/>
      <c r="X81" s="74"/>
      <c r="Y81" s="74"/>
      <c r="Z81" s="125"/>
      <c r="AE81" s="74"/>
      <c r="AF81" s="79">
        <f t="shared" si="43"/>
        <v>0</v>
      </c>
      <c r="AG81" s="79">
        <f t="shared" si="44"/>
        <v>-78.027000000000001</v>
      </c>
      <c r="AH81" s="74"/>
      <c r="AI81" s="74"/>
      <c r="AJ81" s="74"/>
      <c r="AK81" s="74"/>
      <c r="AL81" s="74"/>
      <c r="AM81" s="74"/>
      <c r="AN81" s="74"/>
      <c r="AO81" s="74"/>
      <c r="AP81" s="74"/>
      <c r="AQ81" s="74"/>
      <c r="AR81" s="74"/>
      <c r="AS81" s="74"/>
      <c r="AT81" s="74"/>
      <c r="AU81" s="74"/>
    </row>
    <row r="82" spans="1:47" s="76" customFormat="1" ht="33.75" x14ac:dyDescent="0.2">
      <c r="A82" s="259">
        <v>7</v>
      </c>
      <c r="B82" s="334" t="s">
        <v>394</v>
      </c>
      <c r="C82" s="315" t="s">
        <v>165</v>
      </c>
      <c r="D82" s="112">
        <v>2019</v>
      </c>
      <c r="E82" s="112" t="s">
        <v>401</v>
      </c>
      <c r="F82" s="84">
        <v>800</v>
      </c>
      <c r="G82" s="84"/>
      <c r="H82" s="84"/>
      <c r="I82" s="317">
        <v>122.845</v>
      </c>
      <c r="J82" s="322"/>
      <c r="K82" s="85"/>
      <c r="L82" s="162">
        <f t="shared" si="52"/>
        <v>99.643000000000001</v>
      </c>
      <c r="M82" s="162">
        <v>99.643000000000001</v>
      </c>
      <c r="N82" s="162"/>
      <c r="O82" s="85">
        <f t="shared" si="50"/>
        <v>81.1127844031096</v>
      </c>
      <c r="P82" s="85">
        <f t="shared" si="51"/>
        <v>23.201999999999998</v>
      </c>
      <c r="Q82" s="180" t="s">
        <v>457</v>
      </c>
      <c r="R82" s="162"/>
      <c r="S82" s="98"/>
      <c r="T82" s="155" t="s">
        <v>125</v>
      </c>
      <c r="U82" s="123" t="s">
        <v>348</v>
      </c>
      <c r="V82" s="74"/>
      <c r="W82" s="74"/>
      <c r="X82" s="74"/>
      <c r="Y82" s="74"/>
      <c r="Z82" s="125"/>
      <c r="AE82" s="74"/>
      <c r="AF82" s="79">
        <f t="shared" si="43"/>
        <v>23.201999999999998</v>
      </c>
      <c r="AG82" s="79">
        <f t="shared" si="44"/>
        <v>-99.643000000000001</v>
      </c>
      <c r="AH82" s="74"/>
      <c r="AI82" s="74"/>
      <c r="AJ82" s="74"/>
      <c r="AK82" s="74"/>
      <c r="AL82" s="74"/>
      <c r="AM82" s="74"/>
      <c r="AN82" s="74"/>
      <c r="AO82" s="74"/>
      <c r="AP82" s="74"/>
      <c r="AQ82" s="74"/>
      <c r="AR82" s="74"/>
      <c r="AS82" s="74"/>
      <c r="AT82" s="74"/>
      <c r="AU82" s="74"/>
    </row>
    <row r="83" spans="1:47" ht="25.5" x14ac:dyDescent="0.2">
      <c r="A83" s="259">
        <v>8</v>
      </c>
      <c r="B83" s="334" t="s">
        <v>417</v>
      </c>
      <c r="C83" s="315" t="s">
        <v>141</v>
      </c>
      <c r="D83" s="112"/>
      <c r="E83" s="112" t="s">
        <v>419</v>
      </c>
      <c r="F83" s="84">
        <v>1800</v>
      </c>
      <c r="G83" s="84"/>
      <c r="H83" s="84"/>
      <c r="I83" s="317">
        <v>100</v>
      </c>
      <c r="J83" s="322">
        <f>K83</f>
        <v>150</v>
      </c>
      <c r="K83" s="85">
        <v>150</v>
      </c>
      <c r="L83" s="162">
        <v>100</v>
      </c>
      <c r="M83" s="162">
        <v>83.22</v>
      </c>
      <c r="N83" s="162"/>
      <c r="O83" s="85">
        <f t="shared" si="50"/>
        <v>100</v>
      </c>
      <c r="P83" s="85">
        <f t="shared" si="51"/>
        <v>0</v>
      </c>
      <c r="Q83" s="162"/>
      <c r="R83" s="162"/>
      <c r="S83" s="98"/>
      <c r="T83" s="155" t="s">
        <v>124</v>
      </c>
      <c r="U83" s="122" t="s">
        <v>292</v>
      </c>
      <c r="Z83" s="125"/>
      <c r="AF83" s="79">
        <f t="shared" si="43"/>
        <v>0</v>
      </c>
      <c r="AG83" s="79">
        <f t="shared" si="44"/>
        <v>66.78</v>
      </c>
    </row>
    <row r="84" spans="1:47" ht="27" customHeight="1" x14ac:dyDescent="0.2">
      <c r="A84" s="259">
        <v>9</v>
      </c>
      <c r="B84" s="334" t="s">
        <v>418</v>
      </c>
      <c r="C84" s="315" t="s">
        <v>219</v>
      </c>
      <c r="D84" s="112"/>
      <c r="E84" s="112" t="s">
        <v>420</v>
      </c>
      <c r="F84" s="84">
        <v>5000</v>
      </c>
      <c r="G84" s="84"/>
      <c r="H84" s="84"/>
      <c r="I84" s="317">
        <v>128.40799999999999</v>
      </c>
      <c r="J84" s="322">
        <f>K84</f>
        <v>150</v>
      </c>
      <c r="K84" s="85">
        <v>150</v>
      </c>
      <c r="L84" s="162">
        <f t="shared" si="52"/>
        <v>128.40799999999999</v>
      </c>
      <c r="M84" s="162">
        <v>128.40799999999999</v>
      </c>
      <c r="N84" s="162"/>
      <c r="O84" s="85">
        <f t="shared" si="50"/>
        <v>100</v>
      </c>
      <c r="P84" s="85">
        <f t="shared" si="51"/>
        <v>0</v>
      </c>
      <c r="Q84" s="162"/>
      <c r="R84" s="162"/>
      <c r="S84" s="98"/>
      <c r="T84" s="155" t="s">
        <v>124</v>
      </c>
      <c r="U84" s="122" t="s">
        <v>292</v>
      </c>
      <c r="Z84" s="125"/>
      <c r="AF84" s="79">
        <f t="shared" si="43"/>
        <v>0</v>
      </c>
      <c r="AG84" s="79">
        <f t="shared" si="44"/>
        <v>21.592000000000013</v>
      </c>
    </row>
    <row r="85" spans="1:47" s="148" customFormat="1" ht="25.5" x14ac:dyDescent="0.2">
      <c r="A85" s="260" t="s">
        <v>411</v>
      </c>
      <c r="B85" s="103" t="s">
        <v>412</v>
      </c>
      <c r="C85" s="328"/>
      <c r="D85" s="114"/>
      <c r="E85" s="114"/>
      <c r="F85" s="104">
        <f>SUM(F87)</f>
        <v>2550</v>
      </c>
      <c r="G85" s="104">
        <f t="shared" ref="G85:R85" si="53">SUM(G87)</f>
        <v>0</v>
      </c>
      <c r="H85" s="104">
        <f t="shared" si="53"/>
        <v>0</v>
      </c>
      <c r="I85" s="104">
        <f t="shared" si="53"/>
        <v>508.71100000000001</v>
      </c>
      <c r="J85" s="104">
        <f t="shared" si="53"/>
        <v>0</v>
      </c>
      <c r="K85" s="104">
        <f t="shared" si="53"/>
        <v>0</v>
      </c>
      <c r="L85" s="172">
        <f t="shared" si="53"/>
        <v>508.71100000000001</v>
      </c>
      <c r="M85" s="172">
        <f t="shared" si="53"/>
        <v>508.71100000000001</v>
      </c>
      <c r="N85" s="104">
        <f t="shared" si="53"/>
        <v>0</v>
      </c>
      <c r="O85" s="104">
        <f t="shared" si="53"/>
        <v>100</v>
      </c>
      <c r="P85" s="104">
        <f t="shared" si="53"/>
        <v>0</v>
      </c>
      <c r="Q85" s="104">
        <f t="shared" si="53"/>
        <v>0</v>
      </c>
      <c r="R85" s="104">
        <f t="shared" si="53"/>
        <v>0</v>
      </c>
      <c r="S85" s="261"/>
      <c r="T85" s="339"/>
      <c r="U85" s="75"/>
      <c r="V85" s="75"/>
      <c r="W85" s="75"/>
      <c r="X85" s="75"/>
      <c r="Y85" s="75"/>
      <c r="Z85" s="75"/>
      <c r="AE85" s="75"/>
      <c r="AF85" s="79"/>
      <c r="AG85" s="79"/>
      <c r="AH85" s="75"/>
      <c r="AI85" s="75"/>
      <c r="AJ85" s="75"/>
      <c r="AK85" s="75"/>
      <c r="AL85" s="75"/>
      <c r="AM85" s="75"/>
      <c r="AN85" s="75"/>
      <c r="AO85" s="75"/>
      <c r="AP85" s="75"/>
      <c r="AQ85" s="75"/>
      <c r="AR85" s="75"/>
      <c r="AS85" s="75"/>
      <c r="AT85" s="75"/>
      <c r="AU85" s="75"/>
    </row>
    <row r="86" spans="1:47" s="148" customFormat="1" ht="13.5" x14ac:dyDescent="0.2">
      <c r="A86" s="260"/>
      <c r="B86" s="118" t="s">
        <v>405</v>
      </c>
      <c r="C86" s="328"/>
      <c r="D86" s="114"/>
      <c r="E86" s="114"/>
      <c r="F86" s="104"/>
      <c r="G86" s="104"/>
      <c r="H86" s="104"/>
      <c r="I86" s="171"/>
      <c r="J86" s="171"/>
      <c r="K86" s="171"/>
      <c r="L86" s="336"/>
      <c r="M86" s="336"/>
      <c r="N86" s="171"/>
      <c r="O86" s="171"/>
      <c r="P86" s="171"/>
      <c r="Q86" s="171"/>
      <c r="R86" s="171"/>
      <c r="S86" s="261"/>
      <c r="T86" s="339"/>
      <c r="U86" s="75"/>
      <c r="V86" s="75"/>
      <c r="W86" s="75"/>
      <c r="X86" s="75"/>
      <c r="Y86" s="75"/>
      <c r="Z86" s="75"/>
      <c r="AE86" s="75"/>
      <c r="AF86" s="79"/>
      <c r="AG86" s="79"/>
      <c r="AH86" s="75"/>
      <c r="AI86" s="75"/>
      <c r="AJ86" s="75"/>
      <c r="AK86" s="75"/>
      <c r="AL86" s="75"/>
      <c r="AM86" s="75"/>
      <c r="AN86" s="75"/>
      <c r="AO86" s="75"/>
      <c r="AP86" s="75"/>
      <c r="AQ86" s="75"/>
      <c r="AR86" s="75"/>
      <c r="AS86" s="75"/>
      <c r="AT86" s="75"/>
      <c r="AU86" s="75"/>
    </row>
    <row r="87" spans="1:47" s="149" customFormat="1" ht="25.5" x14ac:dyDescent="0.2">
      <c r="A87" s="344">
        <v>1</v>
      </c>
      <c r="B87" s="345" t="s">
        <v>402</v>
      </c>
      <c r="C87" s="346" t="s">
        <v>137</v>
      </c>
      <c r="D87" s="347">
        <v>2021</v>
      </c>
      <c r="E87" s="347" t="s">
        <v>403</v>
      </c>
      <c r="F87" s="348">
        <v>2550</v>
      </c>
      <c r="G87" s="348"/>
      <c r="H87" s="348"/>
      <c r="I87" s="349">
        <f>327.93+180.781</f>
        <v>508.71100000000001</v>
      </c>
      <c r="J87" s="350"/>
      <c r="K87" s="351"/>
      <c r="L87" s="352">
        <f>M87</f>
        <v>508.71100000000001</v>
      </c>
      <c r="M87" s="352">
        <f>I87</f>
        <v>508.71100000000001</v>
      </c>
      <c r="N87" s="352"/>
      <c r="O87" s="351">
        <f t="shared" ref="O87" si="54">L87/I87*100</f>
        <v>100</v>
      </c>
      <c r="P87" s="351">
        <f t="shared" ref="P87" si="55">I87-L87</f>
        <v>0</v>
      </c>
      <c r="Q87" s="352"/>
      <c r="R87" s="352"/>
      <c r="S87" s="353"/>
      <c r="T87" s="155" t="s">
        <v>125</v>
      </c>
      <c r="U87" s="122" t="s">
        <v>292</v>
      </c>
      <c r="V87" s="74"/>
      <c r="W87" s="74"/>
      <c r="X87" s="74"/>
      <c r="Y87" s="74"/>
      <c r="Z87" s="74"/>
      <c r="AE87" s="74"/>
      <c r="AF87" s="79">
        <f>I87-L87</f>
        <v>0</v>
      </c>
      <c r="AG87" s="79">
        <f>J87-M87</f>
        <v>-508.71100000000001</v>
      </c>
      <c r="AH87" s="74"/>
      <c r="AI87" s="74"/>
      <c r="AJ87" s="74"/>
      <c r="AK87" s="74"/>
      <c r="AL87" s="74"/>
      <c r="AM87" s="74"/>
      <c r="AN87" s="74"/>
      <c r="AO87" s="74"/>
      <c r="AP87" s="74"/>
      <c r="AQ87" s="74"/>
      <c r="AR87" s="74"/>
      <c r="AS87" s="74"/>
      <c r="AT87" s="74"/>
      <c r="AU87" s="74"/>
    </row>
    <row r="88" spans="1:47" ht="13.5" hidden="1" x14ac:dyDescent="0.2">
      <c r="A88" s="239"/>
      <c r="B88" s="239"/>
      <c r="C88" s="163"/>
      <c r="D88" s="163"/>
      <c r="S88" s="99"/>
    </row>
    <row r="89" spans="1:47" hidden="1" x14ac:dyDescent="0.2">
      <c r="A89" s="134"/>
      <c r="B89" s="137" t="s">
        <v>416</v>
      </c>
      <c r="C89" s="137"/>
      <c r="D89" s="137"/>
      <c r="E89" s="137"/>
      <c r="F89" s="136">
        <f>SUM(F90:F107)</f>
        <v>458913.16800000001</v>
      </c>
      <c r="G89" s="136"/>
      <c r="H89" s="136">
        <f t="shared" ref="H89:R89" si="56">SUM(H90:H107)</f>
        <v>305412.64100000006</v>
      </c>
      <c r="I89" s="136">
        <f t="shared" si="56"/>
        <v>57337.919000000009</v>
      </c>
      <c r="J89" s="136">
        <f t="shared" si="56"/>
        <v>351164.30699999991</v>
      </c>
      <c r="K89" s="136">
        <f t="shared" si="56"/>
        <v>31972.864999999998</v>
      </c>
      <c r="L89" s="136">
        <f t="shared" si="56"/>
        <v>57314.717000000004</v>
      </c>
      <c r="M89" s="136">
        <f t="shared" si="56"/>
        <v>49292.220000000008</v>
      </c>
      <c r="N89" s="136"/>
      <c r="O89" s="136"/>
      <c r="P89" s="136">
        <f t="shared" si="56"/>
        <v>23.201999999999998</v>
      </c>
      <c r="Q89" s="136">
        <f t="shared" si="56"/>
        <v>0</v>
      </c>
      <c r="R89" s="136">
        <f t="shared" si="56"/>
        <v>0</v>
      </c>
      <c r="S89" s="137"/>
      <c r="T89" s="138"/>
      <c r="U89" s="136">
        <f>SUM(U90:U107)</f>
        <v>48</v>
      </c>
    </row>
    <row r="90" spans="1:47" hidden="1" x14ac:dyDescent="0.2">
      <c r="A90" s="129">
        <v>1</v>
      </c>
      <c r="B90" s="130" t="s">
        <v>292</v>
      </c>
      <c r="C90" s="128"/>
      <c r="D90" s="128"/>
      <c r="E90" s="128"/>
      <c r="F90" s="126">
        <f t="shared" ref="F90:F107" si="57">SUMIF($U$15:$U$87,B90,$F$15:$F$87)</f>
        <v>435460.228</v>
      </c>
      <c r="G90" s="126"/>
      <c r="H90" s="126">
        <f t="shared" ref="H90:H107" si="58">SUMIF($U$15:$U$87,B90,$H$15:$H$87)</f>
        <v>303752.64100000006</v>
      </c>
      <c r="I90" s="126">
        <f t="shared" ref="I90:I107" si="59">SUMIF($U$15:$U$87,B90,$I$15:$I$87)</f>
        <v>51698.078000000009</v>
      </c>
      <c r="J90" s="157">
        <f t="shared" ref="J90:J107" si="60">SUMIF($U$15:$U$87,B90,$J$15:$J$87)</f>
        <v>337716.60199999996</v>
      </c>
      <c r="K90" s="126">
        <f t="shared" ref="K90:K107" si="61">SUMIF($U$15:$U$87,B90,$K$15:$K$87)</f>
        <v>31972.864999999998</v>
      </c>
      <c r="L90" s="126">
        <f t="shared" ref="L90:L107" si="62">SUMIF($U$15:$U$87,B90,$L$15:$L$87)</f>
        <v>51698.078000000009</v>
      </c>
      <c r="M90" s="126">
        <f t="shared" ref="M90:M107" si="63">SUMIF($U$15:$U$87,B90,$M$15:$M$87)</f>
        <v>43675.581000000013</v>
      </c>
      <c r="N90" s="126"/>
      <c r="O90" s="126"/>
      <c r="P90" s="126">
        <f t="shared" ref="P90:P107" si="64">SUMIF($U$15:$U$87,B90,$P$15:$P$87)</f>
        <v>0</v>
      </c>
      <c r="Q90" s="126">
        <f t="shared" ref="Q90:Q107" si="65">SUMIF($U$15:$U$87,B90,$Q$15:$Q$87)</f>
        <v>0</v>
      </c>
      <c r="R90" s="126">
        <f t="shared" ref="R90:R107" si="66">SUMIF($U$15:$U$87,B90,$R$15:$R$87)</f>
        <v>0</v>
      </c>
      <c r="S90" s="128"/>
      <c r="T90" s="156"/>
      <c r="U90" s="127">
        <f t="shared" ref="U90:U107" si="67">COUNTIF($U$12:$U$87,B90)</f>
        <v>40</v>
      </c>
    </row>
    <row r="91" spans="1:47" hidden="1" x14ac:dyDescent="0.2">
      <c r="A91" s="129">
        <v>2</v>
      </c>
      <c r="B91" s="128" t="s">
        <v>415</v>
      </c>
      <c r="C91" s="128"/>
      <c r="D91" s="128"/>
      <c r="E91" s="128"/>
      <c r="F91" s="126">
        <f t="shared" si="57"/>
        <v>6980</v>
      </c>
      <c r="G91" s="126"/>
      <c r="H91" s="126">
        <f t="shared" si="58"/>
        <v>0</v>
      </c>
      <c r="I91" s="126">
        <f t="shared" si="59"/>
        <v>3093</v>
      </c>
      <c r="J91" s="157">
        <f t="shared" si="60"/>
        <v>6883.8770000000004</v>
      </c>
      <c r="K91" s="126">
        <f t="shared" si="61"/>
        <v>0</v>
      </c>
      <c r="L91" s="126">
        <f t="shared" si="62"/>
        <v>3093</v>
      </c>
      <c r="M91" s="126">
        <f t="shared" si="63"/>
        <v>3093</v>
      </c>
      <c r="N91" s="126"/>
      <c r="O91" s="126"/>
      <c r="P91" s="126">
        <f t="shared" si="64"/>
        <v>0</v>
      </c>
      <c r="Q91" s="126">
        <f t="shared" si="65"/>
        <v>0</v>
      </c>
      <c r="R91" s="126">
        <f t="shared" si="66"/>
        <v>0</v>
      </c>
      <c r="S91" s="128"/>
      <c r="T91" s="156"/>
      <c r="U91" s="127">
        <f t="shared" si="67"/>
        <v>1</v>
      </c>
    </row>
    <row r="92" spans="1:47" ht="12.75" hidden="1" customHeight="1" x14ac:dyDescent="0.2">
      <c r="A92" s="129">
        <v>3</v>
      </c>
      <c r="B92" s="128" t="s">
        <v>414</v>
      </c>
      <c r="C92" s="128"/>
      <c r="D92" s="128"/>
      <c r="E92" s="128"/>
      <c r="F92" s="126">
        <f t="shared" si="57"/>
        <v>5103.9399999999996</v>
      </c>
      <c r="G92" s="126"/>
      <c r="H92" s="126">
        <f t="shared" si="58"/>
        <v>0</v>
      </c>
      <c r="I92" s="126">
        <f t="shared" si="59"/>
        <v>1600</v>
      </c>
      <c r="J92" s="157">
        <f t="shared" si="60"/>
        <v>4763.8280000000004</v>
      </c>
      <c r="K92" s="126">
        <f t="shared" si="61"/>
        <v>0</v>
      </c>
      <c r="L92" s="126">
        <f t="shared" si="62"/>
        <v>1600</v>
      </c>
      <c r="M92" s="126">
        <f t="shared" si="63"/>
        <v>1600</v>
      </c>
      <c r="N92" s="126"/>
      <c r="O92" s="126"/>
      <c r="P92" s="126">
        <f t="shared" si="64"/>
        <v>0</v>
      </c>
      <c r="Q92" s="126">
        <f t="shared" si="65"/>
        <v>0</v>
      </c>
      <c r="R92" s="126">
        <f t="shared" si="66"/>
        <v>0</v>
      </c>
      <c r="S92" s="128"/>
      <c r="T92" s="156"/>
      <c r="U92" s="127">
        <f t="shared" si="67"/>
        <v>2</v>
      </c>
    </row>
    <row r="93" spans="1:47" ht="12.75" hidden="1" customHeight="1" x14ac:dyDescent="0.2">
      <c r="A93" s="129">
        <v>4</v>
      </c>
      <c r="B93" s="74" t="s">
        <v>413</v>
      </c>
      <c r="C93" s="128"/>
      <c r="D93" s="128"/>
      <c r="E93" s="128"/>
      <c r="F93" s="126">
        <f t="shared" si="57"/>
        <v>2050</v>
      </c>
      <c r="G93" s="126"/>
      <c r="H93" s="126">
        <f t="shared" si="58"/>
        <v>1660</v>
      </c>
      <c r="I93" s="126">
        <f t="shared" si="59"/>
        <v>660</v>
      </c>
      <c r="J93" s="157">
        <f t="shared" si="60"/>
        <v>1800</v>
      </c>
      <c r="K93" s="126">
        <f t="shared" si="61"/>
        <v>0</v>
      </c>
      <c r="L93" s="126">
        <f t="shared" si="62"/>
        <v>660</v>
      </c>
      <c r="M93" s="126">
        <f t="shared" si="63"/>
        <v>660</v>
      </c>
      <c r="N93" s="126"/>
      <c r="O93" s="126"/>
      <c r="P93" s="126">
        <f t="shared" si="64"/>
        <v>0</v>
      </c>
      <c r="Q93" s="126">
        <f t="shared" si="65"/>
        <v>0</v>
      </c>
      <c r="R93" s="126">
        <f t="shared" si="66"/>
        <v>0</v>
      </c>
      <c r="S93" s="128"/>
      <c r="T93" s="156"/>
      <c r="U93" s="127">
        <f t="shared" si="67"/>
        <v>1</v>
      </c>
    </row>
    <row r="94" spans="1:47" hidden="1" x14ac:dyDescent="0.2">
      <c r="A94" s="129">
        <v>5</v>
      </c>
      <c r="B94" s="131" t="s">
        <v>349</v>
      </c>
      <c r="C94" s="128"/>
      <c r="D94" s="128"/>
      <c r="E94" s="128"/>
      <c r="F94" s="126">
        <f t="shared" si="57"/>
        <v>0</v>
      </c>
      <c r="G94" s="126"/>
      <c r="H94" s="126">
        <f t="shared" si="58"/>
        <v>0</v>
      </c>
      <c r="I94" s="126">
        <f t="shared" si="59"/>
        <v>0</v>
      </c>
      <c r="J94" s="157">
        <f t="shared" si="60"/>
        <v>0</v>
      </c>
      <c r="K94" s="126">
        <f t="shared" si="61"/>
        <v>0</v>
      </c>
      <c r="L94" s="126">
        <f t="shared" si="62"/>
        <v>0</v>
      </c>
      <c r="M94" s="126">
        <f t="shared" si="63"/>
        <v>0</v>
      </c>
      <c r="N94" s="126"/>
      <c r="O94" s="126"/>
      <c r="P94" s="126">
        <f t="shared" si="64"/>
        <v>0</v>
      </c>
      <c r="Q94" s="126">
        <f t="shared" si="65"/>
        <v>0</v>
      </c>
      <c r="R94" s="126">
        <f t="shared" si="66"/>
        <v>0</v>
      </c>
      <c r="S94" s="128"/>
      <c r="T94" s="156"/>
      <c r="U94" s="127">
        <f t="shared" si="67"/>
        <v>0</v>
      </c>
    </row>
    <row r="95" spans="1:47" hidden="1" x14ac:dyDescent="0.2">
      <c r="A95" s="129">
        <v>6</v>
      </c>
      <c r="B95" s="132" t="s">
        <v>298</v>
      </c>
      <c r="C95" s="128"/>
      <c r="D95" s="128"/>
      <c r="E95" s="128"/>
      <c r="F95" s="126">
        <f t="shared" si="57"/>
        <v>3571</v>
      </c>
      <c r="G95" s="126"/>
      <c r="H95" s="126">
        <f t="shared" si="58"/>
        <v>0</v>
      </c>
      <c r="I95" s="126">
        <f t="shared" si="59"/>
        <v>85.968999999999994</v>
      </c>
      <c r="J95" s="157">
        <f t="shared" si="60"/>
        <v>0</v>
      </c>
      <c r="K95" s="126">
        <f t="shared" si="61"/>
        <v>0</v>
      </c>
      <c r="L95" s="126">
        <f t="shared" si="62"/>
        <v>85.968999999999994</v>
      </c>
      <c r="M95" s="126">
        <f t="shared" si="63"/>
        <v>85.968999999999994</v>
      </c>
      <c r="N95" s="126"/>
      <c r="O95" s="126"/>
      <c r="P95" s="126">
        <f t="shared" si="64"/>
        <v>0</v>
      </c>
      <c r="Q95" s="126">
        <f t="shared" si="65"/>
        <v>0</v>
      </c>
      <c r="R95" s="126">
        <f t="shared" si="66"/>
        <v>0</v>
      </c>
      <c r="S95" s="128"/>
      <c r="T95" s="156"/>
      <c r="U95" s="127">
        <f t="shared" si="67"/>
        <v>2</v>
      </c>
    </row>
    <row r="96" spans="1:47" hidden="1" x14ac:dyDescent="0.2">
      <c r="A96" s="129">
        <v>7</v>
      </c>
      <c r="B96" s="131" t="s">
        <v>303</v>
      </c>
      <c r="C96" s="128"/>
      <c r="D96" s="128"/>
      <c r="E96" s="128"/>
      <c r="F96" s="126">
        <f t="shared" si="57"/>
        <v>4948</v>
      </c>
      <c r="G96" s="126"/>
      <c r="H96" s="126">
        <f t="shared" si="58"/>
        <v>0</v>
      </c>
      <c r="I96" s="126">
        <f t="shared" si="59"/>
        <v>78.027000000000001</v>
      </c>
      <c r="J96" s="157">
        <f t="shared" si="60"/>
        <v>0</v>
      </c>
      <c r="K96" s="126">
        <f t="shared" si="61"/>
        <v>0</v>
      </c>
      <c r="L96" s="126">
        <f t="shared" si="62"/>
        <v>78.027000000000001</v>
      </c>
      <c r="M96" s="126">
        <f t="shared" si="63"/>
        <v>78.027000000000001</v>
      </c>
      <c r="N96" s="126"/>
      <c r="O96" s="126"/>
      <c r="P96" s="126">
        <f t="shared" si="64"/>
        <v>0</v>
      </c>
      <c r="Q96" s="126">
        <f t="shared" si="65"/>
        <v>0</v>
      </c>
      <c r="R96" s="126">
        <f t="shared" si="66"/>
        <v>0</v>
      </c>
      <c r="S96" s="128"/>
      <c r="T96" s="156"/>
      <c r="U96" s="127">
        <f t="shared" si="67"/>
        <v>1</v>
      </c>
    </row>
    <row r="97" spans="1:25" hidden="1" x14ac:dyDescent="0.2">
      <c r="A97" s="129">
        <v>8</v>
      </c>
      <c r="B97" s="131" t="s">
        <v>301</v>
      </c>
      <c r="C97" s="128"/>
      <c r="D97" s="128"/>
      <c r="E97" s="128"/>
      <c r="F97" s="126">
        <f t="shared" si="57"/>
        <v>0</v>
      </c>
      <c r="G97" s="126"/>
      <c r="H97" s="126">
        <f t="shared" si="58"/>
        <v>0</v>
      </c>
      <c r="I97" s="126">
        <f t="shared" si="59"/>
        <v>0</v>
      </c>
      <c r="J97" s="157">
        <f t="shared" si="60"/>
        <v>0</v>
      </c>
      <c r="K97" s="126">
        <f t="shared" si="61"/>
        <v>0</v>
      </c>
      <c r="L97" s="126">
        <f t="shared" si="62"/>
        <v>0</v>
      </c>
      <c r="M97" s="126">
        <f t="shared" si="63"/>
        <v>0</v>
      </c>
      <c r="N97" s="126"/>
      <c r="O97" s="126"/>
      <c r="P97" s="126">
        <f t="shared" si="64"/>
        <v>0</v>
      </c>
      <c r="Q97" s="126">
        <f t="shared" si="65"/>
        <v>0</v>
      </c>
      <c r="R97" s="126">
        <f t="shared" si="66"/>
        <v>0</v>
      </c>
      <c r="S97" s="128"/>
      <c r="T97" s="156"/>
      <c r="U97" s="127">
        <f t="shared" si="67"/>
        <v>0</v>
      </c>
      <c r="X97" s="74">
        <v>7</v>
      </c>
      <c r="Y97" s="79">
        <f>I97</f>
        <v>0</v>
      </c>
    </row>
    <row r="98" spans="1:25" hidden="1" x14ac:dyDescent="0.2">
      <c r="A98" s="129">
        <v>9</v>
      </c>
      <c r="B98" s="131" t="s">
        <v>294</v>
      </c>
      <c r="C98" s="128"/>
      <c r="D98" s="128"/>
      <c r="E98" s="128"/>
      <c r="F98" s="126">
        <f t="shared" si="57"/>
        <v>0</v>
      </c>
      <c r="G98" s="126"/>
      <c r="H98" s="126">
        <f t="shared" si="58"/>
        <v>0</v>
      </c>
      <c r="I98" s="126">
        <f t="shared" si="59"/>
        <v>0</v>
      </c>
      <c r="J98" s="157">
        <f t="shared" si="60"/>
        <v>0</v>
      </c>
      <c r="K98" s="126">
        <f t="shared" si="61"/>
        <v>0</v>
      </c>
      <c r="L98" s="126">
        <f t="shared" si="62"/>
        <v>0</v>
      </c>
      <c r="M98" s="126">
        <f t="shared" si="63"/>
        <v>0</v>
      </c>
      <c r="N98" s="126"/>
      <c r="O98" s="126"/>
      <c r="P98" s="126">
        <f t="shared" si="64"/>
        <v>0</v>
      </c>
      <c r="Q98" s="126">
        <f t="shared" si="65"/>
        <v>0</v>
      </c>
      <c r="R98" s="126">
        <f t="shared" si="66"/>
        <v>0</v>
      </c>
      <c r="S98" s="128"/>
      <c r="T98" s="156"/>
      <c r="U98" s="127">
        <f t="shared" si="67"/>
        <v>0</v>
      </c>
    </row>
    <row r="99" spans="1:25" hidden="1" x14ac:dyDescent="0.2">
      <c r="A99" s="129">
        <v>10</v>
      </c>
      <c r="B99" s="133" t="s">
        <v>300</v>
      </c>
      <c r="C99" s="128"/>
      <c r="D99" s="128"/>
      <c r="E99" s="128"/>
      <c r="F99" s="126">
        <f t="shared" si="57"/>
        <v>0</v>
      </c>
      <c r="G99" s="126"/>
      <c r="H99" s="126">
        <f t="shared" si="58"/>
        <v>0</v>
      </c>
      <c r="I99" s="126">
        <f t="shared" si="59"/>
        <v>0</v>
      </c>
      <c r="J99" s="157">
        <f t="shared" si="60"/>
        <v>0</v>
      </c>
      <c r="K99" s="126">
        <f t="shared" si="61"/>
        <v>0</v>
      </c>
      <c r="L99" s="126">
        <f t="shared" si="62"/>
        <v>0</v>
      </c>
      <c r="M99" s="126">
        <f t="shared" si="63"/>
        <v>0</v>
      </c>
      <c r="N99" s="126"/>
      <c r="O99" s="126"/>
      <c r="P99" s="126">
        <f t="shared" si="64"/>
        <v>0</v>
      </c>
      <c r="Q99" s="126">
        <f t="shared" si="65"/>
        <v>0</v>
      </c>
      <c r="R99" s="126">
        <f t="shared" si="66"/>
        <v>0</v>
      </c>
      <c r="S99" s="128"/>
      <c r="T99" s="156"/>
      <c r="U99" s="127">
        <f t="shared" si="67"/>
        <v>0</v>
      </c>
    </row>
    <row r="100" spans="1:25" hidden="1" x14ac:dyDescent="0.2">
      <c r="A100" s="129">
        <v>11</v>
      </c>
      <c r="B100" s="131" t="s">
        <v>348</v>
      </c>
      <c r="C100" s="128"/>
      <c r="D100" s="128"/>
      <c r="E100" s="128"/>
      <c r="F100" s="126">
        <f t="shared" si="57"/>
        <v>800</v>
      </c>
      <c r="G100" s="126"/>
      <c r="H100" s="126">
        <f t="shared" si="58"/>
        <v>0</v>
      </c>
      <c r="I100" s="126">
        <f t="shared" si="59"/>
        <v>122.845</v>
      </c>
      <c r="J100" s="157">
        <f t="shared" si="60"/>
        <v>0</v>
      </c>
      <c r="K100" s="126">
        <f t="shared" si="61"/>
        <v>0</v>
      </c>
      <c r="L100" s="126">
        <f t="shared" si="62"/>
        <v>99.643000000000001</v>
      </c>
      <c r="M100" s="126">
        <f t="shared" si="63"/>
        <v>99.643000000000001</v>
      </c>
      <c r="N100" s="126"/>
      <c r="O100" s="126"/>
      <c r="P100" s="126">
        <f t="shared" si="64"/>
        <v>23.201999999999998</v>
      </c>
      <c r="Q100" s="126">
        <f t="shared" si="65"/>
        <v>0</v>
      </c>
      <c r="R100" s="126">
        <f t="shared" si="66"/>
        <v>0</v>
      </c>
      <c r="S100" s="128"/>
      <c r="T100" s="156"/>
      <c r="U100" s="127">
        <f t="shared" si="67"/>
        <v>1</v>
      </c>
    </row>
    <row r="101" spans="1:25" hidden="1" x14ac:dyDescent="0.2">
      <c r="A101" s="129">
        <v>12</v>
      </c>
      <c r="B101" s="131" t="s">
        <v>304</v>
      </c>
      <c r="C101" s="128"/>
      <c r="D101" s="128"/>
      <c r="E101" s="128"/>
      <c r="F101" s="126">
        <f t="shared" si="57"/>
        <v>0</v>
      </c>
      <c r="G101" s="126"/>
      <c r="H101" s="126">
        <f t="shared" si="58"/>
        <v>0</v>
      </c>
      <c r="I101" s="126">
        <f t="shared" si="59"/>
        <v>0</v>
      </c>
      <c r="J101" s="157">
        <f t="shared" si="60"/>
        <v>0</v>
      </c>
      <c r="K101" s="126">
        <f t="shared" si="61"/>
        <v>0</v>
      </c>
      <c r="L101" s="126">
        <f t="shared" si="62"/>
        <v>0</v>
      </c>
      <c r="M101" s="126">
        <f t="shared" si="63"/>
        <v>0</v>
      </c>
      <c r="N101" s="126"/>
      <c r="O101" s="126"/>
      <c r="P101" s="126">
        <f t="shared" si="64"/>
        <v>0</v>
      </c>
      <c r="Q101" s="126">
        <f t="shared" si="65"/>
        <v>0</v>
      </c>
      <c r="R101" s="126">
        <f t="shared" si="66"/>
        <v>0</v>
      </c>
      <c r="S101" s="128"/>
      <c r="T101" s="156"/>
      <c r="U101" s="127">
        <f t="shared" si="67"/>
        <v>0</v>
      </c>
    </row>
    <row r="102" spans="1:25" hidden="1" x14ac:dyDescent="0.2">
      <c r="A102" s="129">
        <v>13</v>
      </c>
      <c r="B102" s="131" t="s">
        <v>296</v>
      </c>
      <c r="C102" s="128"/>
      <c r="D102" s="128"/>
      <c r="E102" s="128"/>
      <c r="F102" s="126">
        <f t="shared" si="57"/>
        <v>0</v>
      </c>
      <c r="G102" s="126"/>
      <c r="H102" s="126">
        <f t="shared" si="58"/>
        <v>0</v>
      </c>
      <c r="I102" s="126">
        <f t="shared" si="59"/>
        <v>0</v>
      </c>
      <c r="J102" s="157">
        <f t="shared" si="60"/>
        <v>0</v>
      </c>
      <c r="K102" s="126">
        <f t="shared" si="61"/>
        <v>0</v>
      </c>
      <c r="L102" s="126">
        <f t="shared" si="62"/>
        <v>0</v>
      </c>
      <c r="M102" s="126">
        <f t="shared" si="63"/>
        <v>0</v>
      </c>
      <c r="N102" s="126"/>
      <c r="O102" s="126"/>
      <c r="P102" s="126">
        <f t="shared" si="64"/>
        <v>0</v>
      </c>
      <c r="Q102" s="126">
        <f t="shared" si="65"/>
        <v>0</v>
      </c>
      <c r="R102" s="126">
        <f t="shared" si="66"/>
        <v>0</v>
      </c>
      <c r="S102" s="128"/>
      <c r="T102" s="156"/>
      <c r="U102" s="127">
        <f t="shared" si="67"/>
        <v>0</v>
      </c>
      <c r="X102" s="74">
        <v>3</v>
      </c>
      <c r="Y102" s="79">
        <f>I102</f>
        <v>0</v>
      </c>
    </row>
    <row r="103" spans="1:25" hidden="1" x14ac:dyDescent="0.2">
      <c r="A103" s="129">
        <v>14</v>
      </c>
      <c r="B103" s="131" t="s">
        <v>302</v>
      </c>
      <c r="C103" s="128"/>
      <c r="D103" s="128"/>
      <c r="E103" s="128"/>
      <c r="F103" s="126">
        <f t="shared" si="57"/>
        <v>0</v>
      </c>
      <c r="G103" s="126"/>
      <c r="H103" s="126">
        <f t="shared" si="58"/>
        <v>0</v>
      </c>
      <c r="I103" s="126">
        <f t="shared" si="59"/>
        <v>0</v>
      </c>
      <c r="J103" s="157">
        <f t="shared" si="60"/>
        <v>0</v>
      </c>
      <c r="K103" s="126">
        <f t="shared" si="61"/>
        <v>0</v>
      </c>
      <c r="L103" s="126">
        <f t="shared" si="62"/>
        <v>0</v>
      </c>
      <c r="M103" s="126">
        <f t="shared" si="63"/>
        <v>0</v>
      </c>
      <c r="N103" s="126"/>
      <c r="O103" s="126"/>
      <c r="P103" s="126">
        <f t="shared" si="64"/>
        <v>0</v>
      </c>
      <c r="Q103" s="126">
        <f t="shared" si="65"/>
        <v>0</v>
      </c>
      <c r="R103" s="126">
        <f t="shared" si="66"/>
        <v>0</v>
      </c>
      <c r="S103" s="128"/>
      <c r="T103" s="156"/>
      <c r="U103" s="127">
        <f t="shared" si="67"/>
        <v>0</v>
      </c>
    </row>
    <row r="104" spans="1:25" hidden="1" x14ac:dyDescent="0.2">
      <c r="A104" s="129">
        <v>15</v>
      </c>
      <c r="B104" s="131" t="s">
        <v>295</v>
      </c>
      <c r="C104" s="128"/>
      <c r="D104" s="128"/>
      <c r="E104" s="128"/>
      <c r="F104" s="126">
        <f t="shared" si="57"/>
        <v>0</v>
      </c>
      <c r="G104" s="126"/>
      <c r="H104" s="126">
        <f t="shared" si="58"/>
        <v>0</v>
      </c>
      <c r="I104" s="126">
        <f t="shared" si="59"/>
        <v>0</v>
      </c>
      <c r="J104" s="157">
        <f t="shared" si="60"/>
        <v>0</v>
      </c>
      <c r="K104" s="126">
        <f t="shared" si="61"/>
        <v>0</v>
      </c>
      <c r="L104" s="126">
        <f t="shared" si="62"/>
        <v>0</v>
      </c>
      <c r="M104" s="126">
        <f t="shared" si="63"/>
        <v>0</v>
      </c>
      <c r="N104" s="126"/>
      <c r="O104" s="126"/>
      <c r="P104" s="126">
        <f t="shared" si="64"/>
        <v>0</v>
      </c>
      <c r="Q104" s="126">
        <f t="shared" si="65"/>
        <v>0</v>
      </c>
      <c r="R104" s="126">
        <f t="shared" si="66"/>
        <v>0</v>
      </c>
      <c r="S104" s="128"/>
      <c r="T104" s="156"/>
      <c r="U104" s="127">
        <f t="shared" si="67"/>
        <v>0</v>
      </c>
      <c r="X104" s="74">
        <v>5</v>
      </c>
      <c r="Y104" s="79">
        <f>I104</f>
        <v>0</v>
      </c>
    </row>
    <row r="105" spans="1:25" hidden="1" x14ac:dyDescent="0.2">
      <c r="A105" s="129">
        <v>16</v>
      </c>
      <c r="B105" s="131" t="s">
        <v>293</v>
      </c>
      <c r="C105" s="128"/>
      <c r="D105" s="128"/>
      <c r="E105" s="128"/>
      <c r="F105" s="126">
        <f t="shared" si="57"/>
        <v>0</v>
      </c>
      <c r="G105" s="126"/>
      <c r="H105" s="126">
        <f t="shared" si="58"/>
        <v>0</v>
      </c>
      <c r="I105" s="126">
        <f t="shared" si="59"/>
        <v>0</v>
      </c>
      <c r="J105" s="157">
        <f t="shared" si="60"/>
        <v>0</v>
      </c>
      <c r="K105" s="126">
        <f t="shared" si="61"/>
        <v>0</v>
      </c>
      <c r="L105" s="126">
        <f t="shared" si="62"/>
        <v>0</v>
      </c>
      <c r="M105" s="126">
        <f t="shared" si="63"/>
        <v>0</v>
      </c>
      <c r="N105" s="126"/>
      <c r="O105" s="126"/>
      <c r="P105" s="126">
        <f t="shared" si="64"/>
        <v>0</v>
      </c>
      <c r="Q105" s="126">
        <f t="shared" si="65"/>
        <v>0</v>
      </c>
      <c r="R105" s="126">
        <f t="shared" si="66"/>
        <v>0</v>
      </c>
      <c r="S105" s="128"/>
      <c r="T105" s="156"/>
      <c r="U105" s="127">
        <f t="shared" si="67"/>
        <v>0</v>
      </c>
      <c r="X105" s="74">
        <v>6</v>
      </c>
      <c r="Y105" s="79">
        <f>I105</f>
        <v>0</v>
      </c>
    </row>
    <row r="106" spans="1:25" hidden="1" x14ac:dyDescent="0.2">
      <c r="A106" s="129">
        <v>17</v>
      </c>
      <c r="B106" s="131" t="s">
        <v>299</v>
      </c>
      <c r="C106" s="128"/>
      <c r="D106" s="128"/>
      <c r="E106" s="128"/>
      <c r="F106" s="126">
        <f t="shared" si="57"/>
        <v>0</v>
      </c>
      <c r="G106" s="126"/>
      <c r="H106" s="126">
        <f t="shared" si="58"/>
        <v>0</v>
      </c>
      <c r="I106" s="126">
        <f t="shared" si="59"/>
        <v>0</v>
      </c>
      <c r="J106" s="157">
        <f t="shared" si="60"/>
        <v>0</v>
      </c>
      <c r="K106" s="126">
        <f t="shared" si="61"/>
        <v>0</v>
      </c>
      <c r="L106" s="126">
        <f t="shared" si="62"/>
        <v>0</v>
      </c>
      <c r="M106" s="126">
        <f t="shared" si="63"/>
        <v>0</v>
      </c>
      <c r="N106" s="126"/>
      <c r="O106" s="126"/>
      <c r="P106" s="126">
        <f t="shared" si="64"/>
        <v>0</v>
      </c>
      <c r="Q106" s="126">
        <f t="shared" si="65"/>
        <v>0</v>
      </c>
      <c r="R106" s="126">
        <f t="shared" si="66"/>
        <v>0</v>
      </c>
      <c r="S106" s="128"/>
      <c r="T106" s="156"/>
      <c r="U106" s="127">
        <f t="shared" si="67"/>
        <v>0</v>
      </c>
      <c r="X106" s="74">
        <v>3</v>
      </c>
      <c r="Y106" s="79">
        <f>I106</f>
        <v>0</v>
      </c>
    </row>
    <row r="107" spans="1:25" hidden="1" x14ac:dyDescent="0.2">
      <c r="A107" s="129">
        <v>18</v>
      </c>
      <c r="B107" s="131" t="s">
        <v>297</v>
      </c>
      <c r="C107" s="128"/>
      <c r="D107" s="128"/>
      <c r="E107" s="128"/>
      <c r="F107" s="126">
        <f t="shared" si="57"/>
        <v>0</v>
      </c>
      <c r="G107" s="126"/>
      <c r="H107" s="126">
        <f t="shared" si="58"/>
        <v>0</v>
      </c>
      <c r="I107" s="126">
        <f t="shared" si="59"/>
        <v>0</v>
      </c>
      <c r="J107" s="157">
        <f t="shared" si="60"/>
        <v>0</v>
      </c>
      <c r="K107" s="126">
        <f t="shared" si="61"/>
        <v>0</v>
      </c>
      <c r="L107" s="126">
        <f t="shared" si="62"/>
        <v>0</v>
      </c>
      <c r="M107" s="126">
        <f t="shared" si="63"/>
        <v>0</v>
      </c>
      <c r="N107" s="126"/>
      <c r="O107" s="126"/>
      <c r="P107" s="126">
        <f t="shared" si="64"/>
        <v>0</v>
      </c>
      <c r="Q107" s="126">
        <f t="shared" si="65"/>
        <v>0</v>
      </c>
      <c r="R107" s="126">
        <f t="shared" si="66"/>
        <v>0</v>
      </c>
      <c r="S107" s="128"/>
      <c r="T107" s="156"/>
      <c r="U107" s="127">
        <f t="shared" si="67"/>
        <v>0</v>
      </c>
      <c r="X107" s="74">
        <v>4</v>
      </c>
      <c r="Y107" s="79">
        <f>I107</f>
        <v>0</v>
      </c>
    </row>
    <row r="108" spans="1:25" hidden="1" x14ac:dyDescent="0.2">
      <c r="A108" s="164"/>
      <c r="B108" s="123"/>
      <c r="X108" s="74">
        <f>SUM(X97:X107)</f>
        <v>28</v>
      </c>
    </row>
    <row r="109" spans="1:25" hidden="1" x14ac:dyDescent="0.2">
      <c r="A109" s="164"/>
      <c r="I109" s="88">
        <f>I85+I74+I69+I59+I32+I15</f>
        <v>57846.63</v>
      </c>
      <c r="L109" s="88">
        <f>L85+L74+L69+L59+L32+L15</f>
        <v>57823.428</v>
      </c>
    </row>
    <row r="110" spans="1:25" hidden="1" x14ac:dyDescent="0.2"/>
    <row r="111" spans="1:25" hidden="1" x14ac:dyDescent="0.2"/>
    <row r="112" spans="1:25" hidden="1" x14ac:dyDescent="0.2"/>
    <row r="113" spans="1:56" s="78" customFormat="1" hidden="1" x14ac:dyDescent="0.2">
      <c r="A113" s="74"/>
      <c r="B113" s="74"/>
      <c r="C113" s="74"/>
      <c r="D113" s="74"/>
      <c r="E113" s="74"/>
      <c r="F113" s="74"/>
      <c r="G113" s="74"/>
      <c r="H113" s="74"/>
      <c r="I113" s="74"/>
      <c r="S113" s="74"/>
      <c r="T113" s="155"/>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56" s="78" customFormat="1" hidden="1" x14ac:dyDescent="0.2">
      <c r="A114" s="74"/>
      <c r="B114" s="74"/>
      <c r="C114" s="74"/>
      <c r="D114" s="74"/>
      <c r="E114" s="74"/>
      <c r="F114" s="79">
        <f>F8-F89</f>
        <v>0</v>
      </c>
      <c r="G114" s="79"/>
      <c r="H114" s="74"/>
      <c r="I114" s="79">
        <f>I8-I89</f>
        <v>0</v>
      </c>
      <c r="J114" s="79">
        <f>J8-J89</f>
        <v>0</v>
      </c>
      <c r="K114" s="79">
        <f>K8-K89</f>
        <v>0</v>
      </c>
      <c r="L114" s="79">
        <f>L8-L89</f>
        <v>0</v>
      </c>
      <c r="M114" s="79">
        <f>M8-M89</f>
        <v>0</v>
      </c>
      <c r="N114" s="79"/>
      <c r="O114" s="79"/>
      <c r="P114" s="79">
        <f>P8-P89</f>
        <v>0</v>
      </c>
      <c r="Q114" s="79">
        <f>Q8-Q89</f>
        <v>0</v>
      </c>
      <c r="R114" s="79">
        <f>R8-R89</f>
        <v>0</v>
      </c>
      <c r="S114" s="74"/>
      <c r="T114" s="155"/>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row>
    <row r="115" spans="1:56" s="78" customFormat="1" hidden="1" x14ac:dyDescent="0.2">
      <c r="A115" s="74"/>
      <c r="B115" s="74"/>
      <c r="C115" s="74"/>
      <c r="D115" s="74"/>
      <c r="E115" s="74"/>
      <c r="F115" s="74"/>
      <c r="G115" s="74"/>
      <c r="H115" s="74"/>
      <c r="I115" s="74"/>
      <c r="S115" s="74"/>
      <c r="T115" s="155"/>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row>
    <row r="116" spans="1:56" s="78" customFormat="1" x14ac:dyDescent="0.2">
      <c r="A116" s="74"/>
      <c r="B116" s="74"/>
      <c r="C116" s="74"/>
      <c r="D116" s="74"/>
      <c r="E116" s="74"/>
      <c r="F116" s="74"/>
      <c r="G116" s="74"/>
      <c r="H116" s="74"/>
      <c r="I116" s="74"/>
      <c r="S116" s="74"/>
      <c r="T116" s="155"/>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row>
    <row r="117" spans="1:56" s="78" customFormat="1" x14ac:dyDescent="0.2">
      <c r="A117" s="74"/>
      <c r="B117" s="74"/>
      <c r="C117" s="74"/>
      <c r="D117" s="74"/>
      <c r="E117" s="74"/>
      <c r="F117" s="74"/>
      <c r="G117" s="74"/>
      <c r="H117" s="74"/>
      <c r="I117" s="74"/>
      <c r="S117" s="74"/>
      <c r="T117" s="155"/>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row>
    <row r="118" spans="1:56" s="78" customFormat="1" x14ac:dyDescent="0.2">
      <c r="A118" s="74"/>
      <c r="B118" s="74"/>
      <c r="C118" s="74"/>
      <c r="D118" s="74"/>
      <c r="E118" s="74"/>
      <c r="F118" s="74"/>
      <c r="G118" s="74"/>
      <c r="H118" s="74"/>
      <c r="I118" s="74"/>
      <c r="S118" s="74"/>
      <c r="T118" s="155"/>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row>
    <row r="119" spans="1:56" s="78" customFormat="1" x14ac:dyDescent="0.2">
      <c r="A119" s="74"/>
      <c r="B119" s="74"/>
      <c r="C119" s="74"/>
      <c r="D119" s="74"/>
      <c r="E119" s="74"/>
      <c r="F119" s="74"/>
      <c r="G119" s="74"/>
      <c r="H119" s="74"/>
      <c r="I119" s="74"/>
      <c r="S119" s="74"/>
      <c r="T119" s="155"/>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row>
    <row r="120" spans="1:56" s="78" customFormat="1" x14ac:dyDescent="0.2">
      <c r="A120" s="74"/>
      <c r="B120" s="74"/>
      <c r="C120" s="74"/>
      <c r="D120" s="74"/>
      <c r="E120" s="74"/>
      <c r="F120" s="74"/>
      <c r="G120" s="74"/>
      <c r="H120" s="74"/>
      <c r="I120" s="74"/>
      <c r="S120" s="74"/>
      <c r="T120" s="155"/>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row>
    <row r="121" spans="1:56" s="78" customFormat="1" x14ac:dyDescent="0.2">
      <c r="A121" s="74"/>
      <c r="B121" s="74"/>
      <c r="C121" s="74"/>
      <c r="D121" s="74"/>
      <c r="E121" s="74"/>
      <c r="F121" s="74"/>
      <c r="G121" s="74"/>
      <c r="H121" s="74"/>
      <c r="I121" s="74"/>
      <c r="S121" s="74"/>
      <c r="T121" s="155"/>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row>
    <row r="122" spans="1:56" s="78" customFormat="1" x14ac:dyDescent="0.2">
      <c r="A122" s="74"/>
      <c r="B122" s="74"/>
      <c r="C122" s="74"/>
      <c r="D122" s="74"/>
      <c r="E122" s="74"/>
      <c r="F122" s="74"/>
      <c r="G122" s="74"/>
      <c r="H122" s="74"/>
      <c r="I122" s="74"/>
      <c r="S122" s="74"/>
      <c r="T122" s="155"/>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row>
    <row r="123" spans="1:56" s="78" customFormat="1" x14ac:dyDescent="0.2">
      <c r="A123" s="74"/>
      <c r="B123" s="74"/>
      <c r="C123" s="74"/>
      <c r="D123" s="74"/>
      <c r="E123" s="74"/>
      <c r="F123" s="74"/>
      <c r="G123" s="74"/>
      <c r="H123" s="74"/>
      <c r="I123" s="74"/>
      <c r="S123" s="74"/>
      <c r="T123" s="155"/>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row>
    <row r="124" spans="1:56" s="78" customFormat="1" x14ac:dyDescent="0.2">
      <c r="A124" s="74"/>
      <c r="B124" s="74"/>
      <c r="C124" s="74"/>
      <c r="D124" s="74"/>
      <c r="E124" s="74"/>
      <c r="F124" s="74"/>
      <c r="G124" s="74"/>
      <c r="H124" s="74"/>
      <c r="I124" s="74"/>
      <c r="S124" s="74"/>
      <c r="T124" s="155"/>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row>
    <row r="125" spans="1:56" s="78" customFormat="1" x14ac:dyDescent="0.2">
      <c r="A125" s="74"/>
      <c r="B125" s="74"/>
      <c r="C125" s="74"/>
      <c r="D125" s="74"/>
      <c r="E125" s="74"/>
      <c r="F125" s="74"/>
      <c r="G125" s="74"/>
      <c r="H125" s="74"/>
      <c r="I125" s="74"/>
      <c r="S125" s="74"/>
      <c r="T125" s="155"/>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row>
    <row r="126" spans="1:56" s="78" customFormat="1" x14ac:dyDescent="0.2">
      <c r="A126" s="74"/>
      <c r="B126" s="74"/>
      <c r="C126" s="74"/>
      <c r="D126" s="74"/>
      <c r="E126" s="74"/>
      <c r="F126" s="74"/>
      <c r="G126" s="74"/>
      <c r="H126" s="74"/>
      <c r="I126" s="74"/>
      <c r="S126" s="74"/>
      <c r="T126" s="155"/>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row>
    <row r="127" spans="1:56" s="78" customFormat="1" x14ac:dyDescent="0.2">
      <c r="A127" s="74"/>
      <c r="B127" s="74"/>
      <c r="C127" s="74"/>
      <c r="D127" s="74"/>
      <c r="E127" s="74"/>
      <c r="F127" s="74"/>
      <c r="G127" s="74"/>
      <c r="H127" s="74"/>
      <c r="I127" s="74"/>
      <c r="S127" s="74"/>
      <c r="T127" s="155"/>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row>
    <row r="128" spans="1:56" s="78" customFormat="1" x14ac:dyDescent="0.2">
      <c r="A128" s="74"/>
      <c r="B128" s="74"/>
      <c r="C128" s="74"/>
      <c r="D128" s="74"/>
      <c r="E128" s="74"/>
      <c r="F128" s="74"/>
      <c r="G128" s="74"/>
      <c r="H128" s="74"/>
      <c r="I128" s="74"/>
      <c r="S128" s="74"/>
      <c r="T128" s="155"/>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row>
    <row r="129" spans="1:56" s="78" customFormat="1" x14ac:dyDescent="0.2">
      <c r="A129" s="74"/>
      <c r="B129" s="74"/>
      <c r="C129" s="74"/>
      <c r="D129" s="74"/>
      <c r="E129" s="74"/>
      <c r="F129" s="74"/>
      <c r="G129" s="74"/>
      <c r="H129" s="74"/>
      <c r="I129" s="74"/>
      <c r="S129" s="74"/>
      <c r="T129" s="155"/>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row>
    <row r="130" spans="1:56" s="78" customFormat="1" x14ac:dyDescent="0.2">
      <c r="A130" s="74"/>
      <c r="B130" s="74"/>
      <c r="C130" s="74"/>
      <c r="D130" s="74"/>
      <c r="E130" s="74"/>
      <c r="F130" s="74"/>
      <c r="G130" s="74"/>
      <c r="H130" s="74"/>
      <c r="I130" s="74"/>
      <c r="S130" s="74"/>
      <c r="T130" s="155"/>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row>
    <row r="131" spans="1:56" s="78" customFormat="1" x14ac:dyDescent="0.2">
      <c r="A131" s="74"/>
      <c r="B131" s="74"/>
      <c r="C131" s="74"/>
      <c r="D131" s="74"/>
      <c r="E131" s="74"/>
      <c r="F131" s="74"/>
      <c r="G131" s="74"/>
      <c r="H131" s="74"/>
      <c r="I131" s="74"/>
      <c r="S131" s="74"/>
      <c r="T131" s="155"/>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row>
    <row r="132" spans="1:56" s="78" customFormat="1" x14ac:dyDescent="0.2">
      <c r="A132" s="74"/>
      <c r="B132" s="74"/>
      <c r="C132" s="74"/>
      <c r="D132" s="74"/>
      <c r="E132" s="74"/>
      <c r="F132" s="74"/>
      <c r="G132" s="74"/>
      <c r="H132" s="74"/>
      <c r="I132" s="74"/>
      <c r="S132" s="74"/>
      <c r="T132" s="155"/>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row>
    <row r="133" spans="1:56" s="78" customFormat="1" x14ac:dyDescent="0.2">
      <c r="A133" s="74"/>
      <c r="B133" s="74"/>
      <c r="C133" s="74"/>
      <c r="D133" s="74"/>
      <c r="E133" s="74"/>
      <c r="F133" s="74"/>
      <c r="G133" s="74"/>
      <c r="H133" s="74"/>
      <c r="I133" s="74"/>
      <c r="S133" s="74"/>
      <c r="T133" s="155"/>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row>
    <row r="134" spans="1:56" s="78" customFormat="1" x14ac:dyDescent="0.2">
      <c r="A134" s="74"/>
      <c r="B134" s="74"/>
      <c r="C134" s="74"/>
      <c r="D134" s="74"/>
      <c r="E134" s="74"/>
      <c r="F134" s="74"/>
      <c r="G134" s="74"/>
      <c r="H134" s="74"/>
      <c r="I134" s="74"/>
      <c r="S134" s="74"/>
      <c r="T134" s="155"/>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row>
  </sheetData>
  <mergeCells count="30">
    <mergeCell ref="W5:W7"/>
    <mergeCell ref="A88:B88"/>
    <mergeCell ref="G5:G7"/>
    <mergeCell ref="H5:I5"/>
    <mergeCell ref="H6:H7"/>
    <mergeCell ref="I6:I7"/>
    <mergeCell ref="S5:S7"/>
    <mergeCell ref="R5:R7"/>
    <mergeCell ref="J5:K5"/>
    <mergeCell ref="J6:J7"/>
    <mergeCell ref="K6:K7"/>
    <mergeCell ref="O5:O7"/>
    <mergeCell ref="P5:Q5"/>
    <mergeCell ref="P6:P7"/>
    <mergeCell ref="Q6:Q7"/>
    <mergeCell ref="U5:U7"/>
    <mergeCell ref="A1:S1"/>
    <mergeCell ref="A2:S2"/>
    <mergeCell ref="A3:S3"/>
    <mergeCell ref="R4:S4"/>
    <mergeCell ref="A5:A7"/>
    <mergeCell ref="B5:B7"/>
    <mergeCell ref="C5:C7"/>
    <mergeCell ref="D5:D7"/>
    <mergeCell ref="E5:E7"/>
    <mergeCell ref="F5:F7"/>
    <mergeCell ref="L6:L7"/>
    <mergeCell ref="M6:M7"/>
    <mergeCell ref="L5:N5"/>
    <mergeCell ref="N6:N7"/>
  </mergeCells>
  <printOptions horizontalCentered="1"/>
  <pageMargins left="0.19685039370078741" right="0.19685039370078741" top="0.59055118110236227" bottom="0.39370078740157483" header="0.31496062992125984" footer="0.31496062992125984"/>
  <pageSetup paperSize="9" scale="80" orientation="landscape" r:id="rId1"/>
  <headerFooter>
    <oddHeader>Page &amp;P</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Y55"/>
  <sheetViews>
    <sheetView topLeftCell="A2" zoomScale="85" zoomScaleNormal="85" zoomScaleSheetLayoutView="130" workbookViewId="0">
      <selection activeCell="F4" sqref="F4"/>
    </sheetView>
  </sheetViews>
  <sheetFormatPr defaultColWidth="9.33203125" defaultRowHeight="12.75" x14ac:dyDescent="0.2"/>
  <cols>
    <col min="1" max="1" width="4.33203125" style="74" customWidth="1"/>
    <col min="2" max="2" width="43.33203125" style="74" customWidth="1"/>
    <col min="3" max="3" width="7.6640625" style="74" customWidth="1"/>
    <col min="4" max="4" width="6.1640625" style="74" customWidth="1"/>
    <col min="5" max="5" width="8.6640625" style="74" customWidth="1"/>
    <col min="6" max="6" width="10.5" style="74" customWidth="1"/>
    <col min="7" max="7" width="10.1640625" style="74" customWidth="1"/>
    <col min="8" max="8" width="10.83203125" style="74" customWidth="1"/>
    <col min="9" max="9" width="11.1640625" style="74" customWidth="1"/>
    <col min="10" max="11" width="10.33203125" style="78" customWidth="1"/>
    <col min="12" max="12" width="10.1640625" style="78" customWidth="1"/>
    <col min="13" max="13" width="10" style="78" customWidth="1"/>
    <col min="14" max="14" width="10.5" style="78" customWidth="1"/>
    <col min="15" max="15" width="7" style="78" customWidth="1"/>
    <col min="16" max="16" width="7.83203125" style="78" customWidth="1"/>
    <col min="17" max="17" width="8.33203125" style="78" customWidth="1"/>
    <col min="18" max="18" width="7.1640625" style="78" customWidth="1"/>
    <col min="19" max="19" width="6" style="74" customWidth="1"/>
    <col min="20" max="20" width="8.33203125" style="155" hidden="1" customWidth="1"/>
    <col min="21" max="21" width="17.33203125" style="74" hidden="1" customWidth="1"/>
    <col min="22" max="22" width="10.5" style="74" hidden="1" customWidth="1"/>
    <col min="23" max="23" width="23.5" style="74" hidden="1" customWidth="1"/>
    <col min="24" max="24" width="10.1640625" style="74" hidden="1" customWidth="1"/>
    <col min="25" max="25" width="11.5" style="74" hidden="1" customWidth="1"/>
    <col min="26" max="26" width="11.6640625" style="74" hidden="1" customWidth="1"/>
    <col min="27" max="28" width="9.33203125" style="74" hidden="1" customWidth="1"/>
    <col min="29" max="29" width="9.83203125" style="74" hidden="1" customWidth="1"/>
    <col min="30" max="30" width="9.33203125" style="74" hidden="1" customWidth="1"/>
    <col min="31" max="31" width="0" style="74" hidden="1" customWidth="1"/>
    <col min="32" max="32" width="11.6640625" style="74" hidden="1" customWidth="1"/>
    <col min="33" max="33" width="0" style="74" hidden="1" customWidth="1"/>
    <col min="34" max="34" width="11.1640625" style="74" hidden="1" customWidth="1"/>
    <col min="35" max="36" width="0" style="74" hidden="1" customWidth="1"/>
    <col min="37" max="16384" width="9.33203125" style="74"/>
  </cols>
  <sheetData>
    <row r="1" spans="1:25" ht="15.75" x14ac:dyDescent="0.2">
      <c r="A1" s="225" t="s">
        <v>463</v>
      </c>
      <c r="B1" s="225"/>
      <c r="C1" s="225"/>
      <c r="D1" s="225"/>
      <c r="E1" s="225"/>
      <c r="F1" s="225"/>
      <c r="G1" s="225"/>
      <c r="H1" s="225"/>
      <c r="I1" s="225"/>
      <c r="J1" s="225"/>
      <c r="K1" s="225"/>
      <c r="L1" s="225"/>
      <c r="M1" s="225"/>
      <c r="N1" s="225"/>
      <c r="O1" s="225"/>
      <c r="P1" s="225"/>
      <c r="Q1" s="225"/>
      <c r="R1" s="225"/>
      <c r="S1" s="225"/>
    </row>
    <row r="2" spans="1:25" ht="18.600000000000001" customHeight="1" x14ac:dyDescent="0.2">
      <c r="A2" s="229" t="s">
        <v>122</v>
      </c>
      <c r="B2" s="229"/>
      <c r="C2" s="229"/>
      <c r="D2" s="229"/>
      <c r="E2" s="229"/>
      <c r="F2" s="229"/>
      <c r="G2" s="229"/>
      <c r="H2" s="229"/>
      <c r="I2" s="229"/>
      <c r="J2" s="229"/>
      <c r="K2" s="229"/>
      <c r="L2" s="229"/>
      <c r="M2" s="229"/>
      <c r="N2" s="229"/>
      <c r="O2" s="229"/>
      <c r="P2" s="229"/>
      <c r="Q2" s="229"/>
      <c r="R2" s="229"/>
      <c r="S2" s="229"/>
    </row>
    <row r="3" spans="1:25" ht="17.25" customHeight="1" x14ac:dyDescent="0.2">
      <c r="A3" s="230" t="str">
        <f>'Bieu 2'!A3:S3</f>
        <v xml:space="preserve">(Kèm theo Báo cáo số:             /UBND-TH, ngày        tháng 02 năm 2023 của UBND huyện Mường Tè) </v>
      </c>
      <c r="B3" s="230"/>
      <c r="C3" s="230"/>
      <c r="D3" s="230"/>
      <c r="E3" s="230"/>
      <c r="F3" s="230"/>
      <c r="G3" s="230"/>
      <c r="H3" s="230"/>
      <c r="I3" s="230"/>
      <c r="J3" s="230"/>
      <c r="K3" s="230"/>
      <c r="L3" s="230"/>
      <c r="M3" s="230"/>
      <c r="N3" s="230"/>
      <c r="O3" s="230"/>
      <c r="P3" s="230"/>
      <c r="Q3" s="230"/>
      <c r="R3" s="230"/>
      <c r="S3" s="230"/>
      <c r="T3" s="159"/>
    </row>
    <row r="4" spans="1:25" ht="18.75" customHeight="1" x14ac:dyDescent="0.2">
      <c r="A4" s="145"/>
      <c r="B4" s="145"/>
      <c r="C4" s="145"/>
      <c r="D4" s="145"/>
      <c r="E4" s="145"/>
      <c r="F4" s="145"/>
      <c r="G4" s="145"/>
      <c r="H4" s="145"/>
      <c r="I4" s="145"/>
      <c r="J4" s="89"/>
      <c r="K4" s="145"/>
      <c r="L4" s="145"/>
      <c r="M4" s="145"/>
      <c r="N4" s="145"/>
      <c r="O4" s="145"/>
      <c r="P4" s="145"/>
      <c r="Q4" s="230" t="s">
        <v>104</v>
      </c>
      <c r="R4" s="230"/>
      <c r="S4" s="230"/>
      <c r="T4" s="159"/>
    </row>
    <row r="5" spans="1:25" ht="45.75" customHeight="1" x14ac:dyDescent="0.2">
      <c r="A5" s="231" t="s">
        <v>84</v>
      </c>
      <c r="B5" s="231" t="s">
        <v>85</v>
      </c>
      <c r="C5" s="221" t="s">
        <v>134</v>
      </c>
      <c r="D5" s="221" t="s">
        <v>135</v>
      </c>
      <c r="E5" s="240" t="s">
        <v>441</v>
      </c>
      <c r="F5" s="240" t="s">
        <v>90</v>
      </c>
      <c r="G5" s="240" t="s">
        <v>433</v>
      </c>
      <c r="H5" s="254" t="s">
        <v>427</v>
      </c>
      <c r="I5" s="255"/>
      <c r="J5" s="256" t="s">
        <v>435</v>
      </c>
      <c r="K5" s="257"/>
      <c r="L5" s="256" t="s">
        <v>133</v>
      </c>
      <c r="M5" s="354"/>
      <c r="N5" s="257"/>
      <c r="O5" s="240" t="s">
        <v>437</v>
      </c>
      <c r="P5" s="355" t="s">
        <v>438</v>
      </c>
      <c r="Q5" s="356"/>
      <c r="R5" s="240" t="s">
        <v>432</v>
      </c>
      <c r="S5" s="231" t="s">
        <v>88</v>
      </c>
      <c r="U5" s="243" t="s">
        <v>291</v>
      </c>
      <c r="V5" s="82">
        <f>92/173%</f>
        <v>53.179190751445084</v>
      </c>
      <c r="W5" s="238" t="s">
        <v>106</v>
      </c>
    </row>
    <row r="6" spans="1:25" ht="40.5" customHeight="1" x14ac:dyDescent="0.2">
      <c r="A6" s="231"/>
      <c r="B6" s="231"/>
      <c r="C6" s="221"/>
      <c r="D6" s="221"/>
      <c r="E6" s="232"/>
      <c r="F6" s="232"/>
      <c r="G6" s="232"/>
      <c r="H6" s="240" t="s">
        <v>434</v>
      </c>
      <c r="I6" s="240" t="s">
        <v>87</v>
      </c>
      <c r="J6" s="241" t="s">
        <v>107</v>
      </c>
      <c r="K6" s="236" t="s">
        <v>108</v>
      </c>
      <c r="L6" s="234" t="s">
        <v>23</v>
      </c>
      <c r="M6" s="236" t="s">
        <v>436</v>
      </c>
      <c r="N6" s="236" t="s">
        <v>460</v>
      </c>
      <c r="O6" s="232"/>
      <c r="P6" s="236" t="s">
        <v>439</v>
      </c>
      <c r="Q6" s="236" t="s">
        <v>440</v>
      </c>
      <c r="R6" s="232"/>
      <c r="S6" s="231"/>
      <c r="U6" s="243"/>
      <c r="W6" s="238"/>
    </row>
    <row r="7" spans="1:25" ht="106.5" customHeight="1" x14ac:dyDescent="0.2">
      <c r="A7" s="231"/>
      <c r="B7" s="231"/>
      <c r="C7" s="221"/>
      <c r="D7" s="221"/>
      <c r="E7" s="233"/>
      <c r="F7" s="233"/>
      <c r="G7" s="233"/>
      <c r="H7" s="233"/>
      <c r="I7" s="233"/>
      <c r="J7" s="242"/>
      <c r="K7" s="237"/>
      <c r="L7" s="235"/>
      <c r="M7" s="237"/>
      <c r="N7" s="237"/>
      <c r="O7" s="233"/>
      <c r="P7" s="237"/>
      <c r="Q7" s="237"/>
      <c r="R7" s="233"/>
      <c r="S7" s="231"/>
      <c r="T7" s="337">
        <f>I8+1813</f>
        <v>259998</v>
      </c>
      <c r="U7" s="243"/>
      <c r="W7" s="238"/>
    </row>
    <row r="8" spans="1:25" ht="19.149999999999999" customHeight="1" x14ac:dyDescent="0.2">
      <c r="A8" s="275"/>
      <c r="B8" s="216" t="s">
        <v>23</v>
      </c>
      <c r="C8" s="216"/>
      <c r="D8" s="216"/>
      <c r="E8" s="275"/>
      <c r="F8" s="362">
        <f>F15</f>
        <v>519000</v>
      </c>
      <c r="G8" s="362">
        <f t="shared" ref="G8:R8" si="0">G15</f>
        <v>504000</v>
      </c>
      <c r="H8" s="362">
        <f t="shared" si="0"/>
        <v>293462</v>
      </c>
      <c r="I8" s="362">
        <f t="shared" si="0"/>
        <v>258185</v>
      </c>
      <c r="J8" s="362">
        <f t="shared" si="0"/>
        <v>227339</v>
      </c>
      <c r="K8" s="362">
        <f t="shared" si="0"/>
        <v>154456</v>
      </c>
      <c r="L8" s="362">
        <f t="shared" si="0"/>
        <v>258185</v>
      </c>
      <c r="M8" s="362">
        <f t="shared" si="0"/>
        <v>113956.683</v>
      </c>
      <c r="N8" s="362">
        <f t="shared" si="0"/>
        <v>144228.31700000004</v>
      </c>
      <c r="O8" s="362">
        <f>L8/I8*100</f>
        <v>100</v>
      </c>
      <c r="P8" s="276">
        <f t="shared" si="0"/>
        <v>0</v>
      </c>
      <c r="Q8" s="276">
        <f t="shared" si="0"/>
        <v>0</v>
      </c>
      <c r="R8" s="276">
        <f t="shared" si="0"/>
        <v>0</v>
      </c>
      <c r="S8" s="363">
        <f>SUM(S9:S13)</f>
        <v>4</v>
      </c>
      <c r="V8" s="88" t="e">
        <f>#REF!-31.84</f>
        <v>#REF!</v>
      </c>
      <c r="X8" s="79">
        <f>I8+66627</f>
        <v>324812</v>
      </c>
      <c r="Y8" s="100">
        <f>800+45808+43818</f>
        <v>90426</v>
      </c>
    </row>
    <row r="9" spans="1:25" s="86" customFormat="1" ht="19.149999999999999" hidden="1" customHeight="1" x14ac:dyDescent="0.2">
      <c r="A9" s="258">
        <v>1</v>
      </c>
      <c r="B9" s="105" t="s">
        <v>128</v>
      </c>
      <c r="C9" s="106"/>
      <c r="D9" s="106"/>
      <c r="E9" s="106"/>
      <c r="F9" s="107">
        <f>SUMIF($T$14:$T$24,T9,$F$14:$F$24)</f>
        <v>0</v>
      </c>
      <c r="G9" s="107"/>
      <c r="H9" s="107">
        <f>SUMIF($T$14:$T$24,T9,$H$14:$H$24)</f>
        <v>0</v>
      </c>
      <c r="I9" s="107">
        <f>SUMIF($T$14:$T$24,T9,$I$14:$I$24)</f>
        <v>0</v>
      </c>
      <c r="J9" s="107">
        <f>SUMIF($T$14:$T$24,T9,$J$14:$J$24)</f>
        <v>0</v>
      </c>
      <c r="K9" s="107">
        <f>SUMIF($T$14:$T$24,T9,$K$14:$K$24)</f>
        <v>0</v>
      </c>
      <c r="L9" s="107">
        <f>SUMIF($T$14:$T$24,T9,$L$14:$L$24)</f>
        <v>0</v>
      </c>
      <c r="M9" s="107">
        <f>SUMIF($T$14:$T$24,T9,$M$14:$M$24)</f>
        <v>0</v>
      </c>
      <c r="N9" s="107"/>
      <c r="O9" s="107"/>
      <c r="P9" s="107"/>
      <c r="Q9" s="107"/>
      <c r="R9" s="107"/>
      <c r="S9" s="280">
        <f>COUNTIF($T$14:$T$24,T9)</f>
        <v>0</v>
      </c>
      <c r="T9" s="155" t="s">
        <v>125</v>
      </c>
      <c r="Y9" s="101">
        <v>66627</v>
      </c>
    </row>
    <row r="10" spans="1:25" s="86" customFormat="1" ht="19.149999999999999" hidden="1" customHeight="1" x14ac:dyDescent="0.2">
      <c r="A10" s="259">
        <v>2</v>
      </c>
      <c r="B10" s="83" t="s">
        <v>129</v>
      </c>
      <c r="C10" s="98"/>
      <c r="D10" s="98"/>
      <c r="E10" s="98"/>
      <c r="F10" s="85">
        <f>SUMIF($T$14:$T$24,T10,$F$14:$F$24)</f>
        <v>0</v>
      </c>
      <c r="G10" s="85"/>
      <c r="H10" s="85">
        <f>SUMIF($T$14:$T$24,T10,$H$14:$H$24)</f>
        <v>0</v>
      </c>
      <c r="I10" s="85">
        <f>SUMIF($T$14:$T$24,T10,$I$14:$I$24)</f>
        <v>0</v>
      </c>
      <c r="J10" s="85">
        <f>SUMIF($T$14:$T$24,T10,$J$14:$J$24)</f>
        <v>0</v>
      </c>
      <c r="K10" s="85">
        <f>SUMIF($T$14:$T$24,T10,$K$14:$K$24)</f>
        <v>0</v>
      </c>
      <c r="L10" s="85">
        <f>SUMIF($T$14:$T$24,T10,$L$14:$L$24)</f>
        <v>0</v>
      </c>
      <c r="M10" s="85">
        <f>SUMIF($T$14:$T$24,T10,$M$14:$M$24)</f>
        <v>0</v>
      </c>
      <c r="N10" s="85"/>
      <c r="O10" s="85"/>
      <c r="P10" s="85"/>
      <c r="Q10" s="85"/>
      <c r="R10" s="85"/>
      <c r="S10" s="281">
        <f>COUNTIF($T$14:$T$24,T10)</f>
        <v>0</v>
      </c>
      <c r="T10" s="155" t="s">
        <v>126</v>
      </c>
      <c r="Y10" s="101">
        <f>Y8+Y9</f>
        <v>157053</v>
      </c>
    </row>
    <row r="11" spans="1:25" s="86" customFormat="1" ht="17.45" hidden="1" customHeight="1" x14ac:dyDescent="0.2">
      <c r="A11" s="259">
        <v>3</v>
      </c>
      <c r="B11" s="83" t="s">
        <v>130</v>
      </c>
      <c r="C11" s="98"/>
      <c r="D11" s="98"/>
      <c r="E11" s="98"/>
      <c r="F11" s="85">
        <f>SUMIF($T$14:$T$24,T11,$F$14:$F$24)</f>
        <v>0</v>
      </c>
      <c r="G11" s="85"/>
      <c r="H11" s="85">
        <f>SUMIF($T$14:$T$24,T11,$H$14:$H$24)</f>
        <v>0</v>
      </c>
      <c r="I11" s="85">
        <f>SUMIF($T$14:$T$24,T11,$I$14:$I$24)</f>
        <v>0</v>
      </c>
      <c r="J11" s="85">
        <f>SUMIF($T$14:$T$24,T11,$J$14:$J$24)</f>
        <v>0</v>
      </c>
      <c r="K11" s="85">
        <f>SUMIF($T$14:$T$24,T11,$K$14:$K$24)</f>
        <v>0</v>
      </c>
      <c r="L11" s="85">
        <f>SUMIF($T$14:$T$24,T11,$L$14:$L$24)</f>
        <v>0</v>
      </c>
      <c r="M11" s="85">
        <f>SUMIF($T$14:$T$24,T11,$M$14:$M$24)</f>
        <v>0</v>
      </c>
      <c r="N11" s="85"/>
      <c r="O11" s="85"/>
      <c r="P11" s="85"/>
      <c r="Q11" s="85"/>
      <c r="R11" s="85"/>
      <c r="S11" s="281">
        <f>COUNTIF($T$14:$T$24,T11)</f>
        <v>0</v>
      </c>
      <c r="T11" s="155" t="s">
        <v>127</v>
      </c>
    </row>
    <row r="12" spans="1:25" s="86" customFormat="1" ht="24.75" hidden="1" customHeight="1" x14ac:dyDescent="0.2">
      <c r="A12" s="259">
        <v>4</v>
      </c>
      <c r="B12" s="83" t="s">
        <v>131</v>
      </c>
      <c r="C12" s="98"/>
      <c r="D12" s="98"/>
      <c r="E12" s="98"/>
      <c r="F12" s="85">
        <f>SUMIF($T$14:$T$24,T12,$F$14:$F$24)</f>
        <v>434000</v>
      </c>
      <c r="G12" s="85"/>
      <c r="H12" s="85">
        <f>SUMIF($T$14:$T$24,T12,$H$14:$H$24)</f>
        <v>241962</v>
      </c>
      <c r="I12" s="85">
        <f>SUMIF($T$14:$T$24,T12,$I$14:$I$24)</f>
        <v>206685</v>
      </c>
      <c r="J12" s="85">
        <f>SUMIF($T$14:$T$24,T12,$J$14:$J$24)</f>
        <v>176839</v>
      </c>
      <c r="K12" s="85">
        <f>SUMIF($T$14:$T$24,T12,$K$14:$K$24)</f>
        <v>129956</v>
      </c>
      <c r="L12" s="85">
        <f>SUMIF($T$14:$T$24,T12,$L$14:$L$24)</f>
        <v>206685</v>
      </c>
      <c r="M12" s="85">
        <f>SUMIF($T$14:$T$24,T12,$M$14:$M$24)</f>
        <v>74825.513000000006</v>
      </c>
      <c r="N12" s="85"/>
      <c r="O12" s="85"/>
      <c r="P12" s="85"/>
      <c r="Q12" s="85"/>
      <c r="R12" s="85"/>
      <c r="S12" s="281">
        <f>COUNTIF($T$14:$T$24,T12)</f>
        <v>3</v>
      </c>
      <c r="T12" s="155" t="s">
        <v>123</v>
      </c>
    </row>
    <row r="13" spans="1:25" s="86" customFormat="1" ht="19.149999999999999" hidden="1" customHeight="1" x14ac:dyDescent="0.2">
      <c r="A13" s="259">
        <v>5</v>
      </c>
      <c r="B13" s="83" t="s">
        <v>132</v>
      </c>
      <c r="C13" s="98"/>
      <c r="D13" s="98"/>
      <c r="E13" s="98"/>
      <c r="F13" s="85">
        <f>SUMIF($T$14:$T$24,T13,$F$14:$F$24)</f>
        <v>85000</v>
      </c>
      <c r="G13" s="85"/>
      <c r="H13" s="85">
        <f>SUMIF($T$14:$T$24,T13,$H$14:$H$24)</f>
        <v>51500</v>
      </c>
      <c r="I13" s="85">
        <f>SUMIF($T$14:$T$24,T13,$I$14:$I$24)</f>
        <v>51500</v>
      </c>
      <c r="J13" s="85">
        <f>SUMIF($T$14:$T$24,T13,$J$14:$J$24)</f>
        <v>50500</v>
      </c>
      <c r="K13" s="85">
        <f>SUMIF($T$14:$T$24,T13,$K$14:$K$24)</f>
        <v>24500</v>
      </c>
      <c r="L13" s="85">
        <f>SUMIF($T$14:$T$24,T13,$L$14:$L$24)</f>
        <v>51500</v>
      </c>
      <c r="M13" s="85">
        <f>SUMIF($T$14:$T$24,T13,$M$14:$M$24)</f>
        <v>39131.17</v>
      </c>
      <c r="N13" s="85"/>
      <c r="O13" s="85"/>
      <c r="P13" s="85"/>
      <c r="Q13" s="85"/>
      <c r="R13" s="85"/>
      <c r="S13" s="281">
        <f>COUNTIF($T$14:$T$24,T13)</f>
        <v>1</v>
      </c>
      <c r="T13" s="155" t="s">
        <v>124</v>
      </c>
    </row>
    <row r="14" spans="1:25" ht="18" hidden="1" customHeight="1" x14ac:dyDescent="0.2">
      <c r="A14" s="260"/>
      <c r="B14" s="103"/>
      <c r="C14" s="261"/>
      <c r="D14" s="261"/>
      <c r="E14" s="312"/>
      <c r="F14" s="332"/>
      <c r="G14" s="332"/>
      <c r="H14" s="332"/>
      <c r="I14" s="332"/>
      <c r="J14" s="332"/>
      <c r="K14" s="332"/>
      <c r="L14" s="332"/>
      <c r="M14" s="332"/>
      <c r="N14" s="332"/>
      <c r="O14" s="332"/>
      <c r="P14" s="104"/>
      <c r="Q14" s="104"/>
      <c r="R14" s="104"/>
      <c r="S14" s="98"/>
    </row>
    <row r="15" spans="1:25" ht="19.149999999999999" customHeight="1" x14ac:dyDescent="0.2">
      <c r="A15" s="260" t="str">
        <f>'Bieu CKGN (ko in)'!A9</f>
        <v>I</v>
      </c>
      <c r="B15" s="103" t="str">
        <f>'Bieu CKGN (ko in)'!B9</f>
        <v>Nguồn vốn NSTW</v>
      </c>
      <c r="C15" s="261"/>
      <c r="D15" s="261"/>
      <c r="E15" s="312"/>
      <c r="F15" s="332">
        <f>F16+F17+F18+F22</f>
        <v>519000</v>
      </c>
      <c r="G15" s="332">
        <f t="shared" ref="G15:R15" si="1">G16+G17+G18+G22</f>
        <v>504000</v>
      </c>
      <c r="H15" s="332">
        <f t="shared" si="1"/>
        <v>293462</v>
      </c>
      <c r="I15" s="332">
        <f t="shared" si="1"/>
        <v>258185</v>
      </c>
      <c r="J15" s="332">
        <f t="shared" si="1"/>
        <v>227339</v>
      </c>
      <c r="K15" s="332">
        <f t="shared" si="1"/>
        <v>154456</v>
      </c>
      <c r="L15" s="332">
        <f t="shared" si="1"/>
        <v>258185</v>
      </c>
      <c r="M15" s="332">
        <f t="shared" si="1"/>
        <v>113956.683</v>
      </c>
      <c r="N15" s="332">
        <f t="shared" si="1"/>
        <v>144228.31700000004</v>
      </c>
      <c r="O15" s="332">
        <f>L15/I15*100</f>
        <v>100</v>
      </c>
      <c r="P15" s="332">
        <f t="shared" si="1"/>
        <v>0</v>
      </c>
      <c r="Q15" s="332">
        <f t="shared" si="1"/>
        <v>0</v>
      </c>
      <c r="R15" s="332">
        <f t="shared" si="1"/>
        <v>0</v>
      </c>
      <c r="S15" s="98"/>
    </row>
    <row r="16" spans="1:25" s="95" customFormat="1" ht="27" x14ac:dyDescent="0.2">
      <c r="A16" s="262" t="str">
        <f>'Bieu CKGN (ko in)'!A10</f>
        <v>a</v>
      </c>
      <c r="B16" s="118" t="str">
        <f>'Bieu CKGN (ko in)'!B10</f>
        <v>Dự án hoàn thành bàn giao, đưa vào sử dụng trước 31/12/2021</v>
      </c>
      <c r="C16" s="263"/>
      <c r="D16" s="263"/>
      <c r="E16" s="357"/>
      <c r="F16" s="140"/>
      <c r="G16" s="140"/>
      <c r="H16" s="140"/>
      <c r="I16" s="140"/>
      <c r="J16" s="319"/>
      <c r="K16" s="319"/>
      <c r="L16" s="327"/>
      <c r="M16" s="327"/>
      <c r="N16" s="327"/>
      <c r="O16" s="319"/>
      <c r="P16" s="319"/>
      <c r="Q16" s="319"/>
      <c r="R16" s="319"/>
      <c r="S16" s="265"/>
      <c r="T16" s="159"/>
    </row>
    <row r="17" spans="1:36" s="95" customFormat="1" ht="13.5" x14ac:dyDescent="0.2">
      <c r="A17" s="262" t="str">
        <f>'Bieu CKGN (ko in)'!A11</f>
        <v>b</v>
      </c>
      <c r="B17" s="118" t="str">
        <f>'Bieu CKGN (ko in)'!B11</f>
        <v>Dự án dự kiến hoàn thành năm 2022</v>
      </c>
      <c r="C17" s="263"/>
      <c r="D17" s="263"/>
      <c r="E17" s="357"/>
      <c r="F17" s="140"/>
      <c r="G17" s="140"/>
      <c r="H17" s="140"/>
      <c r="I17" s="140"/>
      <c r="J17" s="319"/>
      <c r="K17" s="319"/>
      <c r="L17" s="327"/>
      <c r="M17" s="327"/>
      <c r="N17" s="327"/>
      <c r="O17" s="319"/>
      <c r="P17" s="319"/>
      <c r="Q17" s="319"/>
      <c r="R17" s="319"/>
      <c r="S17" s="265"/>
      <c r="T17" s="159"/>
      <c r="V17" s="110" t="e">
        <f>#REF!+#REF!</f>
        <v>#REF!</v>
      </c>
      <c r="X17" s="110" t="e">
        <f>#REF!+#REF!</f>
        <v>#REF!</v>
      </c>
      <c r="Y17" s="111" t="e">
        <f>X17/V17*100</f>
        <v>#REF!</v>
      </c>
    </row>
    <row r="18" spans="1:36" s="115" customFormat="1" ht="29.25" customHeight="1" x14ac:dyDescent="0.2">
      <c r="A18" s="262" t="str">
        <f>'Bieu CKGN (ko in)'!A12</f>
        <v>c</v>
      </c>
      <c r="B18" s="118" t="str">
        <f>'Bieu CKGN (ko in)'!B12</f>
        <v>Các dự án chuyển tiếp hoàn thành sau năm 2022</v>
      </c>
      <c r="C18" s="263"/>
      <c r="D18" s="263"/>
      <c r="E18" s="358"/>
      <c r="F18" s="109">
        <f>SUM(F19:F21)</f>
        <v>434000</v>
      </c>
      <c r="G18" s="109">
        <f t="shared" ref="G18:R18" si="2">SUM(G19:G21)</f>
        <v>419000</v>
      </c>
      <c r="H18" s="109">
        <f t="shared" si="2"/>
        <v>241962</v>
      </c>
      <c r="I18" s="109">
        <f t="shared" si="2"/>
        <v>206685</v>
      </c>
      <c r="J18" s="109">
        <f t="shared" si="2"/>
        <v>176839</v>
      </c>
      <c r="K18" s="109">
        <f t="shared" si="2"/>
        <v>129956</v>
      </c>
      <c r="L18" s="109">
        <f t="shared" si="2"/>
        <v>206685</v>
      </c>
      <c r="M18" s="109">
        <f t="shared" si="2"/>
        <v>74825.513000000006</v>
      </c>
      <c r="N18" s="109">
        <f t="shared" si="2"/>
        <v>131859.48700000002</v>
      </c>
      <c r="O18" s="109">
        <f>L18/I18*100</f>
        <v>100</v>
      </c>
      <c r="P18" s="109">
        <f t="shared" si="2"/>
        <v>0</v>
      </c>
      <c r="Q18" s="109">
        <f t="shared" si="2"/>
        <v>0</v>
      </c>
      <c r="R18" s="109">
        <f t="shared" si="2"/>
        <v>0</v>
      </c>
      <c r="S18" s="263"/>
      <c r="T18" s="159"/>
      <c r="AF18" s="163" t="s">
        <v>422</v>
      </c>
      <c r="AH18" s="115" t="s">
        <v>423</v>
      </c>
      <c r="AJ18" s="115" t="s">
        <v>424</v>
      </c>
    </row>
    <row r="19" spans="1:36" ht="51" x14ac:dyDescent="0.2">
      <c r="A19" s="259">
        <f>'Bieu CKGN (ko in)'!A13</f>
        <v>1</v>
      </c>
      <c r="B19" s="83" t="str">
        <f>'Bieu CKGN (ko in)'!B13</f>
        <v>Sắp xếp ổn định các điểm dân cư: Mò Lò, Sa Thàng xã Mù Cả, điểm Nậm Kha Á, Pà Khà, U Na1-2, Tia Ma Mủ, Pa Tết xã Tà Tổng, huyện Mường Tè;</v>
      </c>
      <c r="C19" s="315" t="s">
        <v>137</v>
      </c>
      <c r="D19" s="112" t="s">
        <v>151</v>
      </c>
      <c r="E19" s="112" t="str">
        <f>'Bieu CKGN (ko in)'!C13</f>
        <v>1734-04/12/2020</v>
      </c>
      <c r="F19" s="84">
        <f>'Bieu CKGN (ko in)'!D13</f>
        <v>164000</v>
      </c>
      <c r="G19" s="120">
        <v>149000</v>
      </c>
      <c r="H19" s="84">
        <v>111702</v>
      </c>
      <c r="I19" s="84">
        <f>'Bieu CKGN (ko in)'!E13</f>
        <v>89000</v>
      </c>
      <c r="J19" s="85">
        <v>113000</v>
      </c>
      <c r="K19" s="85">
        <v>95387</v>
      </c>
      <c r="L19" s="85">
        <v>89000</v>
      </c>
      <c r="M19" s="85">
        <v>30304.787</v>
      </c>
      <c r="N19" s="85">
        <f>L19-M19</f>
        <v>58695.213000000003</v>
      </c>
      <c r="O19" s="85">
        <f>L19/I19*100</f>
        <v>100</v>
      </c>
      <c r="P19" s="85">
        <f>L19-I19</f>
        <v>0</v>
      </c>
      <c r="Q19" s="85"/>
      <c r="R19" s="85"/>
      <c r="S19" s="98"/>
      <c r="T19" s="155" t="s">
        <v>123</v>
      </c>
      <c r="U19" s="122" t="s">
        <v>292</v>
      </c>
      <c r="V19" s="81"/>
      <c r="X19" s="74">
        <v>27097</v>
      </c>
      <c r="Y19" s="80">
        <f>X19-K19</f>
        <v>-68290</v>
      </c>
      <c r="Z19" s="79">
        <f>M19-8654</f>
        <v>21650.787</v>
      </c>
      <c r="AF19" s="79">
        <f t="shared" ref="AF19:AG21" si="3">I19-L19</f>
        <v>0</v>
      </c>
      <c r="AG19" s="79">
        <f t="shared" si="3"/>
        <v>82695.213000000003</v>
      </c>
      <c r="AH19" s="100">
        <v>113000</v>
      </c>
      <c r="AI19" s="74">
        <v>17613</v>
      </c>
      <c r="AJ19" s="79">
        <f>AH19-AI19</f>
        <v>95387</v>
      </c>
    </row>
    <row r="20" spans="1:36" ht="33.75" x14ac:dyDescent="0.2">
      <c r="A20" s="259">
        <f>'Bieu CKGN (ko in)'!A14</f>
        <v>2</v>
      </c>
      <c r="B20" s="83" t="str">
        <f>'Bieu CKGN (ko in)'!B14</f>
        <v>Sắp xếp ổn định dân cư 02 xã Tà Tổng, Mù Cả</v>
      </c>
      <c r="C20" s="315" t="s">
        <v>136</v>
      </c>
      <c r="D20" s="112" t="s">
        <v>151</v>
      </c>
      <c r="E20" s="112" t="str">
        <f>'Bieu CKGN (ko in)'!C14</f>
        <v>1735-04/12/2020</v>
      </c>
      <c r="F20" s="84">
        <f>'Bieu CKGN (ko in)'!D14</f>
        <v>80000</v>
      </c>
      <c r="G20" s="120">
        <v>80000</v>
      </c>
      <c r="H20" s="84">
        <v>54375</v>
      </c>
      <c r="I20" s="84">
        <f>'Bieu CKGN (ko in)'!E14</f>
        <v>42000</v>
      </c>
      <c r="J20" s="85">
        <v>18739</v>
      </c>
      <c r="K20" s="85">
        <v>10969</v>
      </c>
      <c r="L20" s="85">
        <v>42000</v>
      </c>
      <c r="M20" s="85">
        <f>14020.529</f>
        <v>14020.529</v>
      </c>
      <c r="N20" s="85">
        <f t="shared" ref="N20:N21" si="4">L20-M20</f>
        <v>27979.470999999998</v>
      </c>
      <c r="O20" s="85">
        <f>L20/I20*100</f>
        <v>100</v>
      </c>
      <c r="P20" s="85">
        <f t="shared" ref="P20:P23" si="5">L20-I20</f>
        <v>0</v>
      </c>
      <c r="Q20" s="85"/>
      <c r="R20" s="85"/>
      <c r="S20" s="98"/>
      <c r="T20" s="155" t="s">
        <v>123</v>
      </c>
      <c r="U20" s="122" t="s">
        <v>292</v>
      </c>
      <c r="W20" s="80"/>
      <c r="X20" s="74">
        <v>26338</v>
      </c>
      <c r="Y20" s="97">
        <f>L20-X20</f>
        <v>15662</v>
      </c>
      <c r="AB20" s="79">
        <f>I20</f>
        <v>42000</v>
      </c>
      <c r="AC20" s="74">
        <v>1000</v>
      </c>
      <c r="AD20" s="79">
        <f>AC20+AB20</f>
        <v>43000</v>
      </c>
      <c r="AF20" s="79">
        <f t="shared" si="3"/>
        <v>0</v>
      </c>
      <c r="AG20" s="79">
        <f t="shared" si="3"/>
        <v>4718.4709999999995</v>
      </c>
    </row>
    <row r="21" spans="1:36" ht="33.75" x14ac:dyDescent="0.2">
      <c r="A21" s="259">
        <f>'Bieu CKGN (ko in)'!A15</f>
        <v>3</v>
      </c>
      <c r="B21" s="83" t="str">
        <f>'Bieu CKGN (ko in)'!B15</f>
        <v>Nâng cấp đường giao thông Nậm Lằn - Mốc 17</v>
      </c>
      <c r="C21" s="315" t="s">
        <v>138</v>
      </c>
      <c r="D21" s="359" t="s">
        <v>152</v>
      </c>
      <c r="E21" s="112" t="str">
        <f>'Bieu CKGN (ko in)'!C15</f>
        <v>997-30/07/2021</v>
      </c>
      <c r="F21" s="84">
        <f>'Bieu CKGN (ko in)'!D15</f>
        <v>190000</v>
      </c>
      <c r="G21" s="121">
        <v>190000</v>
      </c>
      <c r="H21" s="84">
        <v>75885</v>
      </c>
      <c r="I21" s="84">
        <f>'Bieu CKGN (ko in)'!E15</f>
        <v>75685</v>
      </c>
      <c r="J21" s="85">
        <v>45100</v>
      </c>
      <c r="K21" s="85">
        <v>23600</v>
      </c>
      <c r="L21" s="85">
        <v>75685</v>
      </c>
      <c r="M21" s="85">
        <v>30500.197</v>
      </c>
      <c r="N21" s="85">
        <f t="shared" si="4"/>
        <v>45184.803</v>
      </c>
      <c r="O21" s="85">
        <f>L21/I21*100</f>
        <v>100</v>
      </c>
      <c r="P21" s="85">
        <f t="shared" si="5"/>
        <v>0</v>
      </c>
      <c r="Q21" s="85"/>
      <c r="R21" s="85"/>
      <c r="S21" s="98"/>
      <c r="T21" s="155" t="s">
        <v>123</v>
      </c>
      <c r="U21" s="122" t="s">
        <v>292</v>
      </c>
      <c r="X21" s="91">
        <v>60270.32</v>
      </c>
      <c r="Y21" s="81">
        <f>X21-L21</f>
        <v>-15414.68</v>
      </c>
      <c r="AF21" s="79">
        <f t="shared" si="3"/>
        <v>0</v>
      </c>
      <c r="AG21" s="79">
        <f t="shared" si="3"/>
        <v>14599.803</v>
      </c>
      <c r="AH21" s="100">
        <v>15000</v>
      </c>
    </row>
    <row r="22" spans="1:36" s="115" customFormat="1" ht="13.5" x14ac:dyDescent="0.2">
      <c r="A22" s="262" t="s">
        <v>36</v>
      </c>
      <c r="B22" s="118" t="s">
        <v>39</v>
      </c>
      <c r="C22" s="314"/>
      <c r="D22" s="314"/>
      <c r="E22" s="119"/>
      <c r="F22" s="109">
        <f>SUM(F23)</f>
        <v>85000</v>
      </c>
      <c r="G22" s="109">
        <f t="shared" ref="G22:R22" si="6">SUM(G23)</f>
        <v>85000</v>
      </c>
      <c r="H22" s="109">
        <f t="shared" si="6"/>
        <v>51500</v>
      </c>
      <c r="I22" s="109">
        <f t="shared" si="6"/>
        <v>51500</v>
      </c>
      <c r="J22" s="109">
        <f t="shared" si="6"/>
        <v>50500</v>
      </c>
      <c r="K22" s="109">
        <f t="shared" si="6"/>
        <v>24500</v>
      </c>
      <c r="L22" s="109">
        <f t="shared" si="6"/>
        <v>51500</v>
      </c>
      <c r="M22" s="109">
        <f t="shared" si="6"/>
        <v>39131.17</v>
      </c>
      <c r="N22" s="109">
        <f t="shared" si="6"/>
        <v>12368.830000000002</v>
      </c>
      <c r="O22" s="109">
        <f t="shared" si="6"/>
        <v>100</v>
      </c>
      <c r="P22" s="109">
        <f t="shared" si="6"/>
        <v>0</v>
      </c>
      <c r="Q22" s="109">
        <f t="shared" si="6"/>
        <v>0</v>
      </c>
      <c r="R22" s="109">
        <f t="shared" si="6"/>
        <v>0</v>
      </c>
      <c r="S22" s="263"/>
      <c r="T22" s="159"/>
    </row>
    <row r="23" spans="1:36" s="75" customFormat="1" ht="33.75" x14ac:dyDescent="0.2">
      <c r="A23" s="259">
        <v>1</v>
      </c>
      <c r="B23" s="83" t="s">
        <v>119</v>
      </c>
      <c r="C23" s="315" t="s">
        <v>138</v>
      </c>
      <c r="D23" s="359" t="s">
        <v>153</v>
      </c>
      <c r="E23" s="112" t="s">
        <v>120</v>
      </c>
      <c r="F23" s="84">
        <v>85000</v>
      </c>
      <c r="G23" s="120">
        <v>85000</v>
      </c>
      <c r="H23" s="84">
        <f>14500+37000</f>
        <v>51500</v>
      </c>
      <c r="I23" s="84">
        <f>14500+37000</f>
        <v>51500</v>
      </c>
      <c r="J23" s="85">
        <v>50500</v>
      </c>
      <c r="K23" s="85">
        <v>24500</v>
      </c>
      <c r="L23" s="85">
        <v>51500</v>
      </c>
      <c r="M23" s="85">
        <v>39131.17</v>
      </c>
      <c r="N23" s="85">
        <f>L23-M23</f>
        <v>12368.830000000002</v>
      </c>
      <c r="O23" s="85">
        <f>L23/I23*100</f>
        <v>100</v>
      </c>
      <c r="P23" s="85">
        <f t="shared" si="5"/>
        <v>0</v>
      </c>
      <c r="Q23" s="85"/>
      <c r="R23" s="85"/>
      <c r="S23" s="98"/>
      <c r="T23" s="155" t="s">
        <v>124</v>
      </c>
      <c r="U23" s="122" t="s">
        <v>292</v>
      </c>
      <c r="X23" s="91">
        <f>Y23-L23</f>
        <v>-26740</v>
      </c>
      <c r="Y23" s="79">
        <v>24760</v>
      </c>
      <c r="AA23" s="92"/>
      <c r="AB23" s="135"/>
      <c r="AF23" s="79">
        <f>I23-L23</f>
        <v>0</v>
      </c>
      <c r="AG23" s="79">
        <f>J23-M23</f>
        <v>11368.830000000002</v>
      </c>
      <c r="AI23" s="74">
        <f>9000+7500+8000</f>
        <v>24500</v>
      </c>
    </row>
    <row r="24" spans="1:36" x14ac:dyDescent="0.2">
      <c r="A24" s="345"/>
      <c r="B24" s="360"/>
      <c r="C24" s="361"/>
      <c r="D24" s="361"/>
      <c r="E24" s="347"/>
      <c r="F24" s="348"/>
      <c r="G24" s="348"/>
      <c r="H24" s="348"/>
      <c r="I24" s="348"/>
      <c r="J24" s="351"/>
      <c r="K24" s="351"/>
      <c r="L24" s="351"/>
      <c r="M24" s="351"/>
      <c r="N24" s="351"/>
      <c r="O24" s="351"/>
      <c r="P24" s="351"/>
      <c r="Q24" s="351"/>
      <c r="R24" s="351"/>
      <c r="S24" s="353"/>
      <c r="V24" s="88" t="e">
        <f>#REF!-#REF!</f>
        <v>#REF!</v>
      </c>
    </row>
    <row r="25" spans="1:36" ht="13.5" hidden="1" x14ac:dyDescent="0.2">
      <c r="A25" s="239"/>
      <c r="B25" s="239"/>
      <c r="C25" s="163"/>
      <c r="D25" s="163"/>
      <c r="S25" s="99"/>
    </row>
    <row r="26" spans="1:36" hidden="1" x14ac:dyDescent="0.2">
      <c r="A26" s="134"/>
      <c r="B26" s="137" t="s">
        <v>416</v>
      </c>
      <c r="C26" s="137"/>
      <c r="D26" s="137"/>
      <c r="E26" s="137"/>
      <c r="F26" s="136">
        <f>SUM(F27:F44)</f>
        <v>519000</v>
      </c>
      <c r="G26" s="136">
        <f t="shared" ref="G26:R26" si="7">SUM(G27:G44)</f>
        <v>0</v>
      </c>
      <c r="H26" s="136">
        <f t="shared" si="7"/>
        <v>293462</v>
      </c>
      <c r="I26" s="136">
        <f t="shared" si="7"/>
        <v>258185</v>
      </c>
      <c r="J26" s="136">
        <f t="shared" si="7"/>
        <v>227339</v>
      </c>
      <c r="K26" s="136">
        <f t="shared" si="7"/>
        <v>154456</v>
      </c>
      <c r="L26" s="136">
        <f t="shared" si="7"/>
        <v>258185</v>
      </c>
      <c r="M26" s="136">
        <f t="shared" si="7"/>
        <v>113956.683</v>
      </c>
      <c r="N26" s="136"/>
      <c r="O26" s="136">
        <f t="shared" si="7"/>
        <v>400</v>
      </c>
      <c r="P26" s="136">
        <f t="shared" si="7"/>
        <v>0</v>
      </c>
      <c r="Q26" s="136">
        <f t="shared" si="7"/>
        <v>0</v>
      </c>
      <c r="R26" s="136">
        <f t="shared" si="7"/>
        <v>0</v>
      </c>
      <c r="S26" s="137"/>
      <c r="T26" s="138"/>
      <c r="U26" s="136">
        <f>SUM(U27:U44)</f>
        <v>4</v>
      </c>
    </row>
    <row r="27" spans="1:36" hidden="1" x14ac:dyDescent="0.2">
      <c r="A27" s="129">
        <v>1</v>
      </c>
      <c r="B27" s="130" t="s">
        <v>292</v>
      </c>
      <c r="C27" s="128"/>
      <c r="D27" s="128"/>
      <c r="E27" s="128"/>
      <c r="F27" s="126">
        <f t="shared" ref="F27:F44" si="8">SUMIF($U$16:$U$23,B27,$F$16:$F$23)</f>
        <v>519000</v>
      </c>
      <c r="G27" s="128"/>
      <c r="H27" s="126">
        <f t="shared" ref="H27:H44" si="9">SUMIF($U$16:$U$23,B27,$H$16:$H$23)</f>
        <v>293462</v>
      </c>
      <c r="I27" s="126">
        <f t="shared" ref="I27:I44" si="10">SUMIF($U$16:$U$23,B27,$I$16:$I$23)</f>
        <v>258185</v>
      </c>
      <c r="J27" s="157">
        <f t="shared" ref="J27:J44" si="11">SUMIF($U$16:$U$23,B27,$J$16:$J$23)</f>
        <v>227339</v>
      </c>
      <c r="K27" s="126">
        <f t="shared" ref="K27:K44" si="12">SUMIF($U$16:$U$23,B27,$K$16:$K$23)</f>
        <v>154456</v>
      </c>
      <c r="L27" s="126">
        <f t="shared" ref="L27:L44" si="13">SUMIF($U$16:$U$23,B27,$L$16:$L$23)</f>
        <v>258185</v>
      </c>
      <c r="M27" s="126">
        <f t="shared" ref="M27:M44" si="14">SUMIF($U$16:$U$23,B27,$M$16:$M$23)</f>
        <v>113956.683</v>
      </c>
      <c r="N27" s="126"/>
      <c r="O27" s="126">
        <f t="shared" ref="O27:O44" si="15">SUMIF($U$16:$U$23,B27,$O$16:$O$23)</f>
        <v>400</v>
      </c>
      <c r="P27" s="126">
        <f t="shared" ref="P27:P44" si="16">SUMIF($U$16:$U$23,B27,$P$16:$P$23)</f>
        <v>0</v>
      </c>
      <c r="Q27" s="126">
        <f t="shared" ref="Q27:Q44" si="17">SUMIF($U$16:$U$23,B27,$Q$16:$Q$23)</f>
        <v>0</v>
      </c>
      <c r="R27" s="126">
        <f t="shared" ref="R27:R44" si="18">SUMIF($U$16:$U$23,B27,$R$16:$R$23)</f>
        <v>0</v>
      </c>
      <c r="S27" s="128"/>
      <c r="T27" s="156"/>
      <c r="U27" s="127">
        <f t="shared" ref="U27:U44" si="19">COUNTIF($U$12:$U$23,B27)</f>
        <v>4</v>
      </c>
    </row>
    <row r="28" spans="1:36" hidden="1" x14ac:dyDescent="0.2">
      <c r="A28" s="129">
        <v>2</v>
      </c>
      <c r="B28" s="128" t="s">
        <v>415</v>
      </c>
      <c r="C28" s="128"/>
      <c r="D28" s="128"/>
      <c r="E28" s="128"/>
      <c r="F28" s="126">
        <f t="shared" si="8"/>
        <v>0</v>
      </c>
      <c r="G28" s="128"/>
      <c r="H28" s="126">
        <f t="shared" si="9"/>
        <v>0</v>
      </c>
      <c r="I28" s="126">
        <f t="shared" si="10"/>
        <v>0</v>
      </c>
      <c r="J28" s="157">
        <f t="shared" si="11"/>
        <v>0</v>
      </c>
      <c r="K28" s="126">
        <f t="shared" si="12"/>
        <v>0</v>
      </c>
      <c r="L28" s="126">
        <f t="shared" si="13"/>
        <v>0</v>
      </c>
      <c r="M28" s="126">
        <f t="shared" si="14"/>
        <v>0</v>
      </c>
      <c r="N28" s="126"/>
      <c r="O28" s="126">
        <f t="shared" si="15"/>
        <v>0</v>
      </c>
      <c r="P28" s="126">
        <f t="shared" si="16"/>
        <v>0</v>
      </c>
      <c r="Q28" s="126">
        <f t="shared" si="17"/>
        <v>0</v>
      </c>
      <c r="R28" s="126">
        <f t="shared" si="18"/>
        <v>0</v>
      </c>
      <c r="S28" s="128"/>
      <c r="T28" s="156"/>
      <c r="U28" s="127">
        <f t="shared" si="19"/>
        <v>0</v>
      </c>
    </row>
    <row r="29" spans="1:36" ht="13.5" hidden="1" customHeight="1" x14ac:dyDescent="0.2">
      <c r="A29" s="129">
        <v>3</v>
      </c>
      <c r="B29" s="128" t="s">
        <v>414</v>
      </c>
      <c r="C29" s="128"/>
      <c r="D29" s="128"/>
      <c r="E29" s="128"/>
      <c r="F29" s="126">
        <f t="shared" si="8"/>
        <v>0</v>
      </c>
      <c r="G29" s="128"/>
      <c r="H29" s="126">
        <f t="shared" si="9"/>
        <v>0</v>
      </c>
      <c r="I29" s="126">
        <f t="shared" si="10"/>
        <v>0</v>
      </c>
      <c r="J29" s="157">
        <f t="shared" si="11"/>
        <v>0</v>
      </c>
      <c r="K29" s="126">
        <f t="shared" si="12"/>
        <v>0</v>
      </c>
      <c r="L29" s="126">
        <f t="shared" si="13"/>
        <v>0</v>
      </c>
      <c r="M29" s="126">
        <f t="shared" si="14"/>
        <v>0</v>
      </c>
      <c r="N29" s="126"/>
      <c r="O29" s="126">
        <f t="shared" si="15"/>
        <v>0</v>
      </c>
      <c r="P29" s="126">
        <f t="shared" si="16"/>
        <v>0</v>
      </c>
      <c r="Q29" s="126">
        <f t="shared" si="17"/>
        <v>0</v>
      </c>
      <c r="R29" s="126">
        <f t="shared" si="18"/>
        <v>0</v>
      </c>
      <c r="S29" s="128"/>
      <c r="T29" s="156"/>
      <c r="U29" s="127">
        <f t="shared" si="19"/>
        <v>0</v>
      </c>
    </row>
    <row r="30" spans="1:36" ht="13.5" hidden="1" customHeight="1" x14ac:dyDescent="0.2">
      <c r="A30" s="129">
        <v>4</v>
      </c>
      <c r="B30" s="74" t="s">
        <v>413</v>
      </c>
      <c r="C30" s="128"/>
      <c r="D30" s="128"/>
      <c r="E30" s="128"/>
      <c r="F30" s="126">
        <f t="shared" si="8"/>
        <v>0</v>
      </c>
      <c r="G30" s="128"/>
      <c r="H30" s="126">
        <f t="shared" si="9"/>
        <v>0</v>
      </c>
      <c r="I30" s="126">
        <f t="shared" si="10"/>
        <v>0</v>
      </c>
      <c r="J30" s="157">
        <f t="shared" si="11"/>
        <v>0</v>
      </c>
      <c r="K30" s="126">
        <f t="shared" si="12"/>
        <v>0</v>
      </c>
      <c r="L30" s="126">
        <f t="shared" si="13"/>
        <v>0</v>
      </c>
      <c r="M30" s="126">
        <f t="shared" si="14"/>
        <v>0</v>
      </c>
      <c r="N30" s="126"/>
      <c r="O30" s="126">
        <f t="shared" si="15"/>
        <v>0</v>
      </c>
      <c r="P30" s="126">
        <f t="shared" si="16"/>
        <v>0</v>
      </c>
      <c r="Q30" s="126">
        <f t="shared" si="17"/>
        <v>0</v>
      </c>
      <c r="R30" s="126">
        <f t="shared" si="18"/>
        <v>0</v>
      </c>
      <c r="S30" s="128"/>
      <c r="T30" s="156"/>
      <c r="U30" s="127">
        <f t="shared" si="19"/>
        <v>0</v>
      </c>
    </row>
    <row r="31" spans="1:36" hidden="1" x14ac:dyDescent="0.2">
      <c r="A31" s="129">
        <v>5</v>
      </c>
      <c r="B31" s="131" t="s">
        <v>349</v>
      </c>
      <c r="C31" s="128"/>
      <c r="D31" s="128"/>
      <c r="E31" s="128"/>
      <c r="F31" s="126">
        <f t="shared" si="8"/>
        <v>0</v>
      </c>
      <c r="G31" s="128"/>
      <c r="H31" s="126">
        <f t="shared" si="9"/>
        <v>0</v>
      </c>
      <c r="I31" s="126">
        <f t="shared" si="10"/>
        <v>0</v>
      </c>
      <c r="J31" s="157">
        <f t="shared" si="11"/>
        <v>0</v>
      </c>
      <c r="K31" s="126">
        <f t="shared" si="12"/>
        <v>0</v>
      </c>
      <c r="L31" s="126">
        <f t="shared" si="13"/>
        <v>0</v>
      </c>
      <c r="M31" s="126">
        <f t="shared" si="14"/>
        <v>0</v>
      </c>
      <c r="N31" s="126"/>
      <c r="O31" s="126">
        <f t="shared" si="15"/>
        <v>0</v>
      </c>
      <c r="P31" s="126">
        <f t="shared" si="16"/>
        <v>0</v>
      </c>
      <c r="Q31" s="126">
        <f t="shared" si="17"/>
        <v>0</v>
      </c>
      <c r="R31" s="126">
        <f t="shared" si="18"/>
        <v>0</v>
      </c>
      <c r="S31" s="128"/>
      <c r="T31" s="156"/>
      <c r="U31" s="127">
        <f t="shared" si="19"/>
        <v>0</v>
      </c>
    </row>
    <row r="32" spans="1:36" hidden="1" x14ac:dyDescent="0.2">
      <c r="A32" s="129">
        <v>6</v>
      </c>
      <c r="B32" s="132" t="s">
        <v>298</v>
      </c>
      <c r="C32" s="128"/>
      <c r="D32" s="128"/>
      <c r="E32" s="128"/>
      <c r="F32" s="126">
        <f t="shared" si="8"/>
        <v>0</v>
      </c>
      <c r="G32" s="128"/>
      <c r="H32" s="126">
        <f t="shared" si="9"/>
        <v>0</v>
      </c>
      <c r="I32" s="126">
        <f t="shared" si="10"/>
        <v>0</v>
      </c>
      <c r="J32" s="157">
        <f t="shared" si="11"/>
        <v>0</v>
      </c>
      <c r="K32" s="126">
        <f t="shared" si="12"/>
        <v>0</v>
      </c>
      <c r="L32" s="126">
        <f t="shared" si="13"/>
        <v>0</v>
      </c>
      <c r="M32" s="126">
        <f t="shared" si="14"/>
        <v>0</v>
      </c>
      <c r="N32" s="126"/>
      <c r="O32" s="126">
        <f t="shared" si="15"/>
        <v>0</v>
      </c>
      <c r="P32" s="126">
        <f t="shared" si="16"/>
        <v>0</v>
      </c>
      <c r="Q32" s="126">
        <f t="shared" si="17"/>
        <v>0</v>
      </c>
      <c r="R32" s="126">
        <f t="shared" si="18"/>
        <v>0</v>
      </c>
      <c r="S32" s="128"/>
      <c r="T32" s="156"/>
      <c r="U32" s="127">
        <f t="shared" si="19"/>
        <v>0</v>
      </c>
    </row>
    <row r="33" spans="1:25" hidden="1" x14ac:dyDescent="0.2">
      <c r="A33" s="129">
        <v>7</v>
      </c>
      <c r="B33" s="131" t="s">
        <v>303</v>
      </c>
      <c r="C33" s="128"/>
      <c r="D33" s="128"/>
      <c r="E33" s="128"/>
      <c r="F33" s="126">
        <f t="shared" si="8"/>
        <v>0</v>
      </c>
      <c r="G33" s="128"/>
      <c r="H33" s="126">
        <f t="shared" si="9"/>
        <v>0</v>
      </c>
      <c r="I33" s="126">
        <f t="shared" si="10"/>
        <v>0</v>
      </c>
      <c r="J33" s="157">
        <f t="shared" si="11"/>
        <v>0</v>
      </c>
      <c r="K33" s="126">
        <f t="shared" si="12"/>
        <v>0</v>
      </c>
      <c r="L33" s="126">
        <f t="shared" si="13"/>
        <v>0</v>
      </c>
      <c r="M33" s="126">
        <f t="shared" si="14"/>
        <v>0</v>
      </c>
      <c r="N33" s="126"/>
      <c r="O33" s="126">
        <f t="shared" si="15"/>
        <v>0</v>
      </c>
      <c r="P33" s="126">
        <f t="shared" si="16"/>
        <v>0</v>
      </c>
      <c r="Q33" s="126">
        <f t="shared" si="17"/>
        <v>0</v>
      </c>
      <c r="R33" s="126">
        <f t="shared" si="18"/>
        <v>0</v>
      </c>
      <c r="S33" s="128"/>
      <c r="T33" s="156"/>
      <c r="U33" s="127">
        <f t="shared" si="19"/>
        <v>0</v>
      </c>
    </row>
    <row r="34" spans="1:25" hidden="1" x14ac:dyDescent="0.2">
      <c r="A34" s="129">
        <v>8</v>
      </c>
      <c r="B34" s="131" t="s">
        <v>301</v>
      </c>
      <c r="C34" s="128"/>
      <c r="D34" s="128"/>
      <c r="E34" s="128"/>
      <c r="F34" s="126">
        <f t="shared" si="8"/>
        <v>0</v>
      </c>
      <c r="G34" s="128"/>
      <c r="H34" s="126">
        <f t="shared" si="9"/>
        <v>0</v>
      </c>
      <c r="I34" s="126">
        <f t="shared" si="10"/>
        <v>0</v>
      </c>
      <c r="J34" s="157">
        <f t="shared" si="11"/>
        <v>0</v>
      </c>
      <c r="K34" s="126">
        <f t="shared" si="12"/>
        <v>0</v>
      </c>
      <c r="L34" s="126">
        <f t="shared" si="13"/>
        <v>0</v>
      </c>
      <c r="M34" s="126">
        <f t="shared" si="14"/>
        <v>0</v>
      </c>
      <c r="N34" s="126"/>
      <c r="O34" s="126">
        <f t="shared" si="15"/>
        <v>0</v>
      </c>
      <c r="P34" s="126">
        <f t="shared" si="16"/>
        <v>0</v>
      </c>
      <c r="Q34" s="126">
        <f t="shared" si="17"/>
        <v>0</v>
      </c>
      <c r="R34" s="126">
        <f t="shared" si="18"/>
        <v>0</v>
      </c>
      <c r="S34" s="128"/>
      <c r="T34" s="156"/>
      <c r="U34" s="127">
        <f t="shared" si="19"/>
        <v>0</v>
      </c>
      <c r="X34" s="74">
        <v>7</v>
      </c>
      <c r="Y34" s="79">
        <f>I34</f>
        <v>0</v>
      </c>
    </row>
    <row r="35" spans="1:25" hidden="1" x14ac:dyDescent="0.2">
      <c r="A35" s="129">
        <v>9</v>
      </c>
      <c r="B35" s="131" t="s">
        <v>294</v>
      </c>
      <c r="C35" s="128"/>
      <c r="D35" s="128"/>
      <c r="E35" s="128"/>
      <c r="F35" s="126">
        <f t="shared" si="8"/>
        <v>0</v>
      </c>
      <c r="G35" s="128"/>
      <c r="H35" s="126">
        <f t="shared" si="9"/>
        <v>0</v>
      </c>
      <c r="I35" s="126">
        <f t="shared" si="10"/>
        <v>0</v>
      </c>
      <c r="J35" s="157">
        <f t="shared" si="11"/>
        <v>0</v>
      </c>
      <c r="K35" s="126">
        <f t="shared" si="12"/>
        <v>0</v>
      </c>
      <c r="L35" s="126">
        <f t="shared" si="13"/>
        <v>0</v>
      </c>
      <c r="M35" s="126">
        <f t="shared" si="14"/>
        <v>0</v>
      </c>
      <c r="N35" s="126"/>
      <c r="O35" s="126">
        <f t="shared" si="15"/>
        <v>0</v>
      </c>
      <c r="P35" s="126">
        <f t="shared" si="16"/>
        <v>0</v>
      </c>
      <c r="Q35" s="126">
        <f t="shared" si="17"/>
        <v>0</v>
      </c>
      <c r="R35" s="126">
        <f t="shared" si="18"/>
        <v>0</v>
      </c>
      <c r="S35" s="128"/>
      <c r="T35" s="156"/>
      <c r="U35" s="127">
        <f t="shared" si="19"/>
        <v>0</v>
      </c>
    </row>
    <row r="36" spans="1:25" hidden="1" x14ac:dyDescent="0.2">
      <c r="A36" s="129">
        <v>10</v>
      </c>
      <c r="B36" s="133" t="s">
        <v>300</v>
      </c>
      <c r="C36" s="128"/>
      <c r="D36" s="128"/>
      <c r="E36" s="128"/>
      <c r="F36" s="126">
        <f t="shared" si="8"/>
        <v>0</v>
      </c>
      <c r="G36" s="128"/>
      <c r="H36" s="126">
        <f t="shared" si="9"/>
        <v>0</v>
      </c>
      <c r="I36" s="126">
        <f t="shared" si="10"/>
        <v>0</v>
      </c>
      <c r="J36" s="157">
        <f t="shared" si="11"/>
        <v>0</v>
      </c>
      <c r="K36" s="126">
        <f t="shared" si="12"/>
        <v>0</v>
      </c>
      <c r="L36" s="126">
        <f t="shared" si="13"/>
        <v>0</v>
      </c>
      <c r="M36" s="126">
        <f t="shared" si="14"/>
        <v>0</v>
      </c>
      <c r="N36" s="126"/>
      <c r="O36" s="126">
        <f t="shared" si="15"/>
        <v>0</v>
      </c>
      <c r="P36" s="126">
        <f t="shared" si="16"/>
        <v>0</v>
      </c>
      <c r="Q36" s="126">
        <f t="shared" si="17"/>
        <v>0</v>
      </c>
      <c r="R36" s="126">
        <f t="shared" si="18"/>
        <v>0</v>
      </c>
      <c r="S36" s="128"/>
      <c r="T36" s="156"/>
      <c r="U36" s="127">
        <f t="shared" si="19"/>
        <v>0</v>
      </c>
    </row>
    <row r="37" spans="1:25" hidden="1" x14ac:dyDescent="0.2">
      <c r="A37" s="129">
        <v>11</v>
      </c>
      <c r="B37" s="131" t="s">
        <v>348</v>
      </c>
      <c r="C37" s="128"/>
      <c r="D37" s="128"/>
      <c r="E37" s="128"/>
      <c r="F37" s="126">
        <f t="shared" si="8"/>
        <v>0</v>
      </c>
      <c r="G37" s="128"/>
      <c r="H37" s="126">
        <f t="shared" si="9"/>
        <v>0</v>
      </c>
      <c r="I37" s="126">
        <f t="shared" si="10"/>
        <v>0</v>
      </c>
      <c r="J37" s="157">
        <f t="shared" si="11"/>
        <v>0</v>
      </c>
      <c r="K37" s="126">
        <f t="shared" si="12"/>
        <v>0</v>
      </c>
      <c r="L37" s="126">
        <f t="shared" si="13"/>
        <v>0</v>
      </c>
      <c r="M37" s="126">
        <f t="shared" si="14"/>
        <v>0</v>
      </c>
      <c r="N37" s="126"/>
      <c r="O37" s="126">
        <f t="shared" si="15"/>
        <v>0</v>
      </c>
      <c r="P37" s="126">
        <f t="shared" si="16"/>
        <v>0</v>
      </c>
      <c r="Q37" s="126">
        <f t="shared" si="17"/>
        <v>0</v>
      </c>
      <c r="R37" s="126">
        <f t="shared" si="18"/>
        <v>0</v>
      </c>
      <c r="S37" s="128"/>
      <c r="T37" s="156"/>
      <c r="U37" s="127">
        <f t="shared" si="19"/>
        <v>0</v>
      </c>
    </row>
    <row r="38" spans="1:25" hidden="1" x14ac:dyDescent="0.2">
      <c r="A38" s="129">
        <v>12</v>
      </c>
      <c r="B38" s="131" t="s">
        <v>304</v>
      </c>
      <c r="C38" s="128"/>
      <c r="D38" s="128"/>
      <c r="E38" s="128"/>
      <c r="F38" s="126">
        <f t="shared" si="8"/>
        <v>0</v>
      </c>
      <c r="G38" s="128"/>
      <c r="H38" s="126">
        <f t="shared" si="9"/>
        <v>0</v>
      </c>
      <c r="I38" s="126">
        <f t="shared" si="10"/>
        <v>0</v>
      </c>
      <c r="J38" s="157">
        <f t="shared" si="11"/>
        <v>0</v>
      </c>
      <c r="K38" s="126">
        <f t="shared" si="12"/>
        <v>0</v>
      </c>
      <c r="L38" s="126">
        <f t="shared" si="13"/>
        <v>0</v>
      </c>
      <c r="M38" s="126">
        <f t="shared" si="14"/>
        <v>0</v>
      </c>
      <c r="N38" s="126"/>
      <c r="O38" s="126">
        <f t="shared" si="15"/>
        <v>0</v>
      </c>
      <c r="P38" s="126">
        <f t="shared" si="16"/>
        <v>0</v>
      </c>
      <c r="Q38" s="126">
        <f t="shared" si="17"/>
        <v>0</v>
      </c>
      <c r="R38" s="126">
        <f t="shared" si="18"/>
        <v>0</v>
      </c>
      <c r="S38" s="128"/>
      <c r="T38" s="156"/>
      <c r="U38" s="127">
        <f t="shared" si="19"/>
        <v>0</v>
      </c>
    </row>
    <row r="39" spans="1:25" hidden="1" x14ac:dyDescent="0.2">
      <c r="A39" s="129">
        <v>13</v>
      </c>
      <c r="B39" s="131" t="s">
        <v>296</v>
      </c>
      <c r="C39" s="128"/>
      <c r="D39" s="128"/>
      <c r="E39" s="128"/>
      <c r="F39" s="126">
        <f t="shared" si="8"/>
        <v>0</v>
      </c>
      <c r="G39" s="128"/>
      <c r="H39" s="126">
        <f t="shared" si="9"/>
        <v>0</v>
      </c>
      <c r="I39" s="126">
        <f t="shared" si="10"/>
        <v>0</v>
      </c>
      <c r="J39" s="157">
        <f t="shared" si="11"/>
        <v>0</v>
      </c>
      <c r="K39" s="126">
        <f t="shared" si="12"/>
        <v>0</v>
      </c>
      <c r="L39" s="126">
        <f t="shared" si="13"/>
        <v>0</v>
      </c>
      <c r="M39" s="126">
        <f t="shared" si="14"/>
        <v>0</v>
      </c>
      <c r="N39" s="126"/>
      <c r="O39" s="126">
        <f t="shared" si="15"/>
        <v>0</v>
      </c>
      <c r="P39" s="126">
        <f t="shared" si="16"/>
        <v>0</v>
      </c>
      <c r="Q39" s="126">
        <f t="shared" si="17"/>
        <v>0</v>
      </c>
      <c r="R39" s="126">
        <f t="shared" si="18"/>
        <v>0</v>
      </c>
      <c r="S39" s="128"/>
      <c r="T39" s="156"/>
      <c r="U39" s="127">
        <f t="shared" si="19"/>
        <v>0</v>
      </c>
      <c r="X39" s="74">
        <v>3</v>
      </c>
      <c r="Y39" s="79">
        <f>I39</f>
        <v>0</v>
      </c>
    </row>
    <row r="40" spans="1:25" hidden="1" x14ac:dyDescent="0.2">
      <c r="A40" s="129">
        <v>14</v>
      </c>
      <c r="B40" s="131" t="s">
        <v>302</v>
      </c>
      <c r="C40" s="128"/>
      <c r="D40" s="128"/>
      <c r="E40" s="128"/>
      <c r="F40" s="126">
        <f t="shared" si="8"/>
        <v>0</v>
      </c>
      <c r="G40" s="128"/>
      <c r="H40" s="126">
        <f t="shared" si="9"/>
        <v>0</v>
      </c>
      <c r="I40" s="126">
        <f t="shared" si="10"/>
        <v>0</v>
      </c>
      <c r="J40" s="157">
        <f t="shared" si="11"/>
        <v>0</v>
      </c>
      <c r="K40" s="126">
        <f t="shared" si="12"/>
        <v>0</v>
      </c>
      <c r="L40" s="126">
        <f t="shared" si="13"/>
        <v>0</v>
      </c>
      <c r="M40" s="126">
        <f t="shared" si="14"/>
        <v>0</v>
      </c>
      <c r="N40" s="126"/>
      <c r="O40" s="126">
        <f t="shared" si="15"/>
        <v>0</v>
      </c>
      <c r="P40" s="126">
        <f t="shared" si="16"/>
        <v>0</v>
      </c>
      <c r="Q40" s="126">
        <f t="shared" si="17"/>
        <v>0</v>
      </c>
      <c r="R40" s="126">
        <f t="shared" si="18"/>
        <v>0</v>
      </c>
      <c r="S40" s="128"/>
      <c r="T40" s="156"/>
      <c r="U40" s="127">
        <f t="shared" si="19"/>
        <v>0</v>
      </c>
    </row>
    <row r="41" spans="1:25" hidden="1" x14ac:dyDescent="0.2">
      <c r="A41" s="129">
        <v>15</v>
      </c>
      <c r="B41" s="131" t="s">
        <v>295</v>
      </c>
      <c r="C41" s="128"/>
      <c r="D41" s="128"/>
      <c r="E41" s="128"/>
      <c r="F41" s="126">
        <f t="shared" si="8"/>
        <v>0</v>
      </c>
      <c r="G41" s="128"/>
      <c r="H41" s="126">
        <f t="shared" si="9"/>
        <v>0</v>
      </c>
      <c r="I41" s="126">
        <f t="shared" si="10"/>
        <v>0</v>
      </c>
      <c r="J41" s="157">
        <f t="shared" si="11"/>
        <v>0</v>
      </c>
      <c r="K41" s="126">
        <f t="shared" si="12"/>
        <v>0</v>
      </c>
      <c r="L41" s="126">
        <f t="shared" si="13"/>
        <v>0</v>
      </c>
      <c r="M41" s="126">
        <f t="shared" si="14"/>
        <v>0</v>
      </c>
      <c r="N41" s="126"/>
      <c r="O41" s="126">
        <f t="shared" si="15"/>
        <v>0</v>
      </c>
      <c r="P41" s="126">
        <f t="shared" si="16"/>
        <v>0</v>
      </c>
      <c r="Q41" s="126">
        <f t="shared" si="17"/>
        <v>0</v>
      </c>
      <c r="R41" s="126">
        <f t="shared" si="18"/>
        <v>0</v>
      </c>
      <c r="S41" s="128"/>
      <c r="T41" s="156"/>
      <c r="U41" s="127">
        <f t="shared" si="19"/>
        <v>0</v>
      </c>
      <c r="X41" s="74">
        <v>5</v>
      </c>
      <c r="Y41" s="79">
        <f>I41</f>
        <v>0</v>
      </c>
    </row>
    <row r="42" spans="1:25" hidden="1" x14ac:dyDescent="0.2">
      <c r="A42" s="129">
        <v>16</v>
      </c>
      <c r="B42" s="131" t="s">
        <v>293</v>
      </c>
      <c r="C42" s="128"/>
      <c r="D42" s="128"/>
      <c r="E42" s="128"/>
      <c r="F42" s="126">
        <f t="shared" si="8"/>
        <v>0</v>
      </c>
      <c r="G42" s="128"/>
      <c r="H42" s="126">
        <f t="shared" si="9"/>
        <v>0</v>
      </c>
      <c r="I42" s="126">
        <f t="shared" si="10"/>
        <v>0</v>
      </c>
      <c r="J42" s="157">
        <f t="shared" si="11"/>
        <v>0</v>
      </c>
      <c r="K42" s="126">
        <f t="shared" si="12"/>
        <v>0</v>
      </c>
      <c r="L42" s="126">
        <f t="shared" si="13"/>
        <v>0</v>
      </c>
      <c r="M42" s="126">
        <f t="shared" si="14"/>
        <v>0</v>
      </c>
      <c r="N42" s="126"/>
      <c r="O42" s="126">
        <f t="shared" si="15"/>
        <v>0</v>
      </c>
      <c r="P42" s="126">
        <f t="shared" si="16"/>
        <v>0</v>
      </c>
      <c r="Q42" s="126">
        <f t="shared" si="17"/>
        <v>0</v>
      </c>
      <c r="R42" s="126">
        <f t="shared" si="18"/>
        <v>0</v>
      </c>
      <c r="S42" s="128"/>
      <c r="T42" s="156"/>
      <c r="U42" s="127">
        <f t="shared" si="19"/>
        <v>0</v>
      </c>
      <c r="X42" s="74">
        <v>6</v>
      </c>
      <c r="Y42" s="79">
        <f>I42</f>
        <v>0</v>
      </c>
    </row>
    <row r="43" spans="1:25" hidden="1" x14ac:dyDescent="0.2">
      <c r="A43" s="129">
        <v>17</v>
      </c>
      <c r="B43" s="131" t="s">
        <v>299</v>
      </c>
      <c r="C43" s="128"/>
      <c r="D43" s="128"/>
      <c r="E43" s="128"/>
      <c r="F43" s="126">
        <f t="shared" si="8"/>
        <v>0</v>
      </c>
      <c r="G43" s="128"/>
      <c r="H43" s="126">
        <f t="shared" si="9"/>
        <v>0</v>
      </c>
      <c r="I43" s="126">
        <f t="shared" si="10"/>
        <v>0</v>
      </c>
      <c r="J43" s="157">
        <f t="shared" si="11"/>
        <v>0</v>
      </c>
      <c r="K43" s="126">
        <f t="shared" si="12"/>
        <v>0</v>
      </c>
      <c r="L43" s="126">
        <f t="shared" si="13"/>
        <v>0</v>
      </c>
      <c r="M43" s="126">
        <f t="shared" si="14"/>
        <v>0</v>
      </c>
      <c r="N43" s="126"/>
      <c r="O43" s="126">
        <f t="shared" si="15"/>
        <v>0</v>
      </c>
      <c r="P43" s="126">
        <f t="shared" si="16"/>
        <v>0</v>
      </c>
      <c r="Q43" s="126">
        <f t="shared" si="17"/>
        <v>0</v>
      </c>
      <c r="R43" s="126">
        <f t="shared" si="18"/>
        <v>0</v>
      </c>
      <c r="S43" s="128"/>
      <c r="T43" s="156"/>
      <c r="U43" s="127">
        <f t="shared" si="19"/>
        <v>0</v>
      </c>
      <c r="X43" s="74">
        <v>3</v>
      </c>
      <c r="Y43" s="79">
        <f>I43</f>
        <v>0</v>
      </c>
    </row>
    <row r="44" spans="1:25" hidden="1" x14ac:dyDescent="0.2">
      <c r="A44" s="129">
        <v>18</v>
      </c>
      <c r="B44" s="131" t="s">
        <v>297</v>
      </c>
      <c r="C44" s="128"/>
      <c r="D44" s="128"/>
      <c r="E44" s="128"/>
      <c r="F44" s="126">
        <f t="shared" si="8"/>
        <v>0</v>
      </c>
      <c r="G44" s="128"/>
      <c r="H44" s="126">
        <f t="shared" si="9"/>
        <v>0</v>
      </c>
      <c r="I44" s="126">
        <f t="shared" si="10"/>
        <v>0</v>
      </c>
      <c r="J44" s="157">
        <f t="shared" si="11"/>
        <v>0</v>
      </c>
      <c r="K44" s="126">
        <f t="shared" si="12"/>
        <v>0</v>
      </c>
      <c r="L44" s="126">
        <f t="shared" si="13"/>
        <v>0</v>
      </c>
      <c r="M44" s="126">
        <f t="shared" si="14"/>
        <v>0</v>
      </c>
      <c r="N44" s="126"/>
      <c r="O44" s="126">
        <f t="shared" si="15"/>
        <v>0</v>
      </c>
      <c r="P44" s="126">
        <f t="shared" si="16"/>
        <v>0</v>
      </c>
      <c r="Q44" s="126">
        <f t="shared" si="17"/>
        <v>0</v>
      </c>
      <c r="R44" s="126">
        <f t="shared" si="18"/>
        <v>0</v>
      </c>
      <c r="S44" s="128"/>
      <c r="T44" s="156"/>
      <c r="U44" s="127">
        <f t="shared" si="19"/>
        <v>0</v>
      </c>
      <c r="X44" s="74">
        <v>4</v>
      </c>
      <c r="Y44" s="79">
        <f>I44</f>
        <v>0</v>
      </c>
    </row>
    <row r="45" spans="1:25" hidden="1" x14ac:dyDescent="0.2">
      <c r="A45" s="164"/>
      <c r="B45" s="123"/>
      <c r="X45" s="74">
        <f>SUM(X34:X44)</f>
        <v>28</v>
      </c>
    </row>
    <row r="46" spans="1:25" hidden="1" x14ac:dyDescent="0.2">
      <c r="A46" s="164"/>
      <c r="I46" s="88" t="e">
        <f>#REF!+#REF!+#REF!+#REF!+#REF!+#REF!</f>
        <v>#REF!</v>
      </c>
      <c r="L46" s="88" t="e">
        <f>#REF!+#REF!+#REF!+#REF!+#REF!+#REF!</f>
        <v>#REF!</v>
      </c>
    </row>
    <row r="47" spans="1:25" hidden="1" x14ac:dyDescent="0.2"/>
    <row r="48" spans="1:25" hidden="1" x14ac:dyDescent="0.2"/>
    <row r="49" spans="1:51" hidden="1" x14ac:dyDescent="0.2"/>
    <row r="50" spans="1:51" hidden="1" x14ac:dyDescent="0.2"/>
    <row r="51" spans="1:51" s="78" customFormat="1" hidden="1" x14ac:dyDescent="0.2">
      <c r="A51" s="74"/>
      <c r="B51" s="74"/>
      <c r="C51" s="74"/>
      <c r="D51" s="74"/>
      <c r="E51" s="74"/>
      <c r="F51" s="79">
        <f>F8-F26</f>
        <v>0</v>
      </c>
      <c r="G51" s="74"/>
      <c r="H51" s="74"/>
      <c r="I51" s="79">
        <f>I8-I26</f>
        <v>0</v>
      </c>
      <c r="J51" s="79">
        <f>J8-J26</f>
        <v>0</v>
      </c>
      <c r="K51" s="79">
        <f>K8-K26</f>
        <v>0</v>
      </c>
      <c r="L51" s="79">
        <f>L8-L26</f>
        <v>0</v>
      </c>
      <c r="M51" s="79">
        <f>M8-M26</f>
        <v>0</v>
      </c>
      <c r="N51" s="79"/>
      <c r="O51" s="79">
        <f>O8-O26</f>
        <v>-300</v>
      </c>
      <c r="P51" s="79">
        <f>P8-P26</f>
        <v>0</v>
      </c>
      <c r="Q51" s="79">
        <f>Q8-Q26</f>
        <v>0</v>
      </c>
      <c r="R51" s="79">
        <f>R8-R26</f>
        <v>0</v>
      </c>
      <c r="S51" s="74"/>
      <c r="T51" s="155"/>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row>
    <row r="52" spans="1:51" hidden="1" x14ac:dyDescent="0.2"/>
    <row r="53" spans="1:51" hidden="1" x14ac:dyDescent="0.2"/>
    <row r="54" spans="1:51" hidden="1" x14ac:dyDescent="0.2"/>
    <row r="55" spans="1:51" hidden="1" x14ac:dyDescent="0.2"/>
  </sheetData>
  <mergeCells count="30">
    <mergeCell ref="U5:U7"/>
    <mergeCell ref="W5:W7"/>
    <mergeCell ref="S5:S7"/>
    <mergeCell ref="R5:R7"/>
    <mergeCell ref="L5:N5"/>
    <mergeCell ref="L6:L7"/>
    <mergeCell ref="M6:M7"/>
    <mergeCell ref="N6:N7"/>
    <mergeCell ref="O5:O7"/>
    <mergeCell ref="A25:B25"/>
    <mergeCell ref="E5:E7"/>
    <mergeCell ref="F5:F7"/>
    <mergeCell ref="H5:I5"/>
    <mergeCell ref="H6:H7"/>
    <mergeCell ref="G5:G7"/>
    <mergeCell ref="I6:I7"/>
    <mergeCell ref="J5:K5"/>
    <mergeCell ref="J6:J7"/>
    <mergeCell ref="K6:K7"/>
    <mergeCell ref="A1:S1"/>
    <mergeCell ref="A2:S2"/>
    <mergeCell ref="A3:S3"/>
    <mergeCell ref="Q4:S4"/>
    <mergeCell ref="A5:A7"/>
    <mergeCell ref="B5:B7"/>
    <mergeCell ref="C5:C7"/>
    <mergeCell ref="D5:D7"/>
    <mergeCell ref="P5:Q5"/>
    <mergeCell ref="P6:P7"/>
    <mergeCell ref="Q6:Q7"/>
  </mergeCells>
  <printOptions horizontalCentered="1"/>
  <pageMargins left="0.19685039370078741" right="0.19685039370078741" top="0.59055118110236227" bottom="0.39370078740157483" header="0.31496062992125984" footer="0.31496062992125984"/>
  <pageSetup paperSize="9" scale="80" orientation="landscape" r:id="rId1"/>
  <headerFooter>
    <oddHeader>Page &amp;P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143"/>
  <sheetViews>
    <sheetView tabSelected="1" zoomScale="85" zoomScaleNormal="85" zoomScaleSheetLayoutView="130" workbookViewId="0">
      <pane ySplit="7" topLeftCell="A8" activePane="bottomLeft" state="frozen"/>
      <selection activeCell="H19" sqref="H19"/>
      <selection pane="bottomLeft" activeCell="N5" sqref="N5:N7"/>
    </sheetView>
  </sheetViews>
  <sheetFormatPr defaultColWidth="9.33203125" defaultRowHeight="12.75" x14ac:dyDescent="0.2"/>
  <cols>
    <col min="1" max="1" width="5.33203125" style="74" customWidth="1"/>
    <col min="2" max="2" width="44.33203125" style="74" customWidth="1"/>
    <col min="3" max="3" width="10.33203125" style="74" customWidth="1"/>
    <col min="4" max="4" width="11" style="74" customWidth="1"/>
    <col min="5" max="5" width="11.6640625" style="74" customWidth="1"/>
    <col min="6" max="7" width="11.33203125" style="74" customWidth="1"/>
    <col min="8" max="8" width="14.6640625" style="78" customWidth="1"/>
    <col min="9" max="9" width="15.1640625" style="78" customWidth="1"/>
    <col min="10" max="10" width="9.6640625" style="78" bestFit="1" customWidth="1"/>
    <col min="11" max="12" width="13.1640625" style="78" customWidth="1"/>
    <col min="13" max="13" width="12.6640625" style="78" customWidth="1"/>
    <col min="14" max="14" width="8.5" style="74" customWidth="1"/>
    <col min="15" max="15" width="8.33203125" style="187" customWidth="1"/>
    <col min="16" max="16" width="18.1640625" style="188" customWidth="1"/>
    <col min="17" max="17" width="10.5" style="188" customWidth="1"/>
    <col min="18" max="18" width="23.5" style="188" customWidth="1"/>
    <col min="19" max="19" width="10.1640625" style="188" customWidth="1"/>
    <col min="20" max="20" width="11.5" style="188" customWidth="1"/>
    <col min="21" max="21" width="11.6640625" style="188" customWidth="1"/>
    <col min="22" max="22" width="9.33203125" style="188" customWidth="1"/>
    <col min="23" max="23" width="9.33203125" style="74" customWidth="1"/>
    <col min="24" max="24" width="9.83203125" style="74" customWidth="1"/>
    <col min="25" max="25" width="9.33203125" style="74" customWidth="1"/>
    <col min="26" max="26" width="9.33203125" style="74"/>
    <col min="27" max="27" width="11.6640625" style="74" bestFit="1" customWidth="1"/>
    <col min="28" max="28" width="9.33203125" style="74"/>
    <col min="29" max="29" width="11.1640625" style="74" bestFit="1" customWidth="1"/>
    <col min="30" max="16384" width="9.33203125" style="74"/>
  </cols>
  <sheetData>
    <row r="1" spans="1:28" ht="15.75" x14ac:dyDescent="0.2">
      <c r="A1" s="225" t="s">
        <v>464</v>
      </c>
      <c r="B1" s="225"/>
      <c r="C1" s="225"/>
      <c r="D1" s="225"/>
      <c r="E1" s="225"/>
      <c r="F1" s="225"/>
      <c r="G1" s="225"/>
      <c r="H1" s="225"/>
      <c r="I1" s="225"/>
      <c r="J1" s="225"/>
      <c r="K1" s="225"/>
      <c r="L1" s="225"/>
      <c r="M1" s="225"/>
      <c r="N1" s="225"/>
    </row>
    <row r="2" spans="1:28" ht="18.600000000000001" customHeight="1" x14ac:dyDescent="0.2">
      <c r="A2" s="229" t="s">
        <v>442</v>
      </c>
      <c r="B2" s="229"/>
      <c r="C2" s="229"/>
      <c r="D2" s="229"/>
      <c r="E2" s="229"/>
      <c r="F2" s="229"/>
      <c r="G2" s="229"/>
      <c r="H2" s="229"/>
      <c r="I2" s="229"/>
      <c r="J2" s="229"/>
      <c r="K2" s="229"/>
      <c r="L2" s="229"/>
      <c r="M2" s="229"/>
      <c r="N2" s="229"/>
    </row>
    <row r="3" spans="1:28" ht="17.25" customHeight="1" x14ac:dyDescent="0.2">
      <c r="A3" s="230" t="str">
        <f>'Bieu 3'!A3:S3</f>
        <v xml:space="preserve">(Kèm theo Báo cáo số:             /UBND-TH, ngày        tháng 02 năm 2023 của UBND huyện Mường Tè) </v>
      </c>
      <c r="B3" s="230"/>
      <c r="C3" s="230"/>
      <c r="D3" s="230"/>
      <c r="E3" s="230"/>
      <c r="F3" s="230"/>
      <c r="G3" s="230"/>
      <c r="H3" s="230"/>
      <c r="I3" s="230"/>
      <c r="J3" s="230"/>
      <c r="K3" s="230"/>
      <c r="L3" s="230"/>
      <c r="M3" s="230"/>
      <c r="N3" s="230"/>
      <c r="O3" s="189"/>
    </row>
    <row r="4" spans="1:28" ht="15" customHeight="1" x14ac:dyDescent="0.2">
      <c r="A4" s="145"/>
      <c r="B4" s="145"/>
      <c r="C4" s="145"/>
      <c r="D4" s="145"/>
      <c r="E4" s="145"/>
      <c r="F4" s="145"/>
      <c r="G4" s="145"/>
      <c r="H4" s="145"/>
      <c r="I4" s="145"/>
      <c r="J4" s="145"/>
      <c r="K4" s="145"/>
      <c r="L4" s="145"/>
      <c r="M4" s="145"/>
      <c r="N4" s="253"/>
      <c r="O4" s="189"/>
    </row>
    <row r="5" spans="1:28" ht="36.75" customHeight="1" x14ac:dyDescent="0.2">
      <c r="A5" s="231" t="s">
        <v>84</v>
      </c>
      <c r="B5" s="231" t="s">
        <v>443</v>
      </c>
      <c r="C5" s="240" t="s">
        <v>89</v>
      </c>
      <c r="D5" s="240" t="s">
        <v>90</v>
      </c>
      <c r="E5" s="254" t="s">
        <v>444</v>
      </c>
      <c r="F5" s="255"/>
      <c r="G5" s="240" t="s">
        <v>447</v>
      </c>
      <c r="H5" s="256" t="s">
        <v>448</v>
      </c>
      <c r="I5" s="257"/>
      <c r="J5" s="247" t="s">
        <v>437</v>
      </c>
      <c r="K5" s="256" t="s">
        <v>450</v>
      </c>
      <c r="L5" s="257"/>
      <c r="M5" s="247" t="s">
        <v>458</v>
      </c>
      <c r="N5" s="231" t="s">
        <v>88</v>
      </c>
      <c r="P5" s="249" t="s">
        <v>291</v>
      </c>
      <c r="Q5" s="190">
        <f>92/173%</f>
        <v>53.179190751445084</v>
      </c>
      <c r="R5" s="248" t="s">
        <v>106</v>
      </c>
    </row>
    <row r="6" spans="1:28" ht="48" customHeight="1" x14ac:dyDescent="0.2">
      <c r="A6" s="231"/>
      <c r="B6" s="231"/>
      <c r="C6" s="232"/>
      <c r="D6" s="232"/>
      <c r="E6" s="232" t="s">
        <v>445</v>
      </c>
      <c r="F6" s="232" t="s">
        <v>446</v>
      </c>
      <c r="G6" s="232"/>
      <c r="H6" s="236" t="s">
        <v>449</v>
      </c>
      <c r="I6" s="232" t="s">
        <v>446</v>
      </c>
      <c r="J6" s="247"/>
      <c r="K6" s="250" t="s">
        <v>451</v>
      </c>
      <c r="L6" s="250" t="s">
        <v>440</v>
      </c>
      <c r="M6" s="247"/>
      <c r="N6" s="231"/>
      <c r="P6" s="249"/>
      <c r="R6" s="248"/>
    </row>
    <row r="7" spans="1:28" ht="31.5" customHeight="1" x14ac:dyDescent="0.2">
      <c r="A7" s="231"/>
      <c r="B7" s="231"/>
      <c r="C7" s="233"/>
      <c r="D7" s="233"/>
      <c r="E7" s="233"/>
      <c r="F7" s="233"/>
      <c r="G7" s="233"/>
      <c r="H7" s="237"/>
      <c r="I7" s="233"/>
      <c r="J7" s="247"/>
      <c r="K7" s="251"/>
      <c r="L7" s="251"/>
      <c r="M7" s="247"/>
      <c r="N7" s="231"/>
      <c r="O7" s="252">
        <f>E8+1813</f>
        <v>158866</v>
      </c>
      <c r="P7" s="249"/>
      <c r="R7" s="248"/>
    </row>
    <row r="8" spans="1:28" s="86" customFormat="1" ht="18" customHeight="1" x14ac:dyDescent="0.2">
      <c r="A8" s="275"/>
      <c r="B8" s="216" t="s">
        <v>23</v>
      </c>
      <c r="C8" s="275"/>
      <c r="D8" s="276">
        <f>D14</f>
        <v>379878.788</v>
      </c>
      <c r="E8" s="276">
        <f t="shared" ref="E8:M8" si="0">E14</f>
        <v>157053</v>
      </c>
      <c r="F8" s="276">
        <f t="shared" ref="F8" si="1">F14</f>
        <v>157053</v>
      </c>
      <c r="G8" s="276">
        <f t="shared" si="0"/>
        <v>155240</v>
      </c>
      <c r="H8" s="277">
        <f t="shared" si="0"/>
        <v>134006.91899999999</v>
      </c>
      <c r="I8" s="277">
        <f t="shared" si="0"/>
        <v>134006.91899999999</v>
      </c>
      <c r="J8" s="278">
        <f>H8/E8*100</f>
        <v>85.325921185841707</v>
      </c>
      <c r="K8" s="277">
        <f t="shared" si="0"/>
        <v>21233.081000000002</v>
      </c>
      <c r="L8" s="276">
        <f t="shared" si="0"/>
        <v>0</v>
      </c>
      <c r="M8" s="277">
        <f t="shared" si="0"/>
        <v>23046.081000000002</v>
      </c>
      <c r="N8" s="279">
        <f>SUM(N9:N13)</f>
        <v>87</v>
      </c>
      <c r="O8" s="187"/>
      <c r="P8" s="188"/>
      <c r="Q8" s="191" t="e">
        <f>#REF!-31.84</f>
        <v>#REF!</v>
      </c>
      <c r="R8" s="188"/>
      <c r="S8" s="192">
        <f>E8+66627</f>
        <v>223680</v>
      </c>
      <c r="T8" s="193">
        <f>800+45808+43818</f>
        <v>90426</v>
      </c>
      <c r="U8" s="188"/>
      <c r="V8" s="188"/>
    </row>
    <row r="9" spans="1:28" s="86" customFormat="1" ht="18" customHeight="1" x14ac:dyDescent="0.2">
      <c r="A9" s="258">
        <v>1</v>
      </c>
      <c r="B9" s="105" t="s">
        <v>128</v>
      </c>
      <c r="C9" s="106"/>
      <c r="D9" s="107">
        <f>SUMIF($O$14:$O$116,O9,$D$14:$D$116)</f>
        <v>0</v>
      </c>
      <c r="E9" s="107">
        <f t="shared" ref="E9:F13" si="2">SUMIF($O$14:$O$116,O9,$E$14:$E$116)</f>
        <v>0</v>
      </c>
      <c r="F9" s="107">
        <f t="shared" si="2"/>
        <v>0</v>
      </c>
      <c r="G9" s="107"/>
      <c r="H9" s="175">
        <f>SUMIF($O$14:$O$116,O9,$H$14:$H$116)</f>
        <v>0</v>
      </c>
      <c r="I9" s="175">
        <f>SUMIF($O$14:$O$116,O9,$I$14:$I$116)</f>
        <v>0</v>
      </c>
      <c r="J9" s="107"/>
      <c r="K9" s="175"/>
      <c r="L9" s="107"/>
      <c r="M9" s="176"/>
      <c r="N9" s="280">
        <f>COUNTIF($O$14:$O$116,O9)</f>
        <v>0</v>
      </c>
      <c r="O9" s="187" t="s">
        <v>125</v>
      </c>
      <c r="P9" s="188"/>
      <c r="Q9" s="188"/>
      <c r="R9" s="188"/>
      <c r="S9" s="188"/>
      <c r="T9" s="193">
        <v>66627</v>
      </c>
      <c r="U9" s="188"/>
      <c r="V9" s="188"/>
    </row>
    <row r="10" spans="1:28" s="86" customFormat="1" ht="18" customHeight="1" x14ac:dyDescent="0.2">
      <c r="A10" s="259">
        <v>2</v>
      </c>
      <c r="B10" s="83" t="s">
        <v>129</v>
      </c>
      <c r="C10" s="98"/>
      <c r="D10" s="85">
        <f>SUMIF($O$14:$O$116,O10,$D$14:$D$116)</f>
        <v>0</v>
      </c>
      <c r="E10" s="85">
        <f t="shared" si="2"/>
        <v>0</v>
      </c>
      <c r="F10" s="85">
        <f t="shared" si="2"/>
        <v>0</v>
      </c>
      <c r="G10" s="85"/>
      <c r="H10" s="162">
        <f>SUMIF($O$14:$O$116,O10,$H$14:$H$116)</f>
        <v>0</v>
      </c>
      <c r="I10" s="162">
        <f>SUMIF($O$14:$O$116,O10,$I$14:$I$116)</f>
        <v>0</v>
      </c>
      <c r="J10" s="85"/>
      <c r="K10" s="162"/>
      <c r="L10" s="85"/>
      <c r="M10" s="177"/>
      <c r="N10" s="281">
        <f>COUNTIF($O$14:$O$116,O10)</f>
        <v>0</v>
      </c>
      <c r="O10" s="187" t="s">
        <v>126</v>
      </c>
      <c r="P10" s="188"/>
      <c r="Q10" s="188"/>
      <c r="R10" s="188"/>
      <c r="S10" s="188"/>
      <c r="T10" s="193">
        <f>T8+T9</f>
        <v>157053</v>
      </c>
      <c r="U10" s="188"/>
      <c r="V10" s="188"/>
    </row>
    <row r="11" spans="1:28" s="86" customFormat="1" ht="18" customHeight="1" x14ac:dyDescent="0.2">
      <c r="A11" s="259">
        <v>3</v>
      </c>
      <c r="B11" s="83" t="s">
        <v>130</v>
      </c>
      <c r="C11" s="98"/>
      <c r="D11" s="85">
        <f>SUMIF($O$14:$O$116,O11,$D$14:$D$116)</f>
        <v>0</v>
      </c>
      <c r="E11" s="85">
        <f t="shared" si="2"/>
        <v>0</v>
      </c>
      <c r="F11" s="85">
        <f t="shared" si="2"/>
        <v>0</v>
      </c>
      <c r="G11" s="85"/>
      <c r="H11" s="162">
        <f>SUMIF($O$14:$O$116,O11,$H$14:$H$116)</f>
        <v>0</v>
      </c>
      <c r="I11" s="162">
        <f>SUMIF($O$14:$O$116,O11,$I$14:$I$116)</f>
        <v>0</v>
      </c>
      <c r="J11" s="85"/>
      <c r="K11" s="162"/>
      <c r="L11" s="85"/>
      <c r="M11" s="177"/>
      <c r="N11" s="281">
        <f>COUNTIF($O$14:$O$116,O11)</f>
        <v>0</v>
      </c>
      <c r="O11" s="187" t="s">
        <v>127</v>
      </c>
      <c r="P11" s="188"/>
      <c r="Q11" s="188"/>
      <c r="R11" s="188"/>
      <c r="S11" s="188"/>
      <c r="T11" s="188"/>
      <c r="U11" s="188"/>
      <c r="V11" s="188"/>
    </row>
    <row r="12" spans="1:28" s="86" customFormat="1" ht="18" customHeight="1" x14ac:dyDescent="0.2">
      <c r="A12" s="259">
        <v>4</v>
      </c>
      <c r="B12" s="83" t="s">
        <v>131</v>
      </c>
      <c r="C12" s="98"/>
      <c r="D12" s="85">
        <f>SUMIF($O$14:$O$116,O12,$D$14:$D$116)</f>
        <v>0</v>
      </c>
      <c r="E12" s="85">
        <f t="shared" si="2"/>
        <v>0</v>
      </c>
      <c r="F12" s="85">
        <f t="shared" si="2"/>
        <v>0</v>
      </c>
      <c r="G12" s="85"/>
      <c r="H12" s="162">
        <f>SUMIF($O$14:$O$116,O12,$H$14:$H$116)</f>
        <v>0</v>
      </c>
      <c r="I12" s="162">
        <f>SUMIF($O$14:$O$116,O12,$I$14:$I$116)</f>
        <v>0</v>
      </c>
      <c r="J12" s="85"/>
      <c r="K12" s="162"/>
      <c r="L12" s="85"/>
      <c r="M12" s="177"/>
      <c r="N12" s="281">
        <f>COUNTIF($O$14:$O$116,O12)</f>
        <v>0</v>
      </c>
      <c r="O12" s="187" t="s">
        <v>123</v>
      </c>
      <c r="P12" s="188"/>
      <c r="Q12" s="188"/>
      <c r="R12" s="188"/>
      <c r="S12" s="188"/>
      <c r="T12" s="188"/>
      <c r="U12" s="188"/>
      <c r="V12" s="188"/>
    </row>
    <row r="13" spans="1:28" s="86" customFormat="1" ht="18" customHeight="1" x14ac:dyDescent="0.2">
      <c r="A13" s="259">
        <v>5</v>
      </c>
      <c r="B13" s="83" t="s">
        <v>132</v>
      </c>
      <c r="C13" s="98"/>
      <c r="D13" s="85">
        <f>SUMIF($O$14:$O$116,O13,$D$14:$D$116)</f>
        <v>379878.788</v>
      </c>
      <c r="E13" s="85">
        <f t="shared" si="2"/>
        <v>157053</v>
      </c>
      <c r="F13" s="85">
        <f t="shared" si="2"/>
        <v>0</v>
      </c>
      <c r="G13" s="85"/>
      <c r="H13" s="162">
        <f>SUMIF($O$14:$O$116,O13,$H$14:$H$116)</f>
        <v>134006.91899999997</v>
      </c>
      <c r="I13" s="162">
        <f>SUMIF($O$14:$O$116,O13,$I$14:$I$116)</f>
        <v>134006.91899999997</v>
      </c>
      <c r="J13" s="85"/>
      <c r="K13" s="162"/>
      <c r="L13" s="85"/>
      <c r="M13" s="177"/>
      <c r="N13" s="281">
        <f>COUNTIF($O$14:$O$116,O13)</f>
        <v>87</v>
      </c>
      <c r="O13" s="187" t="s">
        <v>124</v>
      </c>
      <c r="P13" s="188"/>
      <c r="Q13" s="188"/>
      <c r="R13" s="188"/>
      <c r="S13" s="188"/>
      <c r="T13" s="188"/>
      <c r="U13" s="188"/>
      <c r="V13" s="188"/>
    </row>
    <row r="14" spans="1:28" s="86" customFormat="1" ht="18" customHeight="1" x14ac:dyDescent="0.2">
      <c r="A14" s="260"/>
      <c r="B14" s="103" t="s">
        <v>162</v>
      </c>
      <c r="C14" s="112"/>
      <c r="D14" s="104">
        <f t="shared" ref="D14:M14" si="3">D15+D34+D58</f>
        <v>379878.788</v>
      </c>
      <c r="E14" s="104">
        <f t="shared" si="3"/>
        <v>157053</v>
      </c>
      <c r="F14" s="104">
        <f t="shared" ref="F14" si="4">F15+F34+F58</f>
        <v>157053</v>
      </c>
      <c r="G14" s="104">
        <f t="shared" si="3"/>
        <v>155240</v>
      </c>
      <c r="H14" s="172">
        <f t="shared" si="3"/>
        <v>134006.91899999999</v>
      </c>
      <c r="I14" s="172">
        <f t="shared" si="3"/>
        <v>134006.91899999999</v>
      </c>
      <c r="J14" s="171">
        <f>H14/E14*100</f>
        <v>85.325921185841707</v>
      </c>
      <c r="K14" s="172">
        <f t="shared" si="3"/>
        <v>21233.081000000002</v>
      </c>
      <c r="L14" s="104">
        <f t="shared" si="3"/>
        <v>0</v>
      </c>
      <c r="M14" s="172">
        <f t="shared" si="3"/>
        <v>23046.081000000002</v>
      </c>
      <c r="N14" s="98"/>
      <c r="O14" s="252"/>
      <c r="P14" s="188"/>
      <c r="Q14" s="194"/>
      <c r="R14" s="188"/>
      <c r="S14" s="191"/>
      <c r="T14" s="188"/>
      <c r="U14" s="188"/>
      <c r="V14" s="188"/>
      <c r="AA14" s="87"/>
      <c r="AB14" s="87"/>
    </row>
    <row r="15" spans="1:28" s="86" customFormat="1" ht="19.149999999999999" customHeight="1" x14ac:dyDescent="0.2">
      <c r="A15" s="260" t="s">
        <v>15</v>
      </c>
      <c r="B15" s="103" t="s">
        <v>163</v>
      </c>
      <c r="C15" s="114"/>
      <c r="D15" s="104">
        <f>D16</f>
        <v>26573.788000000004</v>
      </c>
      <c r="E15" s="104">
        <f t="shared" ref="E15:M15" si="5">E16</f>
        <v>19772</v>
      </c>
      <c r="F15" s="104">
        <f t="shared" si="5"/>
        <v>19772</v>
      </c>
      <c r="G15" s="104">
        <f t="shared" si="5"/>
        <v>19772</v>
      </c>
      <c r="H15" s="172">
        <f t="shared" si="5"/>
        <v>13201.025999999998</v>
      </c>
      <c r="I15" s="172">
        <f t="shared" si="5"/>
        <v>13201.025999999998</v>
      </c>
      <c r="J15" s="171">
        <f>H15/E15*100</f>
        <v>66.766265425854726</v>
      </c>
      <c r="K15" s="172">
        <f t="shared" si="5"/>
        <v>6570.9740000000002</v>
      </c>
      <c r="L15" s="104">
        <f t="shared" si="5"/>
        <v>0</v>
      </c>
      <c r="M15" s="172">
        <f t="shared" si="5"/>
        <v>6570.9740000000002</v>
      </c>
      <c r="N15" s="261"/>
      <c r="O15" s="187"/>
      <c r="P15" s="188"/>
      <c r="Q15" s="194"/>
      <c r="R15" s="188"/>
      <c r="S15" s="191"/>
      <c r="T15" s="188"/>
      <c r="U15" s="188"/>
      <c r="V15" s="188"/>
      <c r="AA15" s="87"/>
      <c r="AB15" s="87"/>
    </row>
    <row r="16" spans="1:28" s="102" customFormat="1" ht="13.5" hidden="1" x14ac:dyDescent="0.2">
      <c r="A16" s="262"/>
      <c r="B16" s="118" t="s">
        <v>39</v>
      </c>
      <c r="C16" s="119"/>
      <c r="D16" s="109">
        <f>SUM(D17:D33)</f>
        <v>26573.788000000004</v>
      </c>
      <c r="E16" s="109">
        <f t="shared" ref="E16:M16" si="6">SUM(E17:E33)</f>
        <v>19772</v>
      </c>
      <c r="F16" s="109">
        <f t="shared" ref="F16" si="7">SUM(F17:F33)</f>
        <v>19772</v>
      </c>
      <c r="G16" s="109">
        <f t="shared" si="6"/>
        <v>19772</v>
      </c>
      <c r="H16" s="173">
        <f t="shared" si="6"/>
        <v>13201.025999999998</v>
      </c>
      <c r="I16" s="173">
        <f t="shared" si="6"/>
        <v>13201.025999999998</v>
      </c>
      <c r="J16" s="109">
        <f t="shared" si="6"/>
        <v>1209.1969178386146</v>
      </c>
      <c r="K16" s="173">
        <f t="shared" si="6"/>
        <v>6570.9740000000002</v>
      </c>
      <c r="L16" s="109">
        <f t="shared" si="6"/>
        <v>0</v>
      </c>
      <c r="M16" s="173">
        <f t="shared" si="6"/>
        <v>6570.9740000000002</v>
      </c>
      <c r="N16" s="263"/>
      <c r="O16" s="189"/>
      <c r="P16" s="195"/>
      <c r="Q16" s="196"/>
      <c r="R16" s="195"/>
      <c r="S16" s="197"/>
      <c r="T16" s="195"/>
      <c r="U16" s="195"/>
      <c r="V16" s="195"/>
      <c r="AA16" s="87"/>
      <c r="AB16" s="87"/>
    </row>
    <row r="17" spans="1:28" s="86" customFormat="1" ht="38.25" x14ac:dyDescent="0.2">
      <c r="A17" s="259">
        <v>1</v>
      </c>
      <c r="B17" s="282" t="s">
        <v>164</v>
      </c>
      <c r="C17" s="160" t="s">
        <v>236</v>
      </c>
      <c r="D17" s="283">
        <v>1000</v>
      </c>
      <c r="E17" s="284">
        <v>800</v>
      </c>
      <c r="F17" s="284">
        <v>800</v>
      </c>
      <c r="G17" s="284">
        <v>800</v>
      </c>
      <c r="H17" s="180">
        <v>800</v>
      </c>
      <c r="I17" s="162">
        <v>800</v>
      </c>
      <c r="J17" s="179">
        <f>H17/E17*100</f>
        <v>100</v>
      </c>
      <c r="K17" s="162">
        <f>E17-H17</f>
        <v>0</v>
      </c>
      <c r="L17" s="85"/>
      <c r="M17" s="178">
        <f>E17-H17</f>
        <v>0</v>
      </c>
      <c r="N17" s="98"/>
      <c r="O17" s="187" t="s">
        <v>124</v>
      </c>
      <c r="P17" s="198" t="s">
        <v>292</v>
      </c>
      <c r="Q17" s="194"/>
      <c r="R17" s="188"/>
      <c r="S17" s="191"/>
      <c r="T17" s="188"/>
      <c r="U17" s="188"/>
      <c r="V17" s="188"/>
      <c r="AA17" s="87">
        <f t="shared" ref="AA17:AA33" si="8">E17-H17</f>
        <v>0</v>
      </c>
      <c r="AB17" s="87" t="e">
        <f>#REF!-I17</f>
        <v>#REF!</v>
      </c>
    </row>
    <row r="18" spans="1:28" s="86" customFormat="1" ht="24" x14ac:dyDescent="0.2">
      <c r="A18" s="259">
        <v>2</v>
      </c>
      <c r="B18" s="282" t="s">
        <v>259</v>
      </c>
      <c r="C18" s="160" t="s">
        <v>275</v>
      </c>
      <c r="D18" s="283">
        <v>3000</v>
      </c>
      <c r="E18" s="284">
        <v>736</v>
      </c>
      <c r="F18" s="284">
        <v>736</v>
      </c>
      <c r="G18" s="284">
        <v>736</v>
      </c>
      <c r="H18" s="180">
        <v>736</v>
      </c>
      <c r="I18" s="180">
        <v>736</v>
      </c>
      <c r="J18" s="179">
        <f t="shared" ref="J18:J33" si="9">H18/E18*100</f>
        <v>100</v>
      </c>
      <c r="K18" s="162">
        <f t="shared" ref="K18:K33" si="10">E18-H18</f>
        <v>0</v>
      </c>
      <c r="L18" s="85"/>
      <c r="M18" s="178">
        <f t="shared" ref="M18:M28" si="11">E18-H18</f>
        <v>0</v>
      </c>
      <c r="N18" s="98"/>
      <c r="O18" s="187" t="s">
        <v>124</v>
      </c>
      <c r="P18" s="198" t="s">
        <v>292</v>
      </c>
      <c r="Q18" s="194"/>
      <c r="R18" s="188"/>
      <c r="S18" s="191"/>
      <c r="T18" s="188"/>
      <c r="U18" s="188"/>
      <c r="V18" s="188"/>
      <c r="AA18" s="87">
        <f t="shared" si="8"/>
        <v>0</v>
      </c>
      <c r="AB18" s="87" t="e">
        <f>#REF!-I18</f>
        <v>#REF!</v>
      </c>
    </row>
    <row r="19" spans="1:28" s="86" customFormat="1" ht="45" x14ac:dyDescent="0.2">
      <c r="A19" s="259">
        <v>3</v>
      </c>
      <c r="B19" s="282" t="s">
        <v>260</v>
      </c>
      <c r="C19" s="160" t="s">
        <v>276</v>
      </c>
      <c r="D19" s="283">
        <v>950</v>
      </c>
      <c r="E19" s="284">
        <v>850</v>
      </c>
      <c r="F19" s="284">
        <v>850</v>
      </c>
      <c r="G19" s="284">
        <v>850</v>
      </c>
      <c r="H19" s="180">
        <f>I19</f>
        <v>753.2</v>
      </c>
      <c r="I19" s="162">
        <v>753.2</v>
      </c>
      <c r="J19" s="179">
        <f t="shared" si="9"/>
        <v>88.611764705882351</v>
      </c>
      <c r="K19" s="162">
        <f t="shared" si="10"/>
        <v>96.799999999999955</v>
      </c>
      <c r="L19" s="208" t="s">
        <v>459</v>
      </c>
      <c r="M19" s="178">
        <f t="shared" si="11"/>
        <v>96.799999999999955</v>
      </c>
      <c r="N19" s="98"/>
      <c r="O19" s="187" t="s">
        <v>124</v>
      </c>
      <c r="P19" s="199" t="s">
        <v>293</v>
      </c>
      <c r="Q19" s="194"/>
      <c r="R19" s="188"/>
      <c r="S19" s="191"/>
      <c r="T19" s="188"/>
      <c r="U19" s="188"/>
      <c r="V19" s="188"/>
      <c r="AA19" s="87">
        <f t="shared" si="8"/>
        <v>96.799999999999955</v>
      </c>
      <c r="AB19" s="87" t="e">
        <f>#REF!-I19</f>
        <v>#REF!</v>
      </c>
    </row>
    <row r="20" spans="1:28" s="86" customFormat="1" ht="25.5" x14ac:dyDescent="0.2">
      <c r="A20" s="259">
        <v>4</v>
      </c>
      <c r="B20" s="282" t="s">
        <v>261</v>
      </c>
      <c r="C20" s="160" t="s">
        <v>277</v>
      </c>
      <c r="D20" s="283">
        <v>926</v>
      </c>
      <c r="E20" s="284">
        <v>800</v>
      </c>
      <c r="F20" s="284">
        <v>800</v>
      </c>
      <c r="G20" s="284">
        <v>800</v>
      </c>
      <c r="H20" s="180">
        <f>I20</f>
        <v>800</v>
      </c>
      <c r="I20" s="162">
        <v>800</v>
      </c>
      <c r="J20" s="179">
        <f t="shared" si="9"/>
        <v>100</v>
      </c>
      <c r="K20" s="162">
        <f t="shared" si="10"/>
        <v>0</v>
      </c>
      <c r="L20" s="85"/>
      <c r="M20" s="178">
        <f t="shared" si="11"/>
        <v>0</v>
      </c>
      <c r="N20" s="98"/>
      <c r="O20" s="187" t="s">
        <v>124</v>
      </c>
      <c r="P20" s="199" t="s">
        <v>293</v>
      </c>
      <c r="Q20" s="194"/>
      <c r="R20" s="188"/>
      <c r="S20" s="191"/>
      <c r="T20" s="188"/>
      <c r="U20" s="188"/>
      <c r="V20" s="188"/>
      <c r="AA20" s="87">
        <f t="shared" si="8"/>
        <v>0</v>
      </c>
      <c r="AB20" s="87" t="e">
        <f>#REF!-I20</f>
        <v>#REF!</v>
      </c>
    </row>
    <row r="21" spans="1:28" s="86" customFormat="1" ht="25.5" x14ac:dyDescent="0.2">
      <c r="A21" s="259">
        <v>5</v>
      </c>
      <c r="B21" s="282" t="s">
        <v>262</v>
      </c>
      <c r="C21" s="160" t="s">
        <v>278</v>
      </c>
      <c r="D21" s="283">
        <v>2500</v>
      </c>
      <c r="E21" s="284">
        <v>1000</v>
      </c>
      <c r="F21" s="284">
        <v>1000</v>
      </c>
      <c r="G21" s="284">
        <v>1000</v>
      </c>
      <c r="H21" s="180">
        <v>1000</v>
      </c>
      <c r="I21" s="162">
        <v>1000</v>
      </c>
      <c r="J21" s="179">
        <f t="shared" si="9"/>
        <v>100</v>
      </c>
      <c r="K21" s="162">
        <f t="shared" si="10"/>
        <v>0</v>
      </c>
      <c r="L21" s="85"/>
      <c r="M21" s="178">
        <f t="shared" si="11"/>
        <v>0</v>
      </c>
      <c r="N21" s="98"/>
      <c r="O21" s="187" t="s">
        <v>124</v>
      </c>
      <c r="P21" s="200" t="s">
        <v>294</v>
      </c>
      <c r="Q21" s="194"/>
      <c r="R21" s="188"/>
      <c r="S21" s="191"/>
      <c r="T21" s="188"/>
      <c r="U21" s="188"/>
      <c r="V21" s="188"/>
      <c r="AA21" s="87">
        <f t="shared" si="8"/>
        <v>0</v>
      </c>
      <c r="AB21" s="87" t="e">
        <f>#REF!-I21</f>
        <v>#REF!</v>
      </c>
    </row>
    <row r="22" spans="1:28" s="86" customFormat="1" ht="30.6" customHeight="1" x14ac:dyDescent="0.2">
      <c r="A22" s="259">
        <v>6</v>
      </c>
      <c r="B22" s="282" t="s">
        <v>263</v>
      </c>
      <c r="C22" s="160" t="s">
        <v>279</v>
      </c>
      <c r="D22" s="283">
        <v>1800</v>
      </c>
      <c r="E22" s="284">
        <v>1650</v>
      </c>
      <c r="F22" s="284">
        <v>1650</v>
      </c>
      <c r="G22" s="284">
        <v>1650</v>
      </c>
      <c r="H22" s="180">
        <f t="shared" ref="H22:H30" si="12">I22</f>
        <v>1507.9659999999999</v>
      </c>
      <c r="I22" s="162">
        <v>1507.9659999999999</v>
      </c>
      <c r="J22" s="179">
        <f t="shared" si="9"/>
        <v>91.391878787878781</v>
      </c>
      <c r="K22" s="162">
        <f t="shared" si="10"/>
        <v>142.03400000000011</v>
      </c>
      <c r="L22" s="244" t="s">
        <v>459</v>
      </c>
      <c r="M22" s="178">
        <f t="shared" si="11"/>
        <v>142.03400000000011</v>
      </c>
      <c r="N22" s="98"/>
      <c r="O22" s="187" t="s">
        <v>124</v>
      </c>
      <c r="P22" s="201" t="s">
        <v>295</v>
      </c>
      <c r="Q22" s="194"/>
      <c r="R22" s="188"/>
      <c r="S22" s="191"/>
      <c r="T22" s="188"/>
      <c r="U22" s="188"/>
      <c r="V22" s="188"/>
      <c r="AA22" s="87">
        <f t="shared" si="8"/>
        <v>142.03400000000011</v>
      </c>
      <c r="AB22" s="87" t="e">
        <f>#REF!-I22</f>
        <v>#REF!</v>
      </c>
    </row>
    <row r="23" spans="1:28" s="86" customFormat="1" ht="25.5" x14ac:dyDescent="0.2">
      <c r="A23" s="259">
        <v>7</v>
      </c>
      <c r="B23" s="282" t="s">
        <v>264</v>
      </c>
      <c r="C23" s="160" t="s">
        <v>280</v>
      </c>
      <c r="D23" s="283">
        <v>1786</v>
      </c>
      <c r="E23" s="284">
        <v>1600</v>
      </c>
      <c r="F23" s="284">
        <v>1600</v>
      </c>
      <c r="G23" s="284">
        <v>1600</v>
      </c>
      <c r="H23" s="180">
        <f t="shared" si="12"/>
        <v>168.59399999999999</v>
      </c>
      <c r="I23" s="162">
        <v>168.59399999999999</v>
      </c>
      <c r="J23" s="179">
        <f t="shared" si="9"/>
        <v>10.537125</v>
      </c>
      <c r="K23" s="162">
        <f t="shared" si="10"/>
        <v>1431.4059999999999</v>
      </c>
      <c r="L23" s="246"/>
      <c r="M23" s="178">
        <f t="shared" si="11"/>
        <v>1431.4059999999999</v>
      </c>
      <c r="N23" s="98"/>
      <c r="O23" s="187" t="s">
        <v>124</v>
      </c>
      <c r="P23" s="201" t="s">
        <v>296</v>
      </c>
      <c r="Q23" s="194"/>
      <c r="R23" s="188"/>
      <c r="S23" s="191"/>
      <c r="T23" s="188"/>
      <c r="U23" s="188"/>
      <c r="V23" s="188"/>
      <c r="AA23" s="87">
        <f t="shared" si="8"/>
        <v>1431.4059999999999</v>
      </c>
      <c r="AB23" s="87" t="e">
        <f>#REF!-I23</f>
        <v>#REF!</v>
      </c>
    </row>
    <row r="24" spans="1:28" s="86" customFormat="1" ht="25.5" x14ac:dyDescent="0.2">
      <c r="A24" s="259">
        <v>8</v>
      </c>
      <c r="B24" s="282" t="s">
        <v>265</v>
      </c>
      <c r="C24" s="160" t="s">
        <v>281</v>
      </c>
      <c r="D24" s="283">
        <v>2800</v>
      </c>
      <c r="E24" s="284">
        <v>2100</v>
      </c>
      <c r="F24" s="284">
        <v>2100</v>
      </c>
      <c r="G24" s="284">
        <v>2100</v>
      </c>
      <c r="H24" s="180">
        <v>2100</v>
      </c>
      <c r="I24" s="180">
        <v>2100</v>
      </c>
      <c r="J24" s="179">
        <f t="shared" si="9"/>
        <v>100</v>
      </c>
      <c r="K24" s="162">
        <f t="shared" si="10"/>
        <v>0</v>
      </c>
      <c r="L24" s="85"/>
      <c r="M24" s="178">
        <f t="shared" si="11"/>
        <v>0</v>
      </c>
      <c r="N24" s="98"/>
      <c r="O24" s="187" t="s">
        <v>124</v>
      </c>
      <c r="P24" s="200" t="s">
        <v>297</v>
      </c>
      <c r="Q24" s="194"/>
      <c r="R24" s="188"/>
      <c r="S24" s="191"/>
      <c r="T24" s="188"/>
      <c r="U24" s="188"/>
      <c r="V24" s="188"/>
      <c r="AA24" s="87">
        <f t="shared" si="8"/>
        <v>0</v>
      </c>
      <c r="AB24" s="87" t="e">
        <f>#REF!-I24</f>
        <v>#REF!</v>
      </c>
    </row>
    <row r="25" spans="1:28" s="86" customFormat="1" ht="25.5" x14ac:dyDescent="0.2">
      <c r="A25" s="259">
        <v>9</v>
      </c>
      <c r="B25" s="282" t="s">
        <v>266</v>
      </c>
      <c r="C25" s="160" t="s">
        <v>282</v>
      </c>
      <c r="D25" s="283">
        <v>765.23699999999997</v>
      </c>
      <c r="E25" s="284">
        <v>600</v>
      </c>
      <c r="F25" s="284">
        <v>600</v>
      </c>
      <c r="G25" s="284">
        <v>600</v>
      </c>
      <c r="H25" s="180">
        <f t="shared" si="12"/>
        <v>600</v>
      </c>
      <c r="I25" s="162">
        <v>600</v>
      </c>
      <c r="J25" s="179">
        <f t="shared" si="9"/>
        <v>100</v>
      </c>
      <c r="K25" s="162">
        <f t="shared" si="10"/>
        <v>0</v>
      </c>
      <c r="L25" s="85"/>
      <c r="M25" s="178">
        <f t="shared" si="11"/>
        <v>0</v>
      </c>
      <c r="N25" s="98"/>
      <c r="O25" s="187" t="s">
        <v>124</v>
      </c>
      <c r="P25" s="200" t="s">
        <v>298</v>
      </c>
      <c r="Q25" s="194"/>
      <c r="R25" s="188"/>
      <c r="S25" s="191"/>
      <c r="T25" s="188"/>
      <c r="U25" s="188"/>
      <c r="V25" s="188"/>
      <c r="AA25" s="87">
        <f t="shared" si="8"/>
        <v>0</v>
      </c>
      <c r="AB25" s="87" t="e">
        <f>#REF!-I25</f>
        <v>#REF!</v>
      </c>
    </row>
    <row r="26" spans="1:28" s="86" customFormat="1" ht="45" x14ac:dyDescent="0.2">
      <c r="A26" s="259">
        <v>10</v>
      </c>
      <c r="B26" s="282" t="s">
        <v>267</v>
      </c>
      <c r="C26" s="160" t="s">
        <v>283</v>
      </c>
      <c r="D26" s="283">
        <v>1300</v>
      </c>
      <c r="E26" s="284">
        <v>1150</v>
      </c>
      <c r="F26" s="284">
        <v>1150</v>
      </c>
      <c r="G26" s="284">
        <v>1150</v>
      </c>
      <c r="H26" s="180">
        <f t="shared" si="12"/>
        <v>525.47</v>
      </c>
      <c r="I26" s="162">
        <v>525.47</v>
      </c>
      <c r="J26" s="179">
        <f t="shared" si="9"/>
        <v>45.693043478260869</v>
      </c>
      <c r="K26" s="162">
        <f t="shared" si="10"/>
        <v>624.53</v>
      </c>
      <c r="L26" s="208" t="s">
        <v>459</v>
      </c>
      <c r="M26" s="178">
        <f t="shared" si="11"/>
        <v>624.53</v>
      </c>
      <c r="N26" s="98"/>
      <c r="O26" s="187" t="s">
        <v>124</v>
      </c>
      <c r="P26" s="200" t="s">
        <v>299</v>
      </c>
      <c r="Q26" s="194"/>
      <c r="R26" s="188"/>
      <c r="S26" s="191"/>
      <c r="T26" s="188"/>
      <c r="U26" s="188"/>
      <c r="V26" s="188"/>
      <c r="AA26" s="87">
        <f t="shared" si="8"/>
        <v>624.53</v>
      </c>
      <c r="AB26" s="87" t="e">
        <f>#REF!-I26</f>
        <v>#REF!</v>
      </c>
    </row>
    <row r="27" spans="1:28" s="86" customFormat="1" ht="25.5" x14ac:dyDescent="0.2">
      <c r="A27" s="259">
        <v>11</v>
      </c>
      <c r="B27" s="282" t="s">
        <v>268</v>
      </c>
      <c r="C27" s="160" t="s">
        <v>284</v>
      </c>
      <c r="D27" s="283">
        <v>636.59199999999998</v>
      </c>
      <c r="E27" s="284">
        <v>496</v>
      </c>
      <c r="F27" s="284">
        <v>496</v>
      </c>
      <c r="G27" s="284">
        <v>496</v>
      </c>
      <c r="H27" s="180">
        <f t="shared" si="12"/>
        <v>496</v>
      </c>
      <c r="I27" s="162">
        <v>496</v>
      </c>
      <c r="J27" s="179">
        <f t="shared" si="9"/>
        <v>100</v>
      </c>
      <c r="K27" s="162">
        <f t="shared" si="10"/>
        <v>0</v>
      </c>
      <c r="L27" s="85"/>
      <c r="M27" s="178">
        <f t="shared" si="11"/>
        <v>0</v>
      </c>
      <c r="N27" s="98"/>
      <c r="O27" s="187" t="s">
        <v>124</v>
      </c>
      <c r="P27" s="200" t="s">
        <v>299</v>
      </c>
      <c r="Q27" s="194"/>
      <c r="R27" s="188"/>
      <c r="S27" s="191"/>
      <c r="T27" s="188"/>
      <c r="U27" s="188"/>
      <c r="V27" s="188"/>
      <c r="AA27" s="87">
        <f t="shared" si="8"/>
        <v>0</v>
      </c>
      <c r="AB27" s="87" t="e">
        <f>#REF!-I27</f>
        <v>#REF!</v>
      </c>
    </row>
    <row r="28" spans="1:28" s="86" customFormat="1" ht="30.6" customHeight="1" x14ac:dyDescent="0.2">
      <c r="A28" s="259">
        <v>12</v>
      </c>
      <c r="B28" s="282" t="s">
        <v>269</v>
      </c>
      <c r="C28" s="160" t="s">
        <v>285</v>
      </c>
      <c r="D28" s="283">
        <v>1800</v>
      </c>
      <c r="E28" s="284">
        <v>1650</v>
      </c>
      <c r="F28" s="284">
        <v>1650</v>
      </c>
      <c r="G28" s="284">
        <v>1650</v>
      </c>
      <c r="H28" s="180">
        <f t="shared" si="12"/>
        <v>1352.749</v>
      </c>
      <c r="I28" s="162">
        <v>1352.749</v>
      </c>
      <c r="J28" s="179">
        <f t="shared" si="9"/>
        <v>81.984787878787884</v>
      </c>
      <c r="K28" s="162">
        <f t="shared" si="10"/>
        <v>297.25099999999998</v>
      </c>
      <c r="L28" s="244" t="s">
        <v>459</v>
      </c>
      <c r="M28" s="178">
        <f t="shared" si="11"/>
        <v>297.25099999999998</v>
      </c>
      <c r="N28" s="98"/>
      <c r="O28" s="187" t="s">
        <v>124</v>
      </c>
      <c r="P28" s="200" t="s">
        <v>300</v>
      </c>
      <c r="Q28" s="194"/>
      <c r="R28" s="188"/>
      <c r="S28" s="191"/>
      <c r="T28" s="188"/>
      <c r="U28" s="188"/>
      <c r="V28" s="188"/>
      <c r="AA28" s="87">
        <f t="shared" si="8"/>
        <v>297.25099999999998</v>
      </c>
      <c r="AB28" s="87" t="e">
        <f>#REF!-I28</f>
        <v>#REF!</v>
      </c>
    </row>
    <row r="29" spans="1:28" s="86" customFormat="1" ht="25.5" x14ac:dyDescent="0.2">
      <c r="A29" s="259">
        <v>13</v>
      </c>
      <c r="B29" s="282" t="s">
        <v>270</v>
      </c>
      <c r="C29" s="160" t="s">
        <v>286</v>
      </c>
      <c r="D29" s="283">
        <v>934.18600000000004</v>
      </c>
      <c r="E29" s="284">
        <v>820</v>
      </c>
      <c r="F29" s="284">
        <v>820</v>
      </c>
      <c r="G29" s="284">
        <v>820</v>
      </c>
      <c r="H29" s="180">
        <f t="shared" si="12"/>
        <v>0</v>
      </c>
      <c r="I29" s="162"/>
      <c r="J29" s="179">
        <f t="shared" si="9"/>
        <v>0</v>
      </c>
      <c r="K29" s="162">
        <f t="shared" si="10"/>
        <v>820</v>
      </c>
      <c r="L29" s="245"/>
      <c r="M29" s="178">
        <f>F29</f>
        <v>820</v>
      </c>
      <c r="N29" s="98"/>
      <c r="O29" s="187" t="s">
        <v>124</v>
      </c>
      <c r="P29" s="200" t="s">
        <v>301</v>
      </c>
      <c r="Q29" s="194"/>
      <c r="R29" s="188"/>
      <c r="S29" s="191"/>
      <c r="T29" s="188"/>
      <c r="U29" s="188"/>
      <c r="V29" s="188"/>
      <c r="AA29" s="87">
        <f t="shared" si="8"/>
        <v>820</v>
      </c>
      <c r="AB29" s="87" t="e">
        <f>#REF!-I29</f>
        <v>#REF!</v>
      </c>
    </row>
    <row r="30" spans="1:28" s="86" customFormat="1" ht="25.5" x14ac:dyDescent="0.2">
      <c r="A30" s="259">
        <v>14</v>
      </c>
      <c r="B30" s="282" t="s">
        <v>271</v>
      </c>
      <c r="C30" s="160" t="s">
        <v>287</v>
      </c>
      <c r="D30" s="283">
        <v>981.91300000000001</v>
      </c>
      <c r="E30" s="284">
        <v>820</v>
      </c>
      <c r="F30" s="284">
        <v>820</v>
      </c>
      <c r="G30" s="284">
        <v>820</v>
      </c>
      <c r="H30" s="180">
        <f t="shared" si="12"/>
        <v>649.79899999999998</v>
      </c>
      <c r="I30" s="162">
        <v>649.79899999999998</v>
      </c>
      <c r="J30" s="179">
        <f t="shared" si="9"/>
        <v>79.243780487804869</v>
      </c>
      <c r="K30" s="162">
        <f t="shared" si="10"/>
        <v>170.20100000000002</v>
      </c>
      <c r="L30" s="245"/>
      <c r="M30" s="178">
        <f>F30-I30</f>
        <v>170.20100000000002</v>
      </c>
      <c r="N30" s="98"/>
      <c r="O30" s="187" t="s">
        <v>124</v>
      </c>
      <c r="P30" s="200" t="s">
        <v>301</v>
      </c>
      <c r="Q30" s="194"/>
      <c r="R30" s="188"/>
      <c r="S30" s="191"/>
      <c r="T30" s="188"/>
      <c r="U30" s="188"/>
      <c r="V30" s="188"/>
      <c r="AA30" s="87">
        <f t="shared" si="8"/>
        <v>170.20100000000002</v>
      </c>
      <c r="AB30" s="87" t="e">
        <f>#REF!-I30</f>
        <v>#REF!</v>
      </c>
    </row>
    <row r="31" spans="1:28" s="86" customFormat="1" ht="38.25" x14ac:dyDescent="0.2">
      <c r="A31" s="259">
        <v>15</v>
      </c>
      <c r="B31" s="282" t="s">
        <v>272</v>
      </c>
      <c r="C31" s="160" t="s">
        <v>288</v>
      </c>
      <c r="D31" s="283">
        <v>1650</v>
      </c>
      <c r="E31" s="284">
        <v>1500</v>
      </c>
      <c r="F31" s="284">
        <v>1500</v>
      </c>
      <c r="G31" s="284">
        <v>1500</v>
      </c>
      <c r="H31" s="180">
        <v>1147.569</v>
      </c>
      <c r="I31" s="180">
        <v>1147.569</v>
      </c>
      <c r="J31" s="179">
        <f t="shared" si="9"/>
        <v>76.504599999999996</v>
      </c>
      <c r="K31" s="162">
        <f t="shared" si="10"/>
        <v>352.43100000000004</v>
      </c>
      <c r="L31" s="245"/>
      <c r="M31" s="178">
        <f>F31-I31</f>
        <v>352.43100000000004</v>
      </c>
      <c r="N31" s="98"/>
      <c r="O31" s="187" t="s">
        <v>124</v>
      </c>
      <c r="P31" s="200" t="s">
        <v>302</v>
      </c>
      <c r="Q31" s="194"/>
      <c r="R31" s="188"/>
      <c r="S31" s="191"/>
      <c r="T31" s="188"/>
      <c r="U31" s="188"/>
      <c r="V31" s="188"/>
      <c r="AA31" s="87">
        <f t="shared" si="8"/>
        <v>352.43100000000004</v>
      </c>
      <c r="AB31" s="87" t="e">
        <f>#REF!-I31</f>
        <v>#REF!</v>
      </c>
    </row>
    <row r="32" spans="1:28" s="86" customFormat="1" ht="25.5" x14ac:dyDescent="0.2">
      <c r="A32" s="259">
        <v>16</v>
      </c>
      <c r="B32" s="282" t="s">
        <v>273</v>
      </c>
      <c r="C32" s="160" t="s">
        <v>289</v>
      </c>
      <c r="D32" s="283">
        <v>1843.86</v>
      </c>
      <c r="E32" s="284">
        <v>1600</v>
      </c>
      <c r="F32" s="284">
        <v>1600</v>
      </c>
      <c r="G32" s="284">
        <v>1600</v>
      </c>
      <c r="H32" s="180">
        <f>I32</f>
        <v>0</v>
      </c>
      <c r="I32" s="162"/>
      <c r="J32" s="179">
        <f t="shared" si="9"/>
        <v>0</v>
      </c>
      <c r="K32" s="162">
        <f t="shared" si="10"/>
        <v>1600</v>
      </c>
      <c r="L32" s="245"/>
      <c r="M32" s="178">
        <f>F32-I32</f>
        <v>1600</v>
      </c>
      <c r="N32" s="98"/>
      <c r="O32" s="187" t="s">
        <v>124</v>
      </c>
      <c r="P32" s="200" t="s">
        <v>303</v>
      </c>
      <c r="Q32" s="194"/>
      <c r="R32" s="188"/>
      <c r="S32" s="191"/>
      <c r="T32" s="188"/>
      <c r="U32" s="188"/>
      <c r="V32" s="188"/>
      <c r="AA32" s="87">
        <f t="shared" si="8"/>
        <v>1600</v>
      </c>
      <c r="AB32" s="87" t="e">
        <f>#REF!-I32</f>
        <v>#REF!</v>
      </c>
    </row>
    <row r="33" spans="1:28" s="86" customFormat="1" ht="38.25" x14ac:dyDescent="0.2">
      <c r="A33" s="259">
        <v>17</v>
      </c>
      <c r="B33" s="282" t="s">
        <v>274</v>
      </c>
      <c r="C33" s="160" t="s">
        <v>290</v>
      </c>
      <c r="D33" s="283">
        <v>1900</v>
      </c>
      <c r="E33" s="284">
        <v>1600</v>
      </c>
      <c r="F33" s="284">
        <v>1600</v>
      </c>
      <c r="G33" s="284">
        <v>1600</v>
      </c>
      <c r="H33" s="180">
        <v>563.67899999999997</v>
      </c>
      <c r="I33" s="180">
        <v>563.67899999999997</v>
      </c>
      <c r="J33" s="179">
        <f t="shared" si="9"/>
        <v>35.229937499999998</v>
      </c>
      <c r="K33" s="162">
        <f t="shared" si="10"/>
        <v>1036.3209999999999</v>
      </c>
      <c r="L33" s="246"/>
      <c r="M33" s="178">
        <f>F33-I33</f>
        <v>1036.3209999999999</v>
      </c>
      <c r="N33" s="98"/>
      <c r="O33" s="187" t="s">
        <v>124</v>
      </c>
      <c r="P33" s="200" t="s">
        <v>304</v>
      </c>
      <c r="Q33" s="194"/>
      <c r="R33" s="188"/>
      <c r="S33" s="191"/>
      <c r="T33" s="188"/>
      <c r="U33" s="188"/>
      <c r="V33" s="188"/>
      <c r="AA33" s="87">
        <f t="shared" si="8"/>
        <v>1036.3209999999999</v>
      </c>
      <c r="AB33" s="87" t="e">
        <f>#REF!-I33</f>
        <v>#REF!</v>
      </c>
    </row>
    <row r="34" spans="1:28" s="86" customFormat="1" ht="19.149999999999999" customHeight="1" x14ac:dyDescent="0.2">
      <c r="A34" s="260" t="s">
        <v>25</v>
      </c>
      <c r="B34" s="103" t="s">
        <v>408</v>
      </c>
      <c r="C34" s="114"/>
      <c r="D34" s="104">
        <f>D35</f>
        <v>194447</v>
      </c>
      <c r="E34" s="104">
        <f>E35</f>
        <v>69103</v>
      </c>
      <c r="F34" s="104">
        <f>F35</f>
        <v>69103</v>
      </c>
      <c r="G34" s="104">
        <f t="shared" ref="G34:M34" si="13">G35</f>
        <v>69103</v>
      </c>
      <c r="H34" s="104">
        <f t="shared" si="13"/>
        <v>61464.118999999999</v>
      </c>
      <c r="I34" s="104">
        <f t="shared" si="13"/>
        <v>61464.118999999999</v>
      </c>
      <c r="J34" s="171">
        <f>H34/E34*100</f>
        <v>88.945659378029902</v>
      </c>
      <c r="K34" s="172">
        <f t="shared" si="13"/>
        <v>7638.8810000000012</v>
      </c>
      <c r="L34" s="104">
        <f t="shared" si="13"/>
        <v>0</v>
      </c>
      <c r="M34" s="172">
        <f t="shared" si="13"/>
        <v>7638.8810000000012</v>
      </c>
      <c r="N34" s="261"/>
      <c r="O34" s="187"/>
      <c r="P34" s="188"/>
      <c r="Q34" s="194"/>
      <c r="R34" s="188"/>
      <c r="S34" s="191"/>
      <c r="T34" s="188"/>
      <c r="U34" s="188"/>
      <c r="V34" s="188"/>
      <c r="AA34" s="87"/>
      <c r="AB34" s="87"/>
    </row>
    <row r="35" spans="1:28" s="102" customFormat="1" ht="17.45" hidden="1" customHeight="1" x14ac:dyDescent="0.2">
      <c r="A35" s="262"/>
      <c r="B35" s="118" t="s">
        <v>39</v>
      </c>
      <c r="C35" s="119"/>
      <c r="D35" s="109">
        <f>SUM(D36:D57)</f>
        <v>194447</v>
      </c>
      <c r="E35" s="109">
        <f>SUM(E36:E57)</f>
        <v>69103</v>
      </c>
      <c r="F35" s="109">
        <f>SUM(F36:F57)</f>
        <v>69103</v>
      </c>
      <c r="G35" s="109">
        <f t="shared" ref="G35:M35" si="14">SUM(G36:G57)</f>
        <v>69103</v>
      </c>
      <c r="H35" s="109">
        <f t="shared" si="14"/>
        <v>61464.118999999999</v>
      </c>
      <c r="I35" s="109">
        <f t="shared" si="14"/>
        <v>61464.118999999999</v>
      </c>
      <c r="J35" s="109">
        <f t="shared" si="14"/>
        <v>1828.4756668356895</v>
      </c>
      <c r="K35" s="173">
        <f t="shared" si="14"/>
        <v>7638.8810000000012</v>
      </c>
      <c r="L35" s="109">
        <f t="shared" si="14"/>
        <v>0</v>
      </c>
      <c r="M35" s="173">
        <f t="shared" si="14"/>
        <v>7638.8810000000012</v>
      </c>
      <c r="N35" s="263"/>
      <c r="O35" s="189"/>
      <c r="P35" s="195"/>
      <c r="Q35" s="196"/>
      <c r="R35" s="195"/>
      <c r="S35" s="197"/>
      <c r="T35" s="195"/>
      <c r="U35" s="195"/>
      <c r="V35" s="195"/>
      <c r="AA35" s="87"/>
      <c r="AB35" s="87"/>
    </row>
    <row r="36" spans="1:28" s="86" customFormat="1" ht="45" x14ac:dyDescent="0.2">
      <c r="A36" s="259">
        <v>1</v>
      </c>
      <c r="B36" s="282" t="s">
        <v>166</v>
      </c>
      <c r="C36" s="160" t="s">
        <v>178</v>
      </c>
      <c r="D36" s="283">
        <v>20000</v>
      </c>
      <c r="E36" s="84">
        <v>8000</v>
      </c>
      <c r="F36" s="84">
        <v>8000</v>
      </c>
      <c r="G36" s="84">
        <v>8000</v>
      </c>
      <c r="H36" s="180">
        <v>6605.9120000000003</v>
      </c>
      <c r="I36" s="180">
        <v>6605.9120000000003</v>
      </c>
      <c r="J36" s="179">
        <f t="shared" ref="J36:J57" si="15">H36/E36*100</f>
        <v>82.573899999999995</v>
      </c>
      <c r="K36" s="162">
        <f t="shared" ref="K36:K57" si="16">E36-H36</f>
        <v>1394.0879999999997</v>
      </c>
      <c r="L36" s="208" t="s">
        <v>459</v>
      </c>
      <c r="M36" s="178">
        <f>F36-I36</f>
        <v>1394.0879999999997</v>
      </c>
      <c r="N36" s="98"/>
      <c r="O36" s="187" t="s">
        <v>124</v>
      </c>
      <c r="P36" s="198" t="s">
        <v>292</v>
      </c>
      <c r="Q36" s="194"/>
      <c r="R36" s="188"/>
      <c r="S36" s="191"/>
      <c r="T36" s="188"/>
      <c r="U36" s="188"/>
      <c r="V36" s="188"/>
      <c r="AA36" s="87">
        <f t="shared" ref="AA36:AA57" si="17">E36-H36</f>
        <v>1394.0879999999997</v>
      </c>
      <c r="AB36" s="87" t="e">
        <f>#REF!-I36</f>
        <v>#REF!</v>
      </c>
    </row>
    <row r="37" spans="1:28" s="86" customFormat="1" ht="38.25" x14ac:dyDescent="0.2">
      <c r="A37" s="259">
        <v>2</v>
      </c>
      <c r="B37" s="282" t="s">
        <v>167</v>
      </c>
      <c r="C37" s="160" t="s">
        <v>179</v>
      </c>
      <c r="D37" s="283">
        <v>35000</v>
      </c>
      <c r="E37" s="84">
        <v>9612</v>
      </c>
      <c r="F37" s="84">
        <v>9612</v>
      </c>
      <c r="G37" s="84">
        <v>9612</v>
      </c>
      <c r="H37" s="180">
        <v>9612</v>
      </c>
      <c r="I37" s="180">
        <v>9612</v>
      </c>
      <c r="J37" s="179">
        <f t="shared" si="15"/>
        <v>100</v>
      </c>
      <c r="K37" s="162">
        <f t="shared" si="16"/>
        <v>0</v>
      </c>
      <c r="L37" s="85"/>
      <c r="M37" s="178">
        <f t="shared" ref="M37:M57" si="18">F37-I37</f>
        <v>0</v>
      </c>
      <c r="N37" s="98"/>
      <c r="O37" s="187" t="s">
        <v>124</v>
      </c>
      <c r="P37" s="198" t="s">
        <v>292</v>
      </c>
      <c r="Q37" s="194"/>
      <c r="R37" s="188"/>
      <c r="S37" s="191"/>
      <c r="T37" s="188"/>
      <c r="U37" s="188"/>
      <c r="V37" s="188"/>
      <c r="AA37" s="87">
        <f t="shared" si="17"/>
        <v>0</v>
      </c>
      <c r="AB37" s="87" t="e">
        <f>#REF!-I37</f>
        <v>#REF!</v>
      </c>
    </row>
    <row r="38" spans="1:28" s="86" customFormat="1" ht="38.25" x14ac:dyDescent="0.2">
      <c r="A38" s="259">
        <v>3</v>
      </c>
      <c r="B38" s="282" t="s">
        <v>168</v>
      </c>
      <c r="C38" s="160" t="s">
        <v>180</v>
      </c>
      <c r="D38" s="283">
        <v>35000</v>
      </c>
      <c r="E38" s="84">
        <v>9613</v>
      </c>
      <c r="F38" s="84">
        <v>9613</v>
      </c>
      <c r="G38" s="84">
        <v>9613</v>
      </c>
      <c r="H38" s="180">
        <v>9613</v>
      </c>
      <c r="I38" s="180">
        <v>9613</v>
      </c>
      <c r="J38" s="179">
        <f t="shared" si="15"/>
        <v>100</v>
      </c>
      <c r="K38" s="162">
        <f t="shared" si="16"/>
        <v>0</v>
      </c>
      <c r="L38" s="85"/>
      <c r="M38" s="178">
        <f t="shared" si="18"/>
        <v>0</v>
      </c>
      <c r="N38" s="98"/>
      <c r="O38" s="187" t="s">
        <v>124</v>
      </c>
      <c r="P38" s="198" t="s">
        <v>292</v>
      </c>
      <c r="Q38" s="194"/>
      <c r="R38" s="188"/>
      <c r="S38" s="191"/>
      <c r="T38" s="188"/>
      <c r="U38" s="188"/>
      <c r="V38" s="188"/>
      <c r="AA38" s="87">
        <f t="shared" si="17"/>
        <v>0</v>
      </c>
      <c r="AB38" s="87" t="e">
        <f>#REF!-I38</f>
        <v>#REF!</v>
      </c>
    </row>
    <row r="39" spans="1:28" s="86" customFormat="1" ht="25.5" x14ac:dyDescent="0.2">
      <c r="A39" s="259">
        <v>4</v>
      </c>
      <c r="B39" s="282" t="s">
        <v>169</v>
      </c>
      <c r="C39" s="160" t="s">
        <v>181</v>
      </c>
      <c r="D39" s="283">
        <v>4556</v>
      </c>
      <c r="E39" s="84">
        <v>1823</v>
      </c>
      <c r="F39" s="84">
        <v>1823</v>
      </c>
      <c r="G39" s="84">
        <v>1823</v>
      </c>
      <c r="H39" s="180">
        <v>1823</v>
      </c>
      <c r="I39" s="180">
        <v>1823</v>
      </c>
      <c r="J39" s="179">
        <f t="shared" si="15"/>
        <v>100</v>
      </c>
      <c r="K39" s="162">
        <f t="shared" si="16"/>
        <v>0</v>
      </c>
      <c r="L39" s="85"/>
      <c r="M39" s="178">
        <f t="shared" si="18"/>
        <v>0</v>
      </c>
      <c r="N39" s="98"/>
      <c r="O39" s="187" t="s">
        <v>124</v>
      </c>
      <c r="P39" s="198" t="s">
        <v>292</v>
      </c>
      <c r="Q39" s="194"/>
      <c r="R39" s="188"/>
      <c r="S39" s="191"/>
      <c r="T39" s="188"/>
      <c r="U39" s="188"/>
      <c r="V39" s="188"/>
      <c r="AA39" s="87">
        <f t="shared" si="17"/>
        <v>0</v>
      </c>
      <c r="AB39" s="87" t="e">
        <f>#REF!-I39</f>
        <v>#REF!</v>
      </c>
    </row>
    <row r="40" spans="1:28" s="86" customFormat="1" ht="25.5" x14ac:dyDescent="0.2">
      <c r="A40" s="259">
        <v>5</v>
      </c>
      <c r="B40" s="282" t="s">
        <v>170</v>
      </c>
      <c r="C40" s="160" t="s">
        <v>182</v>
      </c>
      <c r="D40" s="283">
        <v>4000</v>
      </c>
      <c r="E40" s="84">
        <v>1600</v>
      </c>
      <c r="F40" s="84">
        <v>1600</v>
      </c>
      <c r="G40" s="84">
        <v>1600</v>
      </c>
      <c r="H40" s="180">
        <v>1600</v>
      </c>
      <c r="I40" s="180">
        <v>1600</v>
      </c>
      <c r="J40" s="179">
        <f t="shared" si="15"/>
        <v>100</v>
      </c>
      <c r="K40" s="162">
        <f t="shared" si="16"/>
        <v>0</v>
      </c>
      <c r="L40" s="85"/>
      <c r="M40" s="178">
        <f t="shared" si="18"/>
        <v>0</v>
      </c>
      <c r="N40" s="98"/>
      <c r="O40" s="187" t="s">
        <v>124</v>
      </c>
      <c r="P40" s="198" t="s">
        <v>292</v>
      </c>
      <c r="Q40" s="194"/>
      <c r="R40" s="188"/>
      <c r="S40" s="191"/>
      <c r="T40" s="188"/>
      <c r="U40" s="188"/>
      <c r="V40" s="188"/>
      <c r="AA40" s="87">
        <f t="shared" si="17"/>
        <v>0</v>
      </c>
      <c r="AB40" s="87" t="e">
        <f>#REF!-I40</f>
        <v>#REF!</v>
      </c>
    </row>
    <row r="41" spans="1:28" s="86" customFormat="1" ht="25.5" x14ac:dyDescent="0.2">
      <c r="A41" s="259">
        <v>6</v>
      </c>
      <c r="B41" s="282" t="s">
        <v>171</v>
      </c>
      <c r="C41" s="160" t="s">
        <v>183</v>
      </c>
      <c r="D41" s="283">
        <v>5400</v>
      </c>
      <c r="E41" s="84">
        <v>2160</v>
      </c>
      <c r="F41" s="84">
        <v>2160</v>
      </c>
      <c r="G41" s="84">
        <v>2160</v>
      </c>
      <c r="H41" s="180">
        <v>2160</v>
      </c>
      <c r="I41" s="180">
        <v>2160</v>
      </c>
      <c r="J41" s="179">
        <f t="shared" si="15"/>
        <v>100</v>
      </c>
      <c r="K41" s="162">
        <f t="shared" si="16"/>
        <v>0</v>
      </c>
      <c r="L41" s="85"/>
      <c r="M41" s="178">
        <f t="shared" si="18"/>
        <v>0</v>
      </c>
      <c r="N41" s="98"/>
      <c r="O41" s="187" t="s">
        <v>124</v>
      </c>
      <c r="P41" s="198" t="s">
        <v>292</v>
      </c>
      <c r="Q41" s="194"/>
      <c r="R41" s="188"/>
      <c r="S41" s="191"/>
      <c r="T41" s="188"/>
      <c r="U41" s="188"/>
      <c r="V41" s="188"/>
      <c r="AA41" s="87">
        <f t="shared" si="17"/>
        <v>0</v>
      </c>
      <c r="AB41" s="87" t="e">
        <f>#REF!-I41</f>
        <v>#REF!</v>
      </c>
    </row>
    <row r="42" spans="1:28" s="86" customFormat="1" ht="24" x14ac:dyDescent="0.2">
      <c r="A42" s="259">
        <v>7</v>
      </c>
      <c r="B42" s="282" t="s">
        <v>172</v>
      </c>
      <c r="C42" s="160" t="s">
        <v>184</v>
      </c>
      <c r="D42" s="283">
        <v>5000</v>
      </c>
      <c r="E42" s="84">
        <v>2000</v>
      </c>
      <c r="F42" s="84">
        <v>2000</v>
      </c>
      <c r="G42" s="84">
        <v>2000</v>
      </c>
      <c r="H42" s="180">
        <v>2000</v>
      </c>
      <c r="I42" s="180">
        <v>2000</v>
      </c>
      <c r="J42" s="179">
        <f t="shared" si="15"/>
        <v>100</v>
      </c>
      <c r="K42" s="162">
        <f t="shared" si="16"/>
        <v>0</v>
      </c>
      <c r="L42" s="85"/>
      <c r="M42" s="178">
        <f t="shared" si="18"/>
        <v>0</v>
      </c>
      <c r="N42" s="98"/>
      <c r="O42" s="187" t="s">
        <v>124</v>
      </c>
      <c r="P42" s="198" t="s">
        <v>292</v>
      </c>
      <c r="Q42" s="194"/>
      <c r="R42" s="188"/>
      <c r="S42" s="191"/>
      <c r="T42" s="188"/>
      <c r="U42" s="188"/>
      <c r="V42" s="188"/>
      <c r="AA42" s="87">
        <f t="shared" si="17"/>
        <v>0</v>
      </c>
      <c r="AB42" s="87" t="e">
        <f>#REF!-I42</f>
        <v>#REF!</v>
      </c>
    </row>
    <row r="43" spans="1:28" s="86" customFormat="1" ht="25.5" x14ac:dyDescent="0.2">
      <c r="A43" s="259">
        <v>8</v>
      </c>
      <c r="B43" s="282" t="s">
        <v>173</v>
      </c>
      <c r="C43" s="160" t="s">
        <v>185</v>
      </c>
      <c r="D43" s="283">
        <v>4500</v>
      </c>
      <c r="E43" s="84">
        <v>1800</v>
      </c>
      <c r="F43" s="84">
        <v>1800</v>
      </c>
      <c r="G43" s="84">
        <v>1800</v>
      </c>
      <c r="H43" s="180">
        <v>1800</v>
      </c>
      <c r="I43" s="180">
        <v>1800</v>
      </c>
      <c r="J43" s="179">
        <f t="shared" si="15"/>
        <v>100</v>
      </c>
      <c r="K43" s="162">
        <f t="shared" si="16"/>
        <v>0</v>
      </c>
      <c r="L43" s="85"/>
      <c r="M43" s="178">
        <f t="shared" si="18"/>
        <v>0</v>
      </c>
      <c r="N43" s="98"/>
      <c r="O43" s="187" t="s">
        <v>124</v>
      </c>
      <c r="P43" s="198" t="s">
        <v>292</v>
      </c>
      <c r="Q43" s="194"/>
      <c r="R43" s="188"/>
      <c r="S43" s="191"/>
      <c r="T43" s="188"/>
      <c r="U43" s="188"/>
      <c r="V43" s="188"/>
      <c r="AA43" s="87">
        <f t="shared" si="17"/>
        <v>0</v>
      </c>
      <c r="AB43" s="87" t="e">
        <f>#REF!-I43</f>
        <v>#REF!</v>
      </c>
    </row>
    <row r="44" spans="1:28" s="86" customFormat="1" ht="38.25" x14ac:dyDescent="0.2">
      <c r="A44" s="259">
        <v>9</v>
      </c>
      <c r="B44" s="282" t="s">
        <v>174</v>
      </c>
      <c r="C44" s="160" t="s">
        <v>186</v>
      </c>
      <c r="D44" s="283">
        <v>24841</v>
      </c>
      <c r="E44" s="84">
        <v>7000</v>
      </c>
      <c r="F44" s="84">
        <v>7000</v>
      </c>
      <c r="G44" s="84">
        <v>7000</v>
      </c>
      <c r="H44" s="180">
        <v>7000</v>
      </c>
      <c r="I44" s="180">
        <v>7000</v>
      </c>
      <c r="J44" s="179">
        <f t="shared" si="15"/>
        <v>100</v>
      </c>
      <c r="K44" s="162">
        <f t="shared" si="16"/>
        <v>0</v>
      </c>
      <c r="L44" s="85"/>
      <c r="M44" s="178">
        <f t="shared" si="18"/>
        <v>0</v>
      </c>
      <c r="N44" s="98"/>
      <c r="O44" s="187" t="s">
        <v>124</v>
      </c>
      <c r="P44" s="198" t="s">
        <v>292</v>
      </c>
      <c r="Q44" s="194"/>
      <c r="R44" s="188"/>
      <c r="S44" s="191"/>
      <c r="T44" s="188"/>
      <c r="U44" s="188"/>
      <c r="V44" s="188"/>
      <c r="AA44" s="87">
        <f t="shared" si="17"/>
        <v>0</v>
      </c>
      <c r="AB44" s="87" t="e">
        <f>#REF!-I44</f>
        <v>#REF!</v>
      </c>
    </row>
    <row r="45" spans="1:28" s="86" customFormat="1" ht="23.25" customHeight="1" x14ac:dyDescent="0.2">
      <c r="A45" s="259">
        <v>10</v>
      </c>
      <c r="B45" s="282" t="s">
        <v>175</v>
      </c>
      <c r="C45" s="160" t="s">
        <v>187</v>
      </c>
      <c r="D45" s="283">
        <v>4000</v>
      </c>
      <c r="E45" s="84">
        <v>1600</v>
      </c>
      <c r="F45" s="84">
        <v>1600</v>
      </c>
      <c r="G45" s="84">
        <v>1600</v>
      </c>
      <c r="H45" s="180">
        <v>1600</v>
      </c>
      <c r="I45" s="180">
        <v>1600</v>
      </c>
      <c r="J45" s="179">
        <f t="shared" si="15"/>
        <v>100</v>
      </c>
      <c r="K45" s="162">
        <f t="shared" si="16"/>
        <v>0</v>
      </c>
      <c r="L45" s="85"/>
      <c r="M45" s="178">
        <f t="shared" si="18"/>
        <v>0</v>
      </c>
      <c r="N45" s="98"/>
      <c r="O45" s="187" t="s">
        <v>124</v>
      </c>
      <c r="P45" s="198" t="s">
        <v>292</v>
      </c>
      <c r="Q45" s="194"/>
      <c r="R45" s="188"/>
      <c r="S45" s="191"/>
      <c r="T45" s="188"/>
      <c r="U45" s="188"/>
      <c r="V45" s="188"/>
      <c r="AA45" s="87">
        <f t="shared" si="17"/>
        <v>0</v>
      </c>
      <c r="AB45" s="87" t="e">
        <f>#REF!-I45</f>
        <v>#REF!</v>
      </c>
    </row>
    <row r="46" spans="1:28" s="86" customFormat="1" ht="30.6" customHeight="1" x14ac:dyDescent="0.2">
      <c r="A46" s="259">
        <v>11</v>
      </c>
      <c r="B46" s="282" t="s">
        <v>176</v>
      </c>
      <c r="C46" s="160" t="s">
        <v>188</v>
      </c>
      <c r="D46" s="283">
        <v>1500</v>
      </c>
      <c r="E46" s="84">
        <v>600</v>
      </c>
      <c r="F46" s="84">
        <v>600</v>
      </c>
      <c r="G46" s="84">
        <v>600</v>
      </c>
      <c r="H46" s="180">
        <v>536.03300000000002</v>
      </c>
      <c r="I46" s="180">
        <v>536.03300000000002</v>
      </c>
      <c r="J46" s="179">
        <f t="shared" si="15"/>
        <v>89.338833333333341</v>
      </c>
      <c r="K46" s="162">
        <f t="shared" si="16"/>
        <v>63.966999999999985</v>
      </c>
      <c r="L46" s="244" t="s">
        <v>459</v>
      </c>
      <c r="M46" s="178">
        <f t="shared" si="18"/>
        <v>63.966999999999985</v>
      </c>
      <c r="N46" s="98"/>
      <c r="O46" s="187" t="s">
        <v>124</v>
      </c>
      <c r="P46" s="198" t="s">
        <v>292</v>
      </c>
      <c r="Q46" s="194"/>
      <c r="R46" s="188"/>
      <c r="S46" s="191"/>
      <c r="T46" s="188"/>
      <c r="U46" s="188"/>
      <c r="V46" s="188"/>
      <c r="AA46" s="87">
        <f t="shared" si="17"/>
        <v>63.966999999999985</v>
      </c>
      <c r="AB46" s="87" t="e">
        <f>#REF!-I46</f>
        <v>#REF!</v>
      </c>
    </row>
    <row r="47" spans="1:28" s="86" customFormat="1" ht="24" x14ac:dyDescent="0.2">
      <c r="A47" s="259">
        <v>12</v>
      </c>
      <c r="B47" s="285" t="s">
        <v>305</v>
      </c>
      <c r="C47" s="160" t="s">
        <v>316</v>
      </c>
      <c r="D47" s="283">
        <v>6000</v>
      </c>
      <c r="E47" s="84">
        <v>2400</v>
      </c>
      <c r="F47" s="84">
        <v>2400</v>
      </c>
      <c r="G47" s="84">
        <v>2400</v>
      </c>
      <c r="H47" s="180">
        <v>1881.7080000000001</v>
      </c>
      <c r="I47" s="180">
        <v>1881.7080000000001</v>
      </c>
      <c r="J47" s="179">
        <f t="shared" si="15"/>
        <v>78.404499999999999</v>
      </c>
      <c r="K47" s="162">
        <f t="shared" si="16"/>
        <v>518.29199999999992</v>
      </c>
      <c r="L47" s="245"/>
      <c r="M47" s="178">
        <f t="shared" si="18"/>
        <v>518.29199999999992</v>
      </c>
      <c r="N47" s="98"/>
      <c r="O47" s="187" t="s">
        <v>124</v>
      </c>
      <c r="P47" s="198" t="s">
        <v>292</v>
      </c>
      <c r="Q47" s="202" t="s">
        <v>327</v>
      </c>
      <c r="R47" s="188"/>
      <c r="S47" s="191"/>
      <c r="T47" s="188"/>
      <c r="U47" s="188"/>
      <c r="V47" s="188"/>
      <c r="AA47" s="87">
        <f t="shared" si="17"/>
        <v>518.29199999999992</v>
      </c>
      <c r="AB47" s="87" t="e">
        <f>#REF!-I47</f>
        <v>#REF!</v>
      </c>
    </row>
    <row r="48" spans="1:28" s="86" customFormat="1" ht="24" x14ac:dyDescent="0.2">
      <c r="A48" s="259">
        <v>13</v>
      </c>
      <c r="B48" s="285" t="s">
        <v>306</v>
      </c>
      <c r="C48" s="160" t="s">
        <v>317</v>
      </c>
      <c r="D48" s="283">
        <v>4000</v>
      </c>
      <c r="E48" s="84">
        <v>1600</v>
      </c>
      <c r="F48" s="84">
        <v>1600</v>
      </c>
      <c r="G48" s="84">
        <v>1600</v>
      </c>
      <c r="H48" s="180">
        <v>1186.596</v>
      </c>
      <c r="I48" s="180">
        <v>1186.596</v>
      </c>
      <c r="J48" s="179">
        <f t="shared" si="15"/>
        <v>74.16225</v>
      </c>
      <c r="K48" s="162">
        <f t="shared" si="16"/>
        <v>413.404</v>
      </c>
      <c r="L48" s="246"/>
      <c r="M48" s="178">
        <f t="shared" si="18"/>
        <v>413.404</v>
      </c>
      <c r="N48" s="98"/>
      <c r="O48" s="187" t="s">
        <v>124</v>
      </c>
      <c r="P48" s="198" t="s">
        <v>292</v>
      </c>
      <c r="Q48" s="202" t="s">
        <v>327</v>
      </c>
      <c r="R48" s="188"/>
      <c r="S48" s="191"/>
      <c r="T48" s="188"/>
      <c r="U48" s="188"/>
      <c r="V48" s="188"/>
      <c r="AA48" s="87">
        <f t="shared" si="17"/>
        <v>413.404</v>
      </c>
      <c r="AB48" s="87" t="e">
        <f>#REF!-I48</f>
        <v>#REF!</v>
      </c>
    </row>
    <row r="49" spans="1:28" s="86" customFormat="1" ht="38.25" x14ac:dyDescent="0.2">
      <c r="A49" s="259">
        <v>14</v>
      </c>
      <c r="B49" s="285" t="s">
        <v>307</v>
      </c>
      <c r="C49" s="160" t="s">
        <v>318</v>
      </c>
      <c r="D49" s="283">
        <v>7000</v>
      </c>
      <c r="E49" s="84">
        <v>2800</v>
      </c>
      <c r="F49" s="84">
        <v>2800</v>
      </c>
      <c r="G49" s="84">
        <v>2800</v>
      </c>
      <c r="H49" s="180">
        <v>2800</v>
      </c>
      <c r="I49" s="180">
        <v>2800</v>
      </c>
      <c r="J49" s="179">
        <f t="shared" si="15"/>
        <v>100</v>
      </c>
      <c r="K49" s="162">
        <f t="shared" si="16"/>
        <v>0</v>
      </c>
      <c r="L49" s="85"/>
      <c r="M49" s="178">
        <f t="shared" si="18"/>
        <v>0</v>
      </c>
      <c r="N49" s="98"/>
      <c r="O49" s="187" t="s">
        <v>124</v>
      </c>
      <c r="P49" s="198" t="s">
        <v>292</v>
      </c>
      <c r="Q49" s="202" t="s">
        <v>327</v>
      </c>
      <c r="R49" s="188"/>
      <c r="S49" s="191"/>
      <c r="T49" s="188"/>
      <c r="U49" s="188"/>
      <c r="V49" s="188"/>
      <c r="AA49" s="87">
        <f t="shared" si="17"/>
        <v>0</v>
      </c>
      <c r="AB49" s="87" t="e">
        <f>#REF!-I49</f>
        <v>#REF!</v>
      </c>
    </row>
    <row r="50" spans="1:28" s="86" customFormat="1" ht="25.5" x14ac:dyDescent="0.2">
      <c r="A50" s="259">
        <v>15</v>
      </c>
      <c r="B50" s="285" t="s">
        <v>308</v>
      </c>
      <c r="C50" s="160" t="s">
        <v>319</v>
      </c>
      <c r="D50" s="283">
        <v>6000</v>
      </c>
      <c r="E50" s="84">
        <v>2400</v>
      </c>
      <c r="F50" s="84">
        <v>2400</v>
      </c>
      <c r="G50" s="84">
        <v>2400</v>
      </c>
      <c r="H50" s="180">
        <v>2400</v>
      </c>
      <c r="I50" s="162">
        <v>2400</v>
      </c>
      <c r="J50" s="179">
        <f t="shared" si="15"/>
        <v>100</v>
      </c>
      <c r="K50" s="162">
        <f t="shared" si="16"/>
        <v>0</v>
      </c>
      <c r="L50" s="85"/>
      <c r="M50" s="178">
        <f t="shared" si="18"/>
        <v>0</v>
      </c>
      <c r="N50" s="98"/>
      <c r="O50" s="187" t="s">
        <v>124</v>
      </c>
      <c r="P50" s="198" t="s">
        <v>292</v>
      </c>
      <c r="Q50" s="202" t="s">
        <v>327</v>
      </c>
      <c r="R50" s="188"/>
      <c r="S50" s="191"/>
      <c r="T50" s="188"/>
      <c r="U50" s="188"/>
      <c r="V50" s="188"/>
      <c r="AA50" s="87">
        <f t="shared" si="17"/>
        <v>0</v>
      </c>
      <c r="AB50" s="87" t="e">
        <f>#REF!-I50</f>
        <v>#REF!</v>
      </c>
    </row>
    <row r="51" spans="1:28" s="86" customFormat="1" ht="38.25" x14ac:dyDescent="0.2">
      <c r="A51" s="259">
        <v>16</v>
      </c>
      <c r="B51" s="96" t="s">
        <v>309</v>
      </c>
      <c r="C51" s="160" t="s">
        <v>320</v>
      </c>
      <c r="D51" s="283">
        <v>7000</v>
      </c>
      <c r="E51" s="84">
        <v>2800</v>
      </c>
      <c r="F51" s="84">
        <v>2800</v>
      </c>
      <c r="G51" s="84">
        <v>2800</v>
      </c>
      <c r="H51" s="180">
        <v>2800</v>
      </c>
      <c r="I51" s="180">
        <v>2800</v>
      </c>
      <c r="J51" s="179">
        <f t="shared" si="15"/>
        <v>100</v>
      </c>
      <c r="K51" s="162">
        <f t="shared" si="16"/>
        <v>0</v>
      </c>
      <c r="L51" s="85"/>
      <c r="M51" s="178">
        <f t="shared" si="18"/>
        <v>0</v>
      </c>
      <c r="N51" s="98"/>
      <c r="O51" s="187" t="s">
        <v>124</v>
      </c>
      <c r="P51" s="198" t="s">
        <v>292</v>
      </c>
      <c r="Q51" s="202" t="s">
        <v>327</v>
      </c>
      <c r="R51" s="188"/>
      <c r="S51" s="191"/>
      <c r="T51" s="188"/>
      <c r="U51" s="188"/>
      <c r="V51" s="188"/>
      <c r="AA51" s="87">
        <f t="shared" si="17"/>
        <v>0</v>
      </c>
      <c r="AB51" s="87" t="e">
        <f>#REF!-I51</f>
        <v>#REF!</v>
      </c>
    </row>
    <row r="52" spans="1:28" s="86" customFormat="1" ht="45" x14ac:dyDescent="0.2">
      <c r="A52" s="259">
        <v>17</v>
      </c>
      <c r="B52" s="96" t="s">
        <v>310</v>
      </c>
      <c r="C52" s="160" t="s">
        <v>321</v>
      </c>
      <c r="D52" s="283">
        <v>3150</v>
      </c>
      <c r="E52" s="84">
        <v>1800</v>
      </c>
      <c r="F52" s="84">
        <v>1800</v>
      </c>
      <c r="G52" s="84">
        <v>1800</v>
      </c>
      <c r="H52" s="180">
        <v>0</v>
      </c>
      <c r="I52" s="162"/>
      <c r="J52" s="179">
        <f t="shared" si="15"/>
        <v>0</v>
      </c>
      <c r="K52" s="162">
        <f t="shared" si="16"/>
        <v>1800</v>
      </c>
      <c r="L52" s="208" t="s">
        <v>459</v>
      </c>
      <c r="M52" s="178">
        <f t="shared" si="18"/>
        <v>1800</v>
      </c>
      <c r="N52" s="98"/>
      <c r="O52" s="187" t="s">
        <v>124</v>
      </c>
      <c r="P52" s="203" t="s">
        <v>298</v>
      </c>
      <c r="Q52" s="194"/>
      <c r="R52" s="188"/>
      <c r="S52" s="191"/>
      <c r="T52" s="188"/>
      <c r="U52" s="188"/>
      <c r="V52" s="188"/>
      <c r="AA52" s="87">
        <f t="shared" si="17"/>
        <v>1800</v>
      </c>
      <c r="AB52" s="87" t="e">
        <f>#REF!-I52</f>
        <v>#REF!</v>
      </c>
    </row>
    <row r="53" spans="1:28" s="86" customFormat="1" ht="22.5" x14ac:dyDescent="0.2">
      <c r="A53" s="259">
        <v>18</v>
      </c>
      <c r="B53" s="96" t="s">
        <v>311</v>
      </c>
      <c r="C53" s="160" t="s">
        <v>322</v>
      </c>
      <c r="D53" s="283">
        <v>2000</v>
      </c>
      <c r="E53" s="84">
        <v>1000</v>
      </c>
      <c r="F53" s="84">
        <v>1000</v>
      </c>
      <c r="G53" s="84">
        <v>1000</v>
      </c>
      <c r="H53" s="180">
        <v>1000</v>
      </c>
      <c r="I53" s="162">
        <v>1000</v>
      </c>
      <c r="J53" s="179">
        <f t="shared" si="15"/>
        <v>100</v>
      </c>
      <c r="K53" s="162">
        <f t="shared" si="16"/>
        <v>0</v>
      </c>
      <c r="L53" s="85"/>
      <c r="M53" s="178">
        <f t="shared" si="18"/>
        <v>0</v>
      </c>
      <c r="N53" s="98"/>
      <c r="O53" s="187" t="s">
        <v>124</v>
      </c>
      <c r="P53" s="203" t="s">
        <v>298</v>
      </c>
      <c r="Q53" s="194"/>
      <c r="R53" s="188"/>
      <c r="S53" s="191"/>
      <c r="T53" s="188"/>
      <c r="U53" s="188"/>
      <c r="V53" s="188"/>
      <c r="AA53" s="87">
        <f t="shared" si="17"/>
        <v>0</v>
      </c>
      <c r="AB53" s="87" t="e">
        <f>#REF!-I53</f>
        <v>#REF!</v>
      </c>
    </row>
    <row r="54" spans="1:28" s="86" customFormat="1" ht="30.6" customHeight="1" x14ac:dyDescent="0.2">
      <c r="A54" s="259">
        <v>19</v>
      </c>
      <c r="B54" s="285" t="s">
        <v>312</v>
      </c>
      <c r="C54" s="160" t="s">
        <v>323</v>
      </c>
      <c r="D54" s="283">
        <v>4000</v>
      </c>
      <c r="E54" s="84">
        <v>2215</v>
      </c>
      <c r="F54" s="84">
        <v>2215</v>
      </c>
      <c r="G54" s="84">
        <v>2215</v>
      </c>
      <c r="H54" s="180">
        <f>I54</f>
        <v>2209.489</v>
      </c>
      <c r="I54" s="162">
        <v>2209.489</v>
      </c>
      <c r="J54" s="179">
        <f t="shared" si="15"/>
        <v>99.75119638826186</v>
      </c>
      <c r="K54" s="162">
        <f t="shared" si="16"/>
        <v>5.5109999999999673</v>
      </c>
      <c r="L54" s="244" t="s">
        <v>459</v>
      </c>
      <c r="M54" s="178">
        <f t="shared" si="18"/>
        <v>5.5109999999999673</v>
      </c>
      <c r="N54" s="98"/>
      <c r="O54" s="187" t="s">
        <v>124</v>
      </c>
      <c r="P54" s="203" t="s">
        <v>302</v>
      </c>
      <c r="Q54" s="194"/>
      <c r="R54" s="188"/>
      <c r="S54" s="191"/>
      <c r="T54" s="188"/>
      <c r="U54" s="188"/>
      <c r="V54" s="188"/>
      <c r="AA54" s="87">
        <f t="shared" si="17"/>
        <v>5.5109999999999673</v>
      </c>
      <c r="AB54" s="87" t="e">
        <f>#REF!-I54</f>
        <v>#REF!</v>
      </c>
    </row>
    <row r="55" spans="1:28" s="86" customFormat="1" ht="25.5" x14ac:dyDescent="0.2">
      <c r="A55" s="259">
        <v>20</v>
      </c>
      <c r="B55" s="285" t="s">
        <v>313</v>
      </c>
      <c r="C55" s="160" t="s">
        <v>324</v>
      </c>
      <c r="D55" s="283">
        <v>5000</v>
      </c>
      <c r="E55" s="84">
        <v>2980</v>
      </c>
      <c r="F55" s="84">
        <v>2980</v>
      </c>
      <c r="G55" s="84">
        <v>2980</v>
      </c>
      <c r="H55" s="180">
        <f>I55</f>
        <v>1429.508</v>
      </c>
      <c r="I55" s="162">
        <v>1429.508</v>
      </c>
      <c r="J55" s="179">
        <f t="shared" si="15"/>
        <v>47.970067114093965</v>
      </c>
      <c r="K55" s="162">
        <f t="shared" si="16"/>
        <v>1550.492</v>
      </c>
      <c r="L55" s="245"/>
      <c r="M55" s="178">
        <f t="shared" si="18"/>
        <v>1550.492</v>
      </c>
      <c r="N55" s="98"/>
      <c r="O55" s="187" t="s">
        <v>124</v>
      </c>
      <c r="P55" s="203" t="s">
        <v>302</v>
      </c>
      <c r="Q55" s="194"/>
      <c r="R55" s="188"/>
      <c r="S55" s="191"/>
      <c r="T55" s="188"/>
      <c r="U55" s="188"/>
      <c r="V55" s="188"/>
      <c r="AA55" s="87">
        <f t="shared" si="17"/>
        <v>1550.492</v>
      </c>
      <c r="AB55" s="87" t="e">
        <f>#REF!-I55</f>
        <v>#REF!</v>
      </c>
    </row>
    <row r="56" spans="1:28" s="86" customFormat="1" ht="25.5" x14ac:dyDescent="0.2">
      <c r="A56" s="259">
        <v>21</v>
      </c>
      <c r="B56" s="285" t="s">
        <v>314</v>
      </c>
      <c r="C56" s="160" t="s">
        <v>325</v>
      </c>
      <c r="D56" s="283">
        <v>4500</v>
      </c>
      <c r="E56" s="84">
        <v>2500</v>
      </c>
      <c r="F56" s="84">
        <v>2500</v>
      </c>
      <c r="G56" s="84">
        <v>2500</v>
      </c>
      <c r="H56" s="162">
        <v>1406.873</v>
      </c>
      <c r="I56" s="162">
        <v>1406.873</v>
      </c>
      <c r="J56" s="179">
        <f t="shared" si="15"/>
        <v>56.274920000000009</v>
      </c>
      <c r="K56" s="162">
        <f t="shared" si="16"/>
        <v>1093.127</v>
      </c>
      <c r="L56" s="245"/>
      <c r="M56" s="178">
        <f t="shared" si="18"/>
        <v>1093.127</v>
      </c>
      <c r="N56" s="98"/>
      <c r="O56" s="187" t="s">
        <v>124</v>
      </c>
      <c r="P56" s="203" t="s">
        <v>297</v>
      </c>
      <c r="Q56" s="194"/>
      <c r="R56" s="188"/>
      <c r="S56" s="191"/>
      <c r="T56" s="188"/>
      <c r="U56" s="188"/>
      <c r="V56" s="188"/>
      <c r="AA56" s="87">
        <f t="shared" si="17"/>
        <v>1093.127</v>
      </c>
      <c r="AB56" s="87" t="e">
        <f>#REF!-I56</f>
        <v>#REF!</v>
      </c>
    </row>
    <row r="57" spans="1:28" s="86" customFormat="1" ht="22.5" x14ac:dyDescent="0.2">
      <c r="A57" s="259">
        <v>22</v>
      </c>
      <c r="B57" s="285" t="s">
        <v>315</v>
      </c>
      <c r="C57" s="160" t="s">
        <v>326</v>
      </c>
      <c r="D57" s="283">
        <v>2000</v>
      </c>
      <c r="E57" s="84">
        <v>800</v>
      </c>
      <c r="F57" s="84">
        <v>800</v>
      </c>
      <c r="G57" s="84">
        <v>800</v>
      </c>
      <c r="H57" s="180">
        <v>0</v>
      </c>
      <c r="I57" s="162"/>
      <c r="J57" s="179">
        <f t="shared" si="15"/>
        <v>0</v>
      </c>
      <c r="K57" s="162">
        <f t="shared" si="16"/>
        <v>800</v>
      </c>
      <c r="L57" s="246"/>
      <c r="M57" s="178">
        <f t="shared" si="18"/>
        <v>800</v>
      </c>
      <c r="N57" s="98"/>
      <c r="O57" s="187" t="s">
        <v>124</v>
      </c>
      <c r="P57" s="203" t="s">
        <v>297</v>
      </c>
      <c r="Q57" s="194"/>
      <c r="R57" s="188"/>
      <c r="S57" s="191"/>
      <c r="T57" s="188"/>
      <c r="U57" s="188"/>
      <c r="V57" s="188"/>
      <c r="AA57" s="87">
        <f t="shared" si="17"/>
        <v>800</v>
      </c>
      <c r="AB57" s="87" t="e">
        <f>#REF!-I57</f>
        <v>#REF!</v>
      </c>
    </row>
    <row r="58" spans="1:28" s="86" customFormat="1" ht="25.5" x14ac:dyDescent="0.2">
      <c r="A58" s="260" t="s">
        <v>237</v>
      </c>
      <c r="B58" s="103" t="s">
        <v>189</v>
      </c>
      <c r="C58" s="114"/>
      <c r="D58" s="104">
        <f>D59</f>
        <v>158858</v>
      </c>
      <c r="E58" s="104">
        <f>E59</f>
        <v>68178</v>
      </c>
      <c r="F58" s="104">
        <f>F59</f>
        <v>68178</v>
      </c>
      <c r="G58" s="104">
        <f t="shared" ref="G58:M58" si="19">G59</f>
        <v>66365</v>
      </c>
      <c r="H58" s="172">
        <f t="shared" si="19"/>
        <v>59341.774000000005</v>
      </c>
      <c r="I58" s="172">
        <f t="shared" si="19"/>
        <v>59341.774000000005</v>
      </c>
      <c r="J58" s="171">
        <f>H58/E58*100</f>
        <v>87.039476077327009</v>
      </c>
      <c r="K58" s="172">
        <f t="shared" si="19"/>
        <v>7023.2259999999997</v>
      </c>
      <c r="L58" s="104">
        <f t="shared" si="19"/>
        <v>0</v>
      </c>
      <c r="M58" s="172">
        <f t="shared" si="19"/>
        <v>8836.2260000000006</v>
      </c>
      <c r="N58" s="261"/>
      <c r="O58" s="187"/>
      <c r="P58" s="188"/>
      <c r="Q58" s="194"/>
      <c r="R58" s="188"/>
      <c r="S58" s="191"/>
      <c r="T58" s="188"/>
      <c r="U58" s="188"/>
      <c r="V58" s="188"/>
      <c r="AA58" s="87"/>
      <c r="AB58" s="87"/>
    </row>
    <row r="59" spans="1:28" s="102" customFormat="1" ht="13.5" x14ac:dyDescent="0.2">
      <c r="A59" s="264"/>
      <c r="B59" s="118" t="s">
        <v>39</v>
      </c>
      <c r="C59" s="139"/>
      <c r="D59" s="109">
        <f t="shared" ref="D59:M59" si="20">D60+D63+D66++D68+D87+D90+D105</f>
        <v>158858</v>
      </c>
      <c r="E59" s="109">
        <f t="shared" si="20"/>
        <v>68178</v>
      </c>
      <c r="F59" s="109">
        <f t="shared" si="20"/>
        <v>68178</v>
      </c>
      <c r="G59" s="109">
        <f t="shared" si="20"/>
        <v>66365</v>
      </c>
      <c r="H59" s="173">
        <f t="shared" si="20"/>
        <v>59341.774000000005</v>
      </c>
      <c r="I59" s="173">
        <f t="shared" si="20"/>
        <v>59341.774000000005</v>
      </c>
      <c r="J59" s="109">
        <f t="shared" si="20"/>
        <v>3512.3361424320879</v>
      </c>
      <c r="K59" s="173">
        <f t="shared" si="20"/>
        <v>7023.2259999999997</v>
      </c>
      <c r="L59" s="109">
        <f t="shared" si="20"/>
        <v>0</v>
      </c>
      <c r="M59" s="173">
        <f t="shared" si="20"/>
        <v>8836.2260000000006</v>
      </c>
      <c r="N59" s="265"/>
      <c r="O59" s="189"/>
      <c r="P59" s="195"/>
      <c r="Q59" s="196"/>
      <c r="R59" s="195"/>
      <c r="S59" s="197"/>
      <c r="T59" s="195"/>
      <c r="U59" s="195"/>
      <c r="V59" s="195"/>
      <c r="AA59" s="87"/>
      <c r="AB59" s="87"/>
    </row>
    <row r="60" spans="1:28" s="102" customFormat="1" ht="38.25" x14ac:dyDescent="0.2">
      <c r="A60" s="264"/>
      <c r="B60" s="286" t="s">
        <v>190</v>
      </c>
      <c r="C60" s="139"/>
      <c r="D60" s="140">
        <f>SUM(D61:D62)</f>
        <v>5811</v>
      </c>
      <c r="E60" s="140">
        <f>SUM(E61:E62)</f>
        <v>4433</v>
      </c>
      <c r="F60" s="140">
        <f>SUM(F61:F62)</f>
        <v>4433</v>
      </c>
      <c r="G60" s="140">
        <f t="shared" ref="G60:M60" si="21">SUM(G61:G62)</f>
        <v>4433</v>
      </c>
      <c r="H60" s="174">
        <f t="shared" si="21"/>
        <v>4433</v>
      </c>
      <c r="I60" s="174">
        <f t="shared" si="21"/>
        <v>4433</v>
      </c>
      <c r="J60" s="140">
        <f t="shared" si="21"/>
        <v>200</v>
      </c>
      <c r="K60" s="174">
        <f t="shared" si="21"/>
        <v>0</v>
      </c>
      <c r="L60" s="140">
        <f t="shared" si="21"/>
        <v>0</v>
      </c>
      <c r="M60" s="174">
        <f t="shared" si="21"/>
        <v>0</v>
      </c>
      <c r="N60" s="265"/>
      <c r="O60" s="189"/>
      <c r="P60" s="195"/>
      <c r="Q60" s="196"/>
      <c r="R60" s="195"/>
      <c r="S60" s="197"/>
      <c r="T60" s="195"/>
      <c r="U60" s="195"/>
      <c r="V60" s="195"/>
      <c r="AA60" s="87"/>
      <c r="AB60" s="87"/>
    </row>
    <row r="61" spans="1:28" s="86" customFormat="1" ht="25.5" x14ac:dyDescent="0.2">
      <c r="A61" s="259">
        <v>1</v>
      </c>
      <c r="B61" s="282" t="s">
        <v>191</v>
      </c>
      <c r="C61" s="287" t="s">
        <v>193</v>
      </c>
      <c r="D61" s="84">
        <v>2905</v>
      </c>
      <c r="E61" s="84">
        <v>2250</v>
      </c>
      <c r="F61" s="84">
        <v>2250</v>
      </c>
      <c r="G61" s="84">
        <v>2250</v>
      </c>
      <c r="H61" s="162">
        <f>I61</f>
        <v>2250</v>
      </c>
      <c r="I61" s="162">
        <v>2250</v>
      </c>
      <c r="J61" s="179">
        <f t="shared" ref="J61:J65" si="22">H61/E61*100</f>
        <v>100</v>
      </c>
      <c r="K61" s="162">
        <f t="shared" ref="K61:K62" si="23">E61-H61</f>
        <v>0</v>
      </c>
      <c r="L61" s="85"/>
      <c r="M61" s="178">
        <f t="shared" ref="M61:M62" si="24">F61-I61</f>
        <v>0</v>
      </c>
      <c r="N61" s="98"/>
      <c r="O61" s="187" t="s">
        <v>124</v>
      </c>
      <c r="P61" s="198" t="s">
        <v>292</v>
      </c>
      <c r="Q61" s="194"/>
      <c r="R61" s="188"/>
      <c r="S61" s="191"/>
      <c r="T61" s="188"/>
      <c r="U61" s="188"/>
      <c r="V61" s="188"/>
      <c r="AA61" s="87">
        <f>E61-H61</f>
        <v>0</v>
      </c>
      <c r="AB61" s="87" t="e">
        <f>#REF!-I61</f>
        <v>#REF!</v>
      </c>
    </row>
    <row r="62" spans="1:28" s="86" customFormat="1" ht="25.5" x14ac:dyDescent="0.2">
      <c r="A62" s="259">
        <v>2</v>
      </c>
      <c r="B62" s="282" t="s">
        <v>192</v>
      </c>
      <c r="C62" s="287" t="s">
        <v>194</v>
      </c>
      <c r="D62" s="84">
        <v>2906</v>
      </c>
      <c r="E62" s="84">
        <v>2183</v>
      </c>
      <c r="F62" s="84">
        <v>2183</v>
      </c>
      <c r="G62" s="84">
        <v>2183</v>
      </c>
      <c r="H62" s="162">
        <v>2183</v>
      </c>
      <c r="I62" s="162">
        <v>2183</v>
      </c>
      <c r="J62" s="179">
        <f t="shared" si="22"/>
        <v>100</v>
      </c>
      <c r="K62" s="162">
        <f t="shared" si="23"/>
        <v>0</v>
      </c>
      <c r="L62" s="85"/>
      <c r="M62" s="178">
        <f t="shared" si="24"/>
        <v>0</v>
      </c>
      <c r="N62" s="98"/>
      <c r="O62" s="187" t="s">
        <v>124</v>
      </c>
      <c r="P62" s="198" t="s">
        <v>292</v>
      </c>
      <c r="Q62" s="194"/>
      <c r="R62" s="188"/>
      <c r="S62" s="191"/>
      <c r="T62" s="188"/>
      <c r="U62" s="188"/>
      <c r="V62" s="188"/>
      <c r="AA62" s="87">
        <f>E62-H62</f>
        <v>0</v>
      </c>
      <c r="AB62" s="87" t="e">
        <f>#REF!-I62</f>
        <v>#REF!</v>
      </c>
    </row>
    <row r="63" spans="1:28" s="86" customFormat="1" ht="25.5" x14ac:dyDescent="0.2">
      <c r="A63" s="259"/>
      <c r="B63" s="286" t="s">
        <v>195</v>
      </c>
      <c r="C63" s="112"/>
      <c r="D63" s="140">
        <f>SUM(D64:D65)</f>
        <v>25400</v>
      </c>
      <c r="E63" s="140">
        <f>SUM(E64:E65)</f>
        <v>3654</v>
      </c>
      <c r="F63" s="140">
        <f>SUM(F64:F65)</f>
        <v>3654</v>
      </c>
      <c r="G63" s="140">
        <f t="shared" ref="G63:M63" si="25">SUM(G64:G65)</f>
        <v>3654</v>
      </c>
      <c r="H63" s="174">
        <f t="shared" si="25"/>
        <v>3654</v>
      </c>
      <c r="I63" s="174">
        <f t="shared" si="25"/>
        <v>3654</v>
      </c>
      <c r="J63" s="140">
        <f t="shared" si="25"/>
        <v>200</v>
      </c>
      <c r="K63" s="174">
        <f t="shared" si="25"/>
        <v>0</v>
      </c>
      <c r="L63" s="140">
        <f t="shared" si="25"/>
        <v>0</v>
      </c>
      <c r="M63" s="174">
        <f t="shared" si="25"/>
        <v>0</v>
      </c>
      <c r="N63" s="98"/>
      <c r="O63" s="187"/>
      <c r="P63" s="188"/>
      <c r="Q63" s="194"/>
      <c r="R63" s="188"/>
      <c r="S63" s="191"/>
      <c r="T63" s="188"/>
      <c r="U63" s="188"/>
      <c r="V63" s="188"/>
      <c r="AA63" s="87"/>
      <c r="AB63" s="87"/>
    </row>
    <row r="64" spans="1:28" s="86" customFormat="1" ht="25.5" x14ac:dyDescent="0.2">
      <c r="A64" s="259">
        <v>1</v>
      </c>
      <c r="B64" s="288" t="s">
        <v>198</v>
      </c>
      <c r="C64" s="289" t="s">
        <v>196</v>
      </c>
      <c r="D64" s="283">
        <v>5900</v>
      </c>
      <c r="E64" s="84">
        <v>1000</v>
      </c>
      <c r="F64" s="84">
        <v>1000</v>
      </c>
      <c r="G64" s="84">
        <v>1000</v>
      </c>
      <c r="H64" s="162">
        <v>1000</v>
      </c>
      <c r="I64" s="162">
        <v>1000</v>
      </c>
      <c r="J64" s="179">
        <f t="shared" si="22"/>
        <v>100</v>
      </c>
      <c r="K64" s="162">
        <f t="shared" ref="K64:K65" si="26">E64-H64</f>
        <v>0</v>
      </c>
      <c r="L64" s="85"/>
      <c r="M64" s="178">
        <f t="shared" ref="M64:M65" si="27">F64-I64</f>
        <v>0</v>
      </c>
      <c r="N64" s="98"/>
      <c r="O64" s="187" t="s">
        <v>124</v>
      </c>
      <c r="P64" s="198" t="s">
        <v>292</v>
      </c>
      <c r="Q64" s="194"/>
      <c r="R64" s="188"/>
      <c r="S64" s="191"/>
      <c r="T64" s="188"/>
      <c r="U64" s="188"/>
      <c r="V64" s="188"/>
      <c r="AA64" s="87">
        <f>E64-H64</f>
        <v>0</v>
      </c>
      <c r="AB64" s="87" t="e">
        <f>#REF!-I64</f>
        <v>#REF!</v>
      </c>
    </row>
    <row r="65" spans="1:28" s="86" customFormat="1" ht="25.5" x14ac:dyDescent="0.2">
      <c r="A65" s="259">
        <v>2</v>
      </c>
      <c r="B65" s="288" t="s">
        <v>199</v>
      </c>
      <c r="C65" s="289" t="s">
        <v>197</v>
      </c>
      <c r="D65" s="283">
        <v>19500</v>
      </c>
      <c r="E65" s="84">
        <v>2654</v>
      </c>
      <c r="F65" s="84">
        <v>2654</v>
      </c>
      <c r="G65" s="84">
        <v>2654</v>
      </c>
      <c r="H65" s="162">
        <v>2654</v>
      </c>
      <c r="I65" s="162">
        <v>2654</v>
      </c>
      <c r="J65" s="179">
        <f t="shared" si="22"/>
        <v>100</v>
      </c>
      <c r="K65" s="162">
        <f t="shared" si="26"/>
        <v>0</v>
      </c>
      <c r="L65" s="85"/>
      <c r="M65" s="178">
        <f t="shared" si="27"/>
        <v>0</v>
      </c>
      <c r="N65" s="98"/>
      <c r="O65" s="187" t="s">
        <v>124</v>
      </c>
      <c r="P65" s="198" t="s">
        <v>292</v>
      </c>
      <c r="Q65" s="194"/>
      <c r="R65" s="188"/>
      <c r="S65" s="191"/>
      <c r="T65" s="188"/>
      <c r="U65" s="188"/>
      <c r="V65" s="188"/>
      <c r="AA65" s="87">
        <f>E65-H65</f>
        <v>0</v>
      </c>
      <c r="AB65" s="87" t="e">
        <f>#REF!-I65</f>
        <v>#REF!</v>
      </c>
    </row>
    <row r="66" spans="1:28" s="86" customFormat="1" ht="25.5" x14ac:dyDescent="0.2">
      <c r="A66" s="259"/>
      <c r="B66" s="286" t="s">
        <v>200</v>
      </c>
      <c r="C66" s="112"/>
      <c r="D66" s="84"/>
      <c r="E66" s="140">
        <f>SUM(E67)</f>
        <v>1813</v>
      </c>
      <c r="F66" s="140">
        <f t="shared" ref="F66:M66" si="28">SUM(F67)</f>
        <v>1813</v>
      </c>
      <c r="G66" s="140">
        <f t="shared" si="28"/>
        <v>0</v>
      </c>
      <c r="H66" s="140">
        <f t="shared" si="28"/>
        <v>0</v>
      </c>
      <c r="I66" s="140">
        <f t="shared" si="28"/>
        <v>0</v>
      </c>
      <c r="J66" s="140">
        <f t="shared" si="28"/>
        <v>0</v>
      </c>
      <c r="K66" s="140">
        <f t="shared" si="28"/>
        <v>0</v>
      </c>
      <c r="L66" s="140">
        <f t="shared" si="28"/>
        <v>0</v>
      </c>
      <c r="M66" s="140">
        <f t="shared" si="28"/>
        <v>1813</v>
      </c>
      <c r="N66" s="98"/>
      <c r="O66" s="187"/>
      <c r="P66" s="188"/>
      <c r="Q66" s="194"/>
      <c r="R66" s="188"/>
      <c r="S66" s="191"/>
      <c r="T66" s="188"/>
      <c r="U66" s="188"/>
      <c r="V66" s="188"/>
      <c r="AA66" s="87">
        <f>E66-H66</f>
        <v>1813</v>
      </c>
      <c r="AB66" s="87" t="e">
        <f>#REF!-I66</f>
        <v>#REF!</v>
      </c>
    </row>
    <row r="67" spans="1:28" s="86" customFormat="1" ht="38.25" x14ac:dyDescent="0.2">
      <c r="A67" s="259">
        <v>1</v>
      </c>
      <c r="B67" s="96" t="s">
        <v>201</v>
      </c>
      <c r="C67" s="112"/>
      <c r="D67" s="84"/>
      <c r="E67" s="84">
        <f>F67</f>
        <v>1813</v>
      </c>
      <c r="F67" s="84">
        <v>1813</v>
      </c>
      <c r="G67" s="84"/>
      <c r="H67" s="162"/>
      <c r="I67" s="162"/>
      <c r="J67" s="85"/>
      <c r="K67" s="162"/>
      <c r="L67" s="85"/>
      <c r="M67" s="177">
        <f>F67</f>
        <v>1813</v>
      </c>
      <c r="N67" s="98"/>
      <c r="O67" s="187" t="s">
        <v>124</v>
      </c>
      <c r="P67" s="188" t="s">
        <v>429</v>
      </c>
      <c r="Q67" s="194"/>
      <c r="R67" s="188"/>
      <c r="S67" s="191"/>
      <c r="T67" s="188"/>
      <c r="U67" s="188"/>
      <c r="V67" s="188"/>
      <c r="AA67" s="87">
        <f>E67-H67</f>
        <v>1813</v>
      </c>
      <c r="AB67" s="87" t="e">
        <f>#REF!-I67</f>
        <v>#REF!</v>
      </c>
    </row>
    <row r="68" spans="1:28" s="86" customFormat="1" ht="38.25" x14ac:dyDescent="0.2">
      <c r="A68" s="259"/>
      <c r="B68" s="286" t="s">
        <v>202</v>
      </c>
      <c r="C68" s="112"/>
      <c r="D68" s="140">
        <f>SUM(D69:D86)</f>
        <v>70540</v>
      </c>
      <c r="E68" s="140">
        <f>SUM(E69:E86)</f>
        <v>35703</v>
      </c>
      <c r="F68" s="140">
        <f>SUM(F69:F86)</f>
        <v>35703</v>
      </c>
      <c r="G68" s="140">
        <f t="shared" ref="G68:M68" si="29">SUM(G69:G86)</f>
        <v>35703</v>
      </c>
      <c r="H68" s="174">
        <f t="shared" si="29"/>
        <v>30965.577000000001</v>
      </c>
      <c r="I68" s="174">
        <f t="shared" si="29"/>
        <v>30965.577000000001</v>
      </c>
      <c r="J68" s="140">
        <f t="shared" si="29"/>
        <v>1540.6853716508608</v>
      </c>
      <c r="K68" s="174">
        <f t="shared" si="29"/>
        <v>4737.4229999999998</v>
      </c>
      <c r="L68" s="140">
        <f t="shared" si="29"/>
        <v>0</v>
      </c>
      <c r="M68" s="174">
        <f t="shared" si="29"/>
        <v>4737.4229999999998</v>
      </c>
      <c r="N68" s="98"/>
      <c r="O68" s="187"/>
      <c r="P68" s="188"/>
      <c r="Q68" s="194"/>
      <c r="R68" s="188"/>
      <c r="S68" s="191"/>
      <c r="T68" s="188"/>
      <c r="U68" s="188"/>
      <c r="V68" s="188"/>
      <c r="AA68" s="87"/>
      <c r="AB68" s="87"/>
    </row>
    <row r="69" spans="1:28" s="86" customFormat="1" ht="38.25" x14ac:dyDescent="0.2">
      <c r="A69" s="259">
        <v>1</v>
      </c>
      <c r="B69" s="83" t="s">
        <v>203</v>
      </c>
      <c r="C69" s="141" t="s">
        <v>211</v>
      </c>
      <c r="D69" s="84">
        <v>5500</v>
      </c>
      <c r="E69" s="84">
        <v>2900</v>
      </c>
      <c r="F69" s="84">
        <v>2900</v>
      </c>
      <c r="G69" s="84">
        <v>2900</v>
      </c>
      <c r="H69" s="162">
        <v>2900</v>
      </c>
      <c r="I69" s="162">
        <v>2900</v>
      </c>
      <c r="J69" s="179">
        <f t="shared" ref="J69:J89" si="30">H69/E69*100</f>
        <v>100</v>
      </c>
      <c r="K69" s="162">
        <f t="shared" ref="K69:K89" si="31">E69-H69</f>
        <v>0</v>
      </c>
      <c r="L69" s="85"/>
      <c r="M69" s="178">
        <f t="shared" ref="M69:M89" si="32">F69-I69</f>
        <v>0</v>
      </c>
      <c r="N69" s="98"/>
      <c r="O69" s="187" t="s">
        <v>124</v>
      </c>
      <c r="P69" s="198" t="s">
        <v>292</v>
      </c>
      <c r="Q69" s="194"/>
      <c r="R69" s="188"/>
      <c r="S69" s="191"/>
      <c r="T69" s="188"/>
      <c r="U69" s="188"/>
      <c r="V69" s="188"/>
      <c r="AA69" s="87">
        <f t="shared" ref="AA69:AA86" si="33">E69-H69</f>
        <v>0</v>
      </c>
      <c r="AB69" s="87" t="e">
        <f>#REF!-I69</f>
        <v>#REF!</v>
      </c>
    </row>
    <row r="70" spans="1:28" s="86" customFormat="1" ht="30.6" customHeight="1" x14ac:dyDescent="0.2">
      <c r="A70" s="259">
        <v>2</v>
      </c>
      <c r="B70" s="83" t="s">
        <v>204</v>
      </c>
      <c r="C70" s="141" t="s">
        <v>212</v>
      </c>
      <c r="D70" s="84">
        <v>5100</v>
      </c>
      <c r="E70" s="84">
        <v>2700</v>
      </c>
      <c r="F70" s="84">
        <v>2700</v>
      </c>
      <c r="G70" s="84">
        <v>2700</v>
      </c>
      <c r="H70" s="162">
        <v>1665.6320000000001</v>
      </c>
      <c r="I70" s="162">
        <v>1665.6320000000001</v>
      </c>
      <c r="J70" s="179">
        <f t="shared" si="30"/>
        <v>61.690074074074076</v>
      </c>
      <c r="K70" s="162">
        <f t="shared" si="31"/>
        <v>1034.3679999999999</v>
      </c>
      <c r="L70" s="244" t="s">
        <v>459</v>
      </c>
      <c r="M70" s="178">
        <f t="shared" si="32"/>
        <v>1034.3679999999999</v>
      </c>
      <c r="N70" s="98"/>
      <c r="O70" s="187" t="s">
        <v>124</v>
      </c>
      <c r="P70" s="198" t="s">
        <v>292</v>
      </c>
      <c r="Q70" s="194"/>
      <c r="R70" s="188"/>
      <c r="S70" s="191"/>
      <c r="T70" s="188"/>
      <c r="U70" s="188"/>
      <c r="V70" s="188"/>
      <c r="AA70" s="87">
        <f t="shared" si="33"/>
        <v>1034.3679999999999</v>
      </c>
      <c r="AB70" s="87" t="e">
        <f>#REF!-I70</f>
        <v>#REF!</v>
      </c>
    </row>
    <row r="71" spans="1:28" s="86" customFormat="1" ht="25.5" x14ac:dyDescent="0.2">
      <c r="A71" s="259">
        <v>3</v>
      </c>
      <c r="B71" s="83" t="s">
        <v>205</v>
      </c>
      <c r="C71" s="141" t="s">
        <v>213</v>
      </c>
      <c r="D71" s="84">
        <v>5800</v>
      </c>
      <c r="E71" s="84">
        <v>3100</v>
      </c>
      <c r="F71" s="84">
        <v>3100</v>
      </c>
      <c r="G71" s="84">
        <v>3100</v>
      </c>
      <c r="H71" s="162">
        <v>2335.4540000000002</v>
      </c>
      <c r="I71" s="162">
        <v>2335.4540000000002</v>
      </c>
      <c r="J71" s="179">
        <f t="shared" si="30"/>
        <v>75.337225806451613</v>
      </c>
      <c r="K71" s="162">
        <f t="shared" si="31"/>
        <v>764.54599999999982</v>
      </c>
      <c r="L71" s="246"/>
      <c r="M71" s="178">
        <f t="shared" si="32"/>
        <v>764.54599999999982</v>
      </c>
      <c r="N71" s="98"/>
      <c r="O71" s="187" t="s">
        <v>124</v>
      </c>
      <c r="P71" s="198" t="s">
        <v>292</v>
      </c>
      <c r="Q71" s="194"/>
      <c r="R71" s="188"/>
      <c r="S71" s="191"/>
      <c r="T71" s="188"/>
      <c r="U71" s="188"/>
      <c r="V71" s="188"/>
      <c r="AA71" s="87">
        <f t="shared" si="33"/>
        <v>764.54599999999982</v>
      </c>
      <c r="AB71" s="87" t="e">
        <f>#REF!-I71</f>
        <v>#REF!</v>
      </c>
    </row>
    <row r="72" spans="1:28" s="86" customFormat="1" ht="25.5" x14ac:dyDescent="0.2">
      <c r="A72" s="259">
        <v>4</v>
      </c>
      <c r="B72" s="83" t="s">
        <v>206</v>
      </c>
      <c r="C72" s="141" t="s">
        <v>214</v>
      </c>
      <c r="D72" s="84">
        <v>6800</v>
      </c>
      <c r="E72" s="84">
        <v>3600</v>
      </c>
      <c r="F72" s="84">
        <v>3600</v>
      </c>
      <c r="G72" s="84">
        <v>3600</v>
      </c>
      <c r="H72" s="162">
        <v>3600</v>
      </c>
      <c r="I72" s="162">
        <v>3600</v>
      </c>
      <c r="J72" s="179">
        <f t="shared" si="30"/>
        <v>100</v>
      </c>
      <c r="K72" s="162">
        <f t="shared" si="31"/>
        <v>0</v>
      </c>
      <c r="L72" s="85"/>
      <c r="M72" s="178">
        <f t="shared" si="32"/>
        <v>0</v>
      </c>
      <c r="N72" s="98"/>
      <c r="O72" s="187" t="s">
        <v>124</v>
      </c>
      <c r="P72" s="198" t="s">
        <v>292</v>
      </c>
      <c r="Q72" s="194"/>
      <c r="R72" s="188"/>
      <c r="S72" s="191"/>
      <c r="T72" s="188"/>
      <c r="U72" s="188"/>
      <c r="V72" s="188"/>
      <c r="AA72" s="87">
        <f t="shared" si="33"/>
        <v>0</v>
      </c>
      <c r="AB72" s="87" t="e">
        <f>#REF!-I72</f>
        <v>#REF!</v>
      </c>
    </row>
    <row r="73" spans="1:28" s="86" customFormat="1" ht="24" x14ac:dyDescent="0.2">
      <c r="A73" s="259">
        <v>5</v>
      </c>
      <c r="B73" s="83" t="s">
        <v>207</v>
      </c>
      <c r="C73" s="141" t="s">
        <v>215</v>
      </c>
      <c r="D73" s="84">
        <v>5300</v>
      </c>
      <c r="E73" s="84">
        <v>1800</v>
      </c>
      <c r="F73" s="84">
        <v>1800</v>
      </c>
      <c r="G73" s="84">
        <v>1800</v>
      </c>
      <c r="H73" s="162">
        <v>1800</v>
      </c>
      <c r="I73" s="162">
        <v>1800</v>
      </c>
      <c r="J73" s="179">
        <f t="shared" si="30"/>
        <v>100</v>
      </c>
      <c r="K73" s="162">
        <f t="shared" si="31"/>
        <v>0</v>
      </c>
      <c r="L73" s="85"/>
      <c r="M73" s="178">
        <f t="shared" si="32"/>
        <v>0</v>
      </c>
      <c r="N73" s="98"/>
      <c r="O73" s="187" t="s">
        <v>124</v>
      </c>
      <c r="P73" s="198" t="s">
        <v>292</v>
      </c>
      <c r="Q73" s="194"/>
      <c r="R73" s="188"/>
      <c r="S73" s="191"/>
      <c r="T73" s="188"/>
      <c r="U73" s="188"/>
      <c r="V73" s="188"/>
      <c r="AA73" s="87">
        <f t="shared" si="33"/>
        <v>0</v>
      </c>
      <c r="AB73" s="87" t="e">
        <f>#REF!-I73</f>
        <v>#REF!</v>
      </c>
    </row>
    <row r="74" spans="1:28" s="86" customFormat="1" ht="25.5" x14ac:dyDescent="0.2">
      <c r="A74" s="259">
        <v>6</v>
      </c>
      <c r="B74" s="83" t="s">
        <v>208</v>
      </c>
      <c r="C74" s="141" t="s">
        <v>216</v>
      </c>
      <c r="D74" s="84">
        <v>5200</v>
      </c>
      <c r="E74" s="84">
        <v>2800</v>
      </c>
      <c r="F74" s="84">
        <v>2800</v>
      </c>
      <c r="G74" s="84">
        <v>2800</v>
      </c>
      <c r="H74" s="162">
        <v>2800</v>
      </c>
      <c r="I74" s="162">
        <v>2800</v>
      </c>
      <c r="J74" s="179">
        <f t="shared" si="30"/>
        <v>100</v>
      </c>
      <c r="K74" s="162">
        <f t="shared" si="31"/>
        <v>0</v>
      </c>
      <c r="L74" s="85"/>
      <c r="M74" s="178">
        <f t="shared" si="32"/>
        <v>0</v>
      </c>
      <c r="N74" s="98"/>
      <c r="O74" s="187" t="s">
        <v>124</v>
      </c>
      <c r="P74" s="198" t="s">
        <v>292</v>
      </c>
      <c r="Q74" s="194"/>
      <c r="R74" s="188"/>
      <c r="S74" s="191"/>
      <c r="T74" s="188"/>
      <c r="U74" s="188"/>
      <c r="V74" s="188"/>
      <c r="AA74" s="87">
        <f t="shared" si="33"/>
        <v>0</v>
      </c>
      <c r="AB74" s="87" t="e">
        <f>#REF!-I74</f>
        <v>#REF!</v>
      </c>
    </row>
    <row r="75" spans="1:28" s="86" customFormat="1" ht="24" x14ac:dyDescent="0.2">
      <c r="A75" s="259">
        <v>7</v>
      </c>
      <c r="B75" s="83" t="s">
        <v>209</v>
      </c>
      <c r="C75" s="141" t="s">
        <v>217</v>
      </c>
      <c r="D75" s="84">
        <v>8340</v>
      </c>
      <c r="E75" s="84">
        <v>3303</v>
      </c>
      <c r="F75" s="84">
        <v>3303</v>
      </c>
      <c r="G75" s="84">
        <v>3303</v>
      </c>
      <c r="H75" s="162">
        <v>3303</v>
      </c>
      <c r="I75" s="162">
        <v>3303</v>
      </c>
      <c r="J75" s="179">
        <f t="shared" si="30"/>
        <v>100</v>
      </c>
      <c r="K75" s="162">
        <f t="shared" si="31"/>
        <v>0</v>
      </c>
      <c r="L75" s="85"/>
      <c r="M75" s="178">
        <f t="shared" si="32"/>
        <v>0</v>
      </c>
      <c r="N75" s="98"/>
      <c r="O75" s="187" t="s">
        <v>124</v>
      </c>
      <c r="P75" s="198" t="s">
        <v>292</v>
      </c>
      <c r="Q75" s="194"/>
      <c r="R75" s="188"/>
      <c r="S75" s="191"/>
      <c r="T75" s="188"/>
      <c r="U75" s="188"/>
      <c r="V75" s="188"/>
      <c r="AA75" s="87">
        <f t="shared" si="33"/>
        <v>0</v>
      </c>
      <c r="AB75" s="87" t="e">
        <f>#REF!-I75</f>
        <v>#REF!</v>
      </c>
    </row>
    <row r="76" spans="1:28" s="86" customFormat="1" ht="25.5" x14ac:dyDescent="0.2">
      <c r="A76" s="259">
        <v>8</v>
      </c>
      <c r="B76" s="83" t="s">
        <v>210</v>
      </c>
      <c r="C76" s="141" t="s">
        <v>218</v>
      </c>
      <c r="D76" s="84">
        <v>6100</v>
      </c>
      <c r="E76" s="84">
        <v>3300</v>
      </c>
      <c r="F76" s="84">
        <v>3300</v>
      </c>
      <c r="G76" s="84">
        <v>3300</v>
      </c>
      <c r="H76" s="162">
        <v>3300</v>
      </c>
      <c r="I76" s="162">
        <v>3300</v>
      </c>
      <c r="J76" s="179">
        <f t="shared" si="30"/>
        <v>100</v>
      </c>
      <c r="K76" s="162">
        <f t="shared" si="31"/>
        <v>0</v>
      </c>
      <c r="L76" s="85"/>
      <c r="M76" s="178">
        <f t="shared" si="32"/>
        <v>0</v>
      </c>
      <c r="N76" s="98"/>
      <c r="O76" s="187" t="s">
        <v>124</v>
      </c>
      <c r="P76" s="198" t="s">
        <v>292</v>
      </c>
      <c r="Q76" s="194"/>
      <c r="R76" s="188"/>
      <c r="S76" s="191"/>
      <c r="T76" s="188"/>
      <c r="U76" s="188"/>
      <c r="V76" s="188"/>
      <c r="AA76" s="87">
        <f t="shared" si="33"/>
        <v>0</v>
      </c>
      <c r="AB76" s="87" t="e">
        <f>#REF!-I76</f>
        <v>#REF!</v>
      </c>
    </row>
    <row r="77" spans="1:28" s="86" customFormat="1" ht="25.5" x14ac:dyDescent="0.2">
      <c r="A77" s="259">
        <v>9</v>
      </c>
      <c r="B77" s="83" t="s">
        <v>328</v>
      </c>
      <c r="C77" s="141" t="s">
        <v>338</v>
      </c>
      <c r="D77" s="290">
        <v>2400</v>
      </c>
      <c r="E77" s="84">
        <v>1400</v>
      </c>
      <c r="F77" s="84">
        <v>1400</v>
      </c>
      <c r="G77" s="84">
        <v>1400</v>
      </c>
      <c r="H77" s="162">
        <v>1400</v>
      </c>
      <c r="I77" s="162">
        <v>1400</v>
      </c>
      <c r="J77" s="179">
        <f t="shared" si="30"/>
        <v>100</v>
      </c>
      <c r="K77" s="162">
        <f t="shared" si="31"/>
        <v>0</v>
      </c>
      <c r="L77" s="85"/>
      <c r="M77" s="178">
        <f t="shared" si="32"/>
        <v>0</v>
      </c>
      <c r="N77" s="98"/>
      <c r="O77" s="187" t="s">
        <v>124</v>
      </c>
      <c r="P77" s="203" t="s">
        <v>297</v>
      </c>
      <c r="Q77" s="194"/>
      <c r="R77" s="188"/>
      <c r="S77" s="191"/>
      <c r="T77" s="188"/>
      <c r="U77" s="188"/>
      <c r="V77" s="188"/>
      <c r="AA77" s="87">
        <f t="shared" si="33"/>
        <v>0</v>
      </c>
      <c r="AB77" s="87" t="e">
        <f>#REF!-I77</f>
        <v>#REF!</v>
      </c>
    </row>
    <row r="78" spans="1:28" s="86" customFormat="1" ht="45" x14ac:dyDescent="0.2">
      <c r="A78" s="259">
        <v>10</v>
      </c>
      <c r="B78" s="83" t="s">
        <v>329</v>
      </c>
      <c r="C78" s="141" t="s">
        <v>339</v>
      </c>
      <c r="D78" s="290">
        <v>2000</v>
      </c>
      <c r="E78" s="84">
        <v>1100</v>
      </c>
      <c r="F78" s="84">
        <v>1100</v>
      </c>
      <c r="G78" s="84">
        <v>1100</v>
      </c>
      <c r="H78" s="162">
        <f>I78</f>
        <v>964.97</v>
      </c>
      <c r="I78" s="162">
        <v>964.97</v>
      </c>
      <c r="J78" s="179">
        <f t="shared" si="30"/>
        <v>87.724545454545449</v>
      </c>
      <c r="K78" s="162">
        <f t="shared" si="31"/>
        <v>135.02999999999997</v>
      </c>
      <c r="L78" s="208" t="s">
        <v>459</v>
      </c>
      <c r="M78" s="178">
        <f>F78-I78</f>
        <v>135.02999999999997</v>
      </c>
      <c r="N78" s="98"/>
      <c r="O78" s="187" t="s">
        <v>124</v>
      </c>
      <c r="P78" s="203" t="s">
        <v>299</v>
      </c>
      <c r="Q78" s="194"/>
      <c r="R78" s="188"/>
      <c r="S78" s="191"/>
      <c r="T78" s="188"/>
      <c r="U78" s="188"/>
      <c r="V78" s="188"/>
      <c r="AA78" s="87">
        <f t="shared" si="33"/>
        <v>135.02999999999997</v>
      </c>
      <c r="AB78" s="87" t="e">
        <f>#REF!-I78</f>
        <v>#REF!</v>
      </c>
    </row>
    <row r="79" spans="1:28" s="86" customFormat="1" ht="25.5" x14ac:dyDescent="0.2">
      <c r="A79" s="259">
        <v>11</v>
      </c>
      <c r="B79" s="83" t="s">
        <v>330</v>
      </c>
      <c r="C79" s="141" t="s">
        <v>340</v>
      </c>
      <c r="D79" s="290">
        <v>1300</v>
      </c>
      <c r="E79" s="84">
        <v>800</v>
      </c>
      <c r="F79" s="84">
        <v>800</v>
      </c>
      <c r="G79" s="84">
        <v>800</v>
      </c>
      <c r="H79" s="162">
        <f>I79</f>
        <v>800</v>
      </c>
      <c r="I79" s="162">
        <v>800</v>
      </c>
      <c r="J79" s="179">
        <f t="shared" si="30"/>
        <v>100</v>
      </c>
      <c r="K79" s="162">
        <f t="shared" si="31"/>
        <v>0</v>
      </c>
      <c r="L79" s="85"/>
      <c r="M79" s="178">
        <f t="shared" si="32"/>
        <v>0</v>
      </c>
      <c r="N79" s="98"/>
      <c r="O79" s="187" t="s">
        <v>124</v>
      </c>
      <c r="P79" s="203" t="s">
        <v>293</v>
      </c>
      <c r="Q79" s="194"/>
      <c r="R79" s="188"/>
      <c r="S79" s="191"/>
      <c r="T79" s="188"/>
      <c r="U79" s="188"/>
      <c r="V79" s="188"/>
      <c r="AA79" s="87">
        <f t="shared" si="33"/>
        <v>0</v>
      </c>
      <c r="AB79" s="87" t="e">
        <f>#REF!-I79</f>
        <v>#REF!</v>
      </c>
    </row>
    <row r="80" spans="1:28" s="86" customFormat="1" ht="45" x14ac:dyDescent="0.2">
      <c r="A80" s="259">
        <v>12</v>
      </c>
      <c r="B80" s="83" t="s">
        <v>331</v>
      </c>
      <c r="C80" s="141" t="s">
        <v>341</v>
      </c>
      <c r="D80" s="290">
        <v>4300</v>
      </c>
      <c r="E80" s="84">
        <v>1800</v>
      </c>
      <c r="F80" s="84">
        <v>1800</v>
      </c>
      <c r="G80" s="84">
        <v>1800</v>
      </c>
      <c r="H80" s="162">
        <v>0</v>
      </c>
      <c r="I80" s="162"/>
      <c r="J80" s="179">
        <f t="shared" si="30"/>
        <v>0</v>
      </c>
      <c r="K80" s="162">
        <f t="shared" si="31"/>
        <v>1800</v>
      </c>
      <c r="L80" s="208" t="s">
        <v>459</v>
      </c>
      <c r="M80" s="178">
        <f t="shared" si="32"/>
        <v>1800</v>
      </c>
      <c r="N80" s="98"/>
      <c r="O80" s="187" t="s">
        <v>124</v>
      </c>
      <c r="P80" s="203" t="s">
        <v>296</v>
      </c>
      <c r="Q80" s="194"/>
      <c r="R80" s="188"/>
      <c r="S80" s="191"/>
      <c r="T80" s="188"/>
      <c r="U80" s="188"/>
      <c r="V80" s="188"/>
      <c r="AA80" s="87">
        <f t="shared" si="33"/>
        <v>1800</v>
      </c>
      <c r="AB80" s="87" t="e">
        <f>#REF!-I80</f>
        <v>#REF!</v>
      </c>
    </row>
    <row r="81" spans="1:28" s="86" customFormat="1" ht="25.5" x14ac:dyDescent="0.2">
      <c r="A81" s="259">
        <v>13</v>
      </c>
      <c r="B81" s="83" t="s">
        <v>332</v>
      </c>
      <c r="C81" s="141" t="s">
        <v>342</v>
      </c>
      <c r="D81" s="290">
        <v>1100</v>
      </c>
      <c r="E81" s="84">
        <v>600</v>
      </c>
      <c r="F81" s="84">
        <v>600</v>
      </c>
      <c r="G81" s="84">
        <v>600</v>
      </c>
      <c r="H81" s="162">
        <f>I81</f>
        <v>600</v>
      </c>
      <c r="I81" s="162">
        <v>600</v>
      </c>
      <c r="J81" s="179">
        <f t="shared" si="30"/>
        <v>100</v>
      </c>
      <c r="K81" s="162">
        <f t="shared" si="31"/>
        <v>0</v>
      </c>
      <c r="L81" s="85"/>
      <c r="M81" s="178">
        <f t="shared" si="32"/>
        <v>0</v>
      </c>
      <c r="N81" s="98"/>
      <c r="O81" s="187" t="s">
        <v>124</v>
      </c>
      <c r="P81" s="203" t="s">
        <v>295</v>
      </c>
      <c r="Q81" s="194"/>
      <c r="R81" s="188"/>
      <c r="S81" s="191"/>
      <c r="T81" s="188"/>
      <c r="U81" s="188"/>
      <c r="V81" s="188"/>
      <c r="AA81" s="87">
        <f t="shared" si="33"/>
        <v>0</v>
      </c>
      <c r="AB81" s="87" t="e">
        <f>#REF!-I81</f>
        <v>#REF!</v>
      </c>
    </row>
    <row r="82" spans="1:28" s="86" customFormat="1" ht="38.25" x14ac:dyDescent="0.2">
      <c r="A82" s="259">
        <v>14</v>
      </c>
      <c r="B82" s="83" t="s">
        <v>333</v>
      </c>
      <c r="C82" s="141" t="s">
        <v>343</v>
      </c>
      <c r="D82" s="290">
        <v>2800</v>
      </c>
      <c r="E82" s="84">
        <v>1500</v>
      </c>
      <c r="F82" s="84">
        <v>1500</v>
      </c>
      <c r="G82" s="84">
        <v>1500</v>
      </c>
      <c r="H82" s="162">
        <f>I82</f>
        <v>1500</v>
      </c>
      <c r="I82" s="162">
        <v>1500</v>
      </c>
      <c r="J82" s="179">
        <f t="shared" si="30"/>
        <v>100</v>
      </c>
      <c r="K82" s="162">
        <f t="shared" si="31"/>
        <v>0</v>
      </c>
      <c r="L82" s="85"/>
      <c r="M82" s="178">
        <f t="shared" si="32"/>
        <v>0</v>
      </c>
      <c r="N82" s="98"/>
      <c r="O82" s="187" t="s">
        <v>124</v>
      </c>
      <c r="P82" s="203" t="s">
        <v>301</v>
      </c>
      <c r="Q82" s="194"/>
      <c r="R82" s="188"/>
      <c r="S82" s="191"/>
      <c r="T82" s="188"/>
      <c r="U82" s="188"/>
      <c r="V82" s="188"/>
      <c r="AA82" s="87">
        <f t="shared" si="33"/>
        <v>0</v>
      </c>
      <c r="AB82" s="87" t="e">
        <f>#REF!-I82</f>
        <v>#REF!</v>
      </c>
    </row>
    <row r="83" spans="1:28" s="86" customFormat="1" ht="45" x14ac:dyDescent="0.2">
      <c r="A83" s="259">
        <v>15</v>
      </c>
      <c r="B83" s="83" t="s">
        <v>334</v>
      </c>
      <c r="C83" s="141" t="s">
        <v>344</v>
      </c>
      <c r="D83" s="290">
        <v>3600</v>
      </c>
      <c r="E83" s="84">
        <v>1900</v>
      </c>
      <c r="F83" s="84">
        <v>1900</v>
      </c>
      <c r="G83" s="84">
        <v>1900</v>
      </c>
      <c r="H83" s="162">
        <f>I83</f>
        <v>1556.2809999999999</v>
      </c>
      <c r="I83" s="162">
        <v>1556.2809999999999</v>
      </c>
      <c r="J83" s="179">
        <f t="shared" si="30"/>
        <v>81.909526315789478</v>
      </c>
      <c r="K83" s="162">
        <f t="shared" si="31"/>
        <v>343.71900000000005</v>
      </c>
      <c r="L83" s="208" t="s">
        <v>459</v>
      </c>
      <c r="M83" s="178">
        <f t="shared" si="32"/>
        <v>343.71900000000005</v>
      </c>
      <c r="N83" s="98"/>
      <c r="O83" s="187" t="s">
        <v>124</v>
      </c>
      <c r="P83" s="203" t="s">
        <v>348</v>
      </c>
      <c r="Q83" s="194"/>
      <c r="R83" s="188"/>
      <c r="S83" s="191"/>
      <c r="T83" s="188"/>
      <c r="U83" s="188"/>
      <c r="V83" s="188"/>
      <c r="AA83" s="87">
        <f t="shared" si="33"/>
        <v>343.71900000000005</v>
      </c>
      <c r="AB83" s="87" t="e">
        <f>#REF!-I83</f>
        <v>#REF!</v>
      </c>
    </row>
    <row r="84" spans="1:28" s="86" customFormat="1" ht="22.5" x14ac:dyDescent="0.2">
      <c r="A84" s="259">
        <v>16</v>
      </c>
      <c r="B84" s="83" t="s">
        <v>335</v>
      </c>
      <c r="C84" s="141" t="s">
        <v>345</v>
      </c>
      <c r="D84" s="290">
        <v>2400</v>
      </c>
      <c r="E84" s="84">
        <v>1500</v>
      </c>
      <c r="F84" s="84">
        <v>1500</v>
      </c>
      <c r="G84" s="84">
        <v>1500</v>
      </c>
      <c r="H84" s="162">
        <f>I84</f>
        <v>1500</v>
      </c>
      <c r="I84" s="162">
        <v>1500</v>
      </c>
      <c r="J84" s="179">
        <f t="shared" si="30"/>
        <v>100</v>
      </c>
      <c r="K84" s="162">
        <f t="shared" si="31"/>
        <v>0</v>
      </c>
      <c r="L84" s="85"/>
      <c r="M84" s="178">
        <f t="shared" si="32"/>
        <v>0</v>
      </c>
      <c r="N84" s="98"/>
      <c r="O84" s="187" t="s">
        <v>124</v>
      </c>
      <c r="P84" s="203" t="s">
        <v>294</v>
      </c>
      <c r="Q84" s="194"/>
      <c r="R84" s="188"/>
      <c r="S84" s="191"/>
      <c r="T84" s="188"/>
      <c r="U84" s="188"/>
      <c r="V84" s="188"/>
      <c r="AA84" s="87">
        <f t="shared" si="33"/>
        <v>0</v>
      </c>
      <c r="AB84" s="87" t="e">
        <f>#REF!-I84</f>
        <v>#REF!</v>
      </c>
    </row>
    <row r="85" spans="1:28" s="86" customFormat="1" ht="25.5" x14ac:dyDescent="0.2">
      <c r="A85" s="259">
        <v>17</v>
      </c>
      <c r="B85" s="83" t="s">
        <v>336</v>
      </c>
      <c r="C85" s="141" t="s">
        <v>346</v>
      </c>
      <c r="D85" s="290">
        <v>1000</v>
      </c>
      <c r="E85" s="84">
        <v>600</v>
      </c>
      <c r="F85" s="84">
        <v>600</v>
      </c>
      <c r="G85" s="84">
        <v>600</v>
      </c>
      <c r="H85" s="162">
        <v>600</v>
      </c>
      <c r="I85" s="162">
        <v>600</v>
      </c>
      <c r="J85" s="179">
        <f t="shared" si="30"/>
        <v>100</v>
      </c>
      <c r="K85" s="162">
        <f t="shared" si="31"/>
        <v>0</v>
      </c>
      <c r="L85" s="85"/>
      <c r="M85" s="178">
        <f t="shared" si="32"/>
        <v>0</v>
      </c>
      <c r="N85" s="98"/>
      <c r="O85" s="187" t="s">
        <v>124</v>
      </c>
      <c r="P85" s="203" t="s">
        <v>303</v>
      </c>
      <c r="Q85" s="194"/>
      <c r="R85" s="188"/>
      <c r="S85" s="191"/>
      <c r="T85" s="188"/>
      <c r="U85" s="188"/>
      <c r="V85" s="188"/>
      <c r="AA85" s="87">
        <f t="shared" si="33"/>
        <v>0</v>
      </c>
      <c r="AB85" s="87" t="e">
        <f>#REF!-I85</f>
        <v>#REF!</v>
      </c>
    </row>
    <row r="86" spans="1:28" s="86" customFormat="1" ht="45" x14ac:dyDescent="0.2">
      <c r="A86" s="259">
        <v>18</v>
      </c>
      <c r="B86" s="83" t="s">
        <v>337</v>
      </c>
      <c r="C86" s="141" t="s">
        <v>347</v>
      </c>
      <c r="D86" s="290">
        <v>1500</v>
      </c>
      <c r="E86" s="84">
        <v>1000</v>
      </c>
      <c r="F86" s="84">
        <v>1000</v>
      </c>
      <c r="G86" s="84">
        <v>1000</v>
      </c>
      <c r="H86" s="162">
        <f>I86</f>
        <v>340.24</v>
      </c>
      <c r="I86" s="162">
        <v>340.24</v>
      </c>
      <c r="J86" s="179">
        <f t="shared" si="30"/>
        <v>34.024000000000001</v>
      </c>
      <c r="K86" s="162">
        <f t="shared" si="31"/>
        <v>659.76</v>
      </c>
      <c r="L86" s="208" t="s">
        <v>459</v>
      </c>
      <c r="M86" s="178">
        <f t="shared" si="32"/>
        <v>659.76</v>
      </c>
      <c r="N86" s="98"/>
      <c r="O86" s="187" t="s">
        <v>124</v>
      </c>
      <c r="P86" s="203" t="s">
        <v>349</v>
      </c>
      <c r="Q86" s="194"/>
      <c r="R86" s="188"/>
      <c r="S86" s="191"/>
      <c r="T86" s="188"/>
      <c r="U86" s="188"/>
      <c r="V86" s="188"/>
      <c r="AA86" s="87">
        <f t="shared" si="33"/>
        <v>659.76</v>
      </c>
      <c r="AB86" s="87" t="e">
        <f>#REF!-I86</f>
        <v>#REF!</v>
      </c>
    </row>
    <row r="87" spans="1:28" s="86" customFormat="1" ht="76.5" x14ac:dyDescent="0.2">
      <c r="A87" s="259"/>
      <c r="B87" s="286" t="s">
        <v>220</v>
      </c>
      <c r="C87" s="112"/>
      <c r="D87" s="140">
        <f>SUM(D88:D89)</f>
        <v>5923</v>
      </c>
      <c r="E87" s="140">
        <f>SUM(E88:E89)</f>
        <v>3642</v>
      </c>
      <c r="F87" s="140">
        <f>SUM(F88:F89)</f>
        <v>3642</v>
      </c>
      <c r="G87" s="140">
        <f t="shared" ref="G87:M87" si="34">SUM(G88:G89)</f>
        <v>3642</v>
      </c>
      <c r="H87" s="174">
        <f t="shared" si="34"/>
        <v>3423.5150000000003</v>
      </c>
      <c r="I87" s="174">
        <f t="shared" si="34"/>
        <v>3423.5150000000003</v>
      </c>
      <c r="J87" s="140">
        <f t="shared" si="34"/>
        <v>188.7494850669413</v>
      </c>
      <c r="K87" s="174">
        <f t="shared" si="34"/>
        <v>218.4849999999999</v>
      </c>
      <c r="L87" s="140">
        <f t="shared" si="34"/>
        <v>0</v>
      </c>
      <c r="M87" s="174">
        <f t="shared" si="34"/>
        <v>218.4849999999999</v>
      </c>
      <c r="N87" s="98"/>
      <c r="O87" s="187"/>
      <c r="P87" s="188"/>
      <c r="Q87" s="194"/>
      <c r="R87" s="188"/>
      <c r="S87" s="191"/>
      <c r="T87" s="188"/>
      <c r="U87" s="188"/>
      <c r="V87" s="188"/>
      <c r="AA87" s="87"/>
      <c r="AB87" s="87"/>
    </row>
    <row r="88" spans="1:28" s="86" customFormat="1" ht="25.5" x14ac:dyDescent="0.2">
      <c r="A88" s="259">
        <v>1</v>
      </c>
      <c r="B88" s="83" t="s">
        <v>221</v>
      </c>
      <c r="C88" s="141" t="s">
        <v>223</v>
      </c>
      <c r="D88" s="84">
        <v>2763</v>
      </c>
      <c r="E88" s="84">
        <v>1700</v>
      </c>
      <c r="F88" s="84">
        <v>1700</v>
      </c>
      <c r="G88" s="84">
        <v>1700</v>
      </c>
      <c r="H88" s="162">
        <v>1700</v>
      </c>
      <c r="I88" s="162">
        <v>1700</v>
      </c>
      <c r="J88" s="179">
        <f t="shared" si="30"/>
        <v>100</v>
      </c>
      <c r="K88" s="162">
        <f t="shared" si="31"/>
        <v>0</v>
      </c>
      <c r="L88" s="85"/>
      <c r="M88" s="178">
        <f t="shared" si="32"/>
        <v>0</v>
      </c>
      <c r="N88" s="98"/>
      <c r="O88" s="187" t="s">
        <v>124</v>
      </c>
      <c r="P88" s="198" t="s">
        <v>292</v>
      </c>
      <c r="Q88" s="194"/>
      <c r="R88" s="188"/>
      <c r="S88" s="191"/>
      <c r="T88" s="188"/>
      <c r="U88" s="188"/>
      <c r="V88" s="188"/>
      <c r="AA88" s="87">
        <f t="shared" ref="AA88:AA115" si="35">E88-H88</f>
        <v>0</v>
      </c>
      <c r="AB88" s="87" t="e">
        <f>#REF!-I88</f>
        <v>#REF!</v>
      </c>
    </row>
    <row r="89" spans="1:28" s="86" customFormat="1" ht="45" x14ac:dyDescent="0.2">
      <c r="A89" s="259">
        <v>2</v>
      </c>
      <c r="B89" s="83" t="s">
        <v>222</v>
      </c>
      <c r="C89" s="141" t="s">
        <v>224</v>
      </c>
      <c r="D89" s="84">
        <v>3160</v>
      </c>
      <c r="E89" s="84">
        <v>1942</v>
      </c>
      <c r="F89" s="84">
        <v>1942</v>
      </c>
      <c r="G89" s="84">
        <v>1942</v>
      </c>
      <c r="H89" s="162">
        <v>1723.5150000000001</v>
      </c>
      <c r="I89" s="162">
        <v>1723.5150000000001</v>
      </c>
      <c r="J89" s="179">
        <f t="shared" si="30"/>
        <v>88.749485066941304</v>
      </c>
      <c r="K89" s="162">
        <f t="shared" si="31"/>
        <v>218.4849999999999</v>
      </c>
      <c r="L89" s="208" t="s">
        <v>459</v>
      </c>
      <c r="M89" s="178">
        <f t="shared" si="32"/>
        <v>218.4849999999999</v>
      </c>
      <c r="N89" s="98"/>
      <c r="O89" s="187" t="s">
        <v>124</v>
      </c>
      <c r="P89" s="198" t="s">
        <v>292</v>
      </c>
      <c r="Q89" s="194"/>
      <c r="R89" s="188"/>
      <c r="S89" s="191"/>
      <c r="T89" s="188"/>
      <c r="U89" s="188"/>
      <c r="V89" s="188"/>
      <c r="AA89" s="87">
        <f t="shared" si="35"/>
        <v>218.4849999999999</v>
      </c>
      <c r="AB89" s="87" t="e">
        <f>#REF!-I89</f>
        <v>#REF!</v>
      </c>
    </row>
    <row r="90" spans="1:28" s="102" customFormat="1" ht="38.25" x14ac:dyDescent="0.2">
      <c r="A90" s="264"/>
      <c r="B90" s="286" t="s">
        <v>225</v>
      </c>
      <c r="C90" s="139"/>
      <c r="D90" s="140">
        <f>D91</f>
        <v>4180</v>
      </c>
      <c r="E90" s="140">
        <f t="shared" ref="E90:M90" si="36">E91</f>
        <v>2867</v>
      </c>
      <c r="F90" s="140">
        <f t="shared" si="36"/>
        <v>2867</v>
      </c>
      <c r="G90" s="140">
        <f t="shared" si="36"/>
        <v>2867</v>
      </c>
      <c r="H90" s="174">
        <f t="shared" si="36"/>
        <v>909.4</v>
      </c>
      <c r="I90" s="174">
        <f t="shared" si="36"/>
        <v>909.4</v>
      </c>
      <c r="J90" s="140">
        <f t="shared" si="36"/>
        <v>399.71428571428572</v>
      </c>
      <c r="K90" s="174">
        <f t="shared" si="36"/>
        <v>1957.6</v>
      </c>
      <c r="L90" s="140"/>
      <c r="M90" s="174">
        <f t="shared" si="36"/>
        <v>1957.6</v>
      </c>
      <c r="N90" s="265"/>
      <c r="O90" s="189"/>
      <c r="P90" s="195"/>
      <c r="Q90" s="196"/>
      <c r="R90" s="195"/>
      <c r="S90" s="197"/>
      <c r="T90" s="195"/>
      <c r="U90" s="195"/>
      <c r="V90" s="195"/>
      <c r="AA90" s="87">
        <f t="shared" si="35"/>
        <v>1957.6</v>
      </c>
      <c r="AB90" s="87" t="e">
        <f>#REF!-I90</f>
        <v>#REF!</v>
      </c>
    </row>
    <row r="91" spans="1:28" s="86" customFormat="1" ht="45" x14ac:dyDescent="0.2">
      <c r="A91" s="266" t="s">
        <v>363</v>
      </c>
      <c r="B91" s="96" t="s">
        <v>226</v>
      </c>
      <c r="C91" s="112"/>
      <c r="D91" s="84">
        <f>SUM(D92:D104)</f>
        <v>4180</v>
      </c>
      <c r="E91" s="84">
        <f t="shared" ref="E91" si="37">SUM(E92:E104)</f>
        <v>2867</v>
      </c>
      <c r="F91" s="84">
        <f t="shared" ref="F91:M91" si="38">SUM(F92:F104)</f>
        <v>2867</v>
      </c>
      <c r="G91" s="84">
        <f t="shared" si="38"/>
        <v>2867</v>
      </c>
      <c r="H91" s="84">
        <f t="shared" si="38"/>
        <v>909.4</v>
      </c>
      <c r="I91" s="84">
        <f t="shared" si="38"/>
        <v>909.4</v>
      </c>
      <c r="J91" s="84">
        <f t="shared" si="38"/>
        <v>399.71428571428572</v>
      </c>
      <c r="K91" s="84">
        <f t="shared" si="38"/>
        <v>1957.6</v>
      </c>
      <c r="L91" s="208" t="s">
        <v>459</v>
      </c>
      <c r="M91" s="84">
        <f t="shared" si="38"/>
        <v>1957.6</v>
      </c>
      <c r="N91" s="98"/>
      <c r="O91" s="187"/>
      <c r="P91" s="188"/>
      <c r="Q91" s="194"/>
      <c r="R91" s="188"/>
      <c r="S91" s="191"/>
      <c r="T91" s="188"/>
      <c r="U91" s="188"/>
      <c r="V91" s="188"/>
      <c r="AA91" s="87">
        <f t="shared" si="35"/>
        <v>1957.6</v>
      </c>
      <c r="AB91" s="87" t="e">
        <f>#REF!-I91</f>
        <v>#REF!</v>
      </c>
    </row>
    <row r="92" spans="1:28" s="86" customFormat="1" ht="22.5" x14ac:dyDescent="0.2">
      <c r="A92" s="259">
        <v>1</v>
      </c>
      <c r="B92" s="96" t="s">
        <v>350</v>
      </c>
      <c r="C92" s="291" t="s">
        <v>364</v>
      </c>
      <c r="D92" s="84">
        <v>330</v>
      </c>
      <c r="E92" s="84">
        <v>250</v>
      </c>
      <c r="F92" s="84">
        <v>250</v>
      </c>
      <c r="G92" s="84">
        <v>250</v>
      </c>
      <c r="H92" s="162">
        <f t="shared" ref="H92:H104" si="39">I92</f>
        <v>250</v>
      </c>
      <c r="I92" s="162">
        <v>250</v>
      </c>
      <c r="J92" s="179">
        <f t="shared" ref="J92:J115" si="40">H92/E92*100</f>
        <v>100</v>
      </c>
      <c r="K92" s="162">
        <f t="shared" ref="K92:K115" si="41">E92-H92</f>
        <v>0</v>
      </c>
      <c r="L92" s="85"/>
      <c r="M92" s="178">
        <f t="shared" ref="M92:M94" si="42">F92-I92</f>
        <v>0</v>
      </c>
      <c r="N92" s="98"/>
      <c r="O92" s="187" t="s">
        <v>124</v>
      </c>
      <c r="P92" s="203" t="s">
        <v>293</v>
      </c>
      <c r="Q92" s="194"/>
      <c r="R92" s="188"/>
      <c r="S92" s="191"/>
      <c r="T92" s="188"/>
      <c r="U92" s="188"/>
      <c r="V92" s="188"/>
      <c r="AA92" s="87">
        <f t="shared" si="35"/>
        <v>0</v>
      </c>
      <c r="AB92" s="87" t="e">
        <f>#REF!-I92</f>
        <v>#REF!</v>
      </c>
    </row>
    <row r="93" spans="1:28" s="86" customFormat="1" ht="22.5" x14ac:dyDescent="0.2">
      <c r="A93" s="259">
        <v>2</v>
      </c>
      <c r="B93" s="96" t="s">
        <v>351</v>
      </c>
      <c r="C93" s="291" t="s">
        <v>365</v>
      </c>
      <c r="D93" s="84">
        <v>330</v>
      </c>
      <c r="E93" s="84">
        <v>250</v>
      </c>
      <c r="F93" s="84">
        <v>250</v>
      </c>
      <c r="G93" s="84">
        <v>250</v>
      </c>
      <c r="H93" s="162">
        <f t="shared" si="39"/>
        <v>250</v>
      </c>
      <c r="I93" s="162">
        <v>250</v>
      </c>
      <c r="J93" s="179">
        <f t="shared" si="40"/>
        <v>100</v>
      </c>
      <c r="K93" s="162">
        <f t="shared" si="41"/>
        <v>0</v>
      </c>
      <c r="L93" s="85"/>
      <c r="M93" s="178">
        <f t="shared" si="42"/>
        <v>0</v>
      </c>
      <c r="N93" s="98"/>
      <c r="O93" s="187" t="s">
        <v>124</v>
      </c>
      <c r="P93" s="203" t="s">
        <v>293</v>
      </c>
      <c r="Q93" s="194"/>
      <c r="R93" s="188"/>
      <c r="S93" s="191"/>
      <c r="T93" s="188"/>
      <c r="U93" s="188"/>
      <c r="V93" s="188"/>
      <c r="AA93" s="87">
        <f t="shared" si="35"/>
        <v>0</v>
      </c>
      <c r="AB93" s="87" t="e">
        <f>#REF!-I93</f>
        <v>#REF!</v>
      </c>
    </row>
    <row r="94" spans="1:28" s="86" customFormat="1" ht="22.5" x14ac:dyDescent="0.2">
      <c r="A94" s="259">
        <v>3</v>
      </c>
      <c r="B94" s="96" t="s">
        <v>352</v>
      </c>
      <c r="C94" s="291" t="s">
        <v>366</v>
      </c>
      <c r="D94" s="84">
        <v>330</v>
      </c>
      <c r="E94" s="84">
        <v>200</v>
      </c>
      <c r="F94" s="84">
        <v>200</v>
      </c>
      <c r="G94" s="84">
        <v>200</v>
      </c>
      <c r="H94" s="162">
        <f t="shared" si="39"/>
        <v>200</v>
      </c>
      <c r="I94" s="162">
        <v>200</v>
      </c>
      <c r="J94" s="179">
        <f t="shared" si="40"/>
        <v>100</v>
      </c>
      <c r="K94" s="162">
        <f t="shared" si="41"/>
        <v>0</v>
      </c>
      <c r="L94" s="85"/>
      <c r="M94" s="178">
        <f t="shared" si="42"/>
        <v>0</v>
      </c>
      <c r="N94" s="98"/>
      <c r="O94" s="187" t="s">
        <v>124</v>
      </c>
      <c r="P94" s="203" t="s">
        <v>293</v>
      </c>
      <c r="Q94" s="194"/>
      <c r="R94" s="188"/>
      <c r="S94" s="191"/>
      <c r="T94" s="188"/>
      <c r="U94" s="188"/>
      <c r="V94" s="188"/>
      <c r="AA94" s="87">
        <f t="shared" si="35"/>
        <v>0</v>
      </c>
      <c r="AB94" s="87" t="e">
        <f>#REF!-I94</f>
        <v>#REF!</v>
      </c>
    </row>
    <row r="95" spans="1:28" s="86" customFormat="1" ht="30.6" customHeight="1" x14ac:dyDescent="0.2">
      <c r="A95" s="259">
        <v>4</v>
      </c>
      <c r="B95" s="96" t="s">
        <v>353</v>
      </c>
      <c r="C95" s="291" t="s">
        <v>367</v>
      </c>
      <c r="D95" s="84">
        <v>300</v>
      </c>
      <c r="E95" s="84">
        <v>200</v>
      </c>
      <c r="F95" s="84">
        <v>200</v>
      </c>
      <c r="G95" s="84">
        <v>200</v>
      </c>
      <c r="H95" s="162">
        <f t="shared" si="39"/>
        <v>0</v>
      </c>
      <c r="I95" s="162"/>
      <c r="J95" s="179">
        <f t="shared" si="40"/>
        <v>0</v>
      </c>
      <c r="K95" s="162">
        <f t="shared" si="41"/>
        <v>200</v>
      </c>
      <c r="L95" s="244" t="s">
        <v>459</v>
      </c>
      <c r="M95" s="178">
        <f t="shared" ref="M95:M104" si="43">F95-I95</f>
        <v>200</v>
      </c>
      <c r="N95" s="98"/>
      <c r="O95" s="187" t="s">
        <v>124</v>
      </c>
      <c r="P95" s="203" t="s">
        <v>304</v>
      </c>
      <c r="Q95" s="194"/>
      <c r="R95" s="188"/>
      <c r="S95" s="191"/>
      <c r="T95" s="188"/>
      <c r="U95" s="188"/>
      <c r="V95" s="188"/>
      <c r="AA95" s="87">
        <f t="shared" si="35"/>
        <v>200</v>
      </c>
      <c r="AB95" s="87" t="e">
        <f>#REF!-I95</f>
        <v>#REF!</v>
      </c>
    </row>
    <row r="96" spans="1:28" s="86" customFormat="1" ht="22.5" x14ac:dyDescent="0.2">
      <c r="A96" s="259">
        <v>5</v>
      </c>
      <c r="B96" s="96" t="s">
        <v>354</v>
      </c>
      <c r="C96" s="291" t="s">
        <v>368</v>
      </c>
      <c r="D96" s="84">
        <v>300</v>
      </c>
      <c r="E96" s="84">
        <v>200</v>
      </c>
      <c r="F96" s="84">
        <v>200</v>
      </c>
      <c r="G96" s="84">
        <v>200</v>
      </c>
      <c r="H96" s="162">
        <f t="shared" si="39"/>
        <v>0</v>
      </c>
      <c r="I96" s="162"/>
      <c r="J96" s="179">
        <f t="shared" si="40"/>
        <v>0</v>
      </c>
      <c r="K96" s="162">
        <f t="shared" si="41"/>
        <v>200</v>
      </c>
      <c r="L96" s="245"/>
      <c r="M96" s="178">
        <f t="shared" si="43"/>
        <v>200</v>
      </c>
      <c r="N96" s="98"/>
      <c r="O96" s="187" t="s">
        <v>124</v>
      </c>
      <c r="P96" s="203" t="s">
        <v>304</v>
      </c>
      <c r="Q96" s="194"/>
      <c r="R96" s="188"/>
      <c r="S96" s="191"/>
      <c r="T96" s="188"/>
      <c r="U96" s="188"/>
      <c r="V96" s="188"/>
      <c r="AA96" s="87">
        <f t="shared" si="35"/>
        <v>200</v>
      </c>
      <c r="AB96" s="87" t="e">
        <f>#REF!-I96</f>
        <v>#REF!</v>
      </c>
    </row>
    <row r="97" spans="1:28" s="86" customFormat="1" ht="22.5" x14ac:dyDescent="0.2">
      <c r="A97" s="259">
        <v>6</v>
      </c>
      <c r="B97" s="96" t="s">
        <v>355</v>
      </c>
      <c r="C97" s="291" t="s">
        <v>369</v>
      </c>
      <c r="D97" s="84">
        <v>330</v>
      </c>
      <c r="E97" s="84">
        <v>250</v>
      </c>
      <c r="F97" s="84">
        <v>250</v>
      </c>
      <c r="G97" s="84">
        <v>250</v>
      </c>
      <c r="H97" s="162">
        <f t="shared" si="39"/>
        <v>0</v>
      </c>
      <c r="I97" s="162"/>
      <c r="J97" s="179">
        <f t="shared" si="40"/>
        <v>0</v>
      </c>
      <c r="K97" s="162">
        <f t="shared" si="41"/>
        <v>250</v>
      </c>
      <c r="L97" s="245"/>
      <c r="M97" s="178">
        <f t="shared" si="43"/>
        <v>250</v>
      </c>
      <c r="N97" s="98"/>
      <c r="O97" s="187" t="s">
        <v>124</v>
      </c>
      <c r="P97" s="203" t="s">
        <v>295</v>
      </c>
      <c r="Q97" s="194"/>
      <c r="R97" s="188"/>
      <c r="S97" s="191"/>
      <c r="T97" s="188"/>
      <c r="U97" s="188"/>
      <c r="V97" s="188"/>
      <c r="AA97" s="87">
        <f t="shared" si="35"/>
        <v>250</v>
      </c>
      <c r="AB97" s="87" t="e">
        <f>#REF!-I97</f>
        <v>#REF!</v>
      </c>
    </row>
    <row r="98" spans="1:28" s="86" customFormat="1" ht="22.5" x14ac:dyDescent="0.2">
      <c r="A98" s="259">
        <v>7</v>
      </c>
      <c r="B98" s="96" t="s">
        <v>356</v>
      </c>
      <c r="C98" s="291" t="s">
        <v>370</v>
      </c>
      <c r="D98" s="84">
        <v>330</v>
      </c>
      <c r="E98" s="84">
        <v>250</v>
      </c>
      <c r="F98" s="84">
        <v>250</v>
      </c>
      <c r="G98" s="84">
        <v>250</v>
      </c>
      <c r="H98" s="162">
        <f t="shared" si="39"/>
        <v>0</v>
      </c>
      <c r="I98" s="162"/>
      <c r="J98" s="179">
        <f t="shared" si="40"/>
        <v>0</v>
      </c>
      <c r="K98" s="162">
        <f t="shared" si="41"/>
        <v>250</v>
      </c>
      <c r="L98" s="245"/>
      <c r="M98" s="178">
        <f t="shared" si="43"/>
        <v>250</v>
      </c>
      <c r="N98" s="98"/>
      <c r="O98" s="187" t="s">
        <v>124</v>
      </c>
      <c r="P98" s="203" t="s">
        <v>295</v>
      </c>
      <c r="Q98" s="194"/>
      <c r="R98" s="188"/>
      <c r="S98" s="191"/>
      <c r="T98" s="188"/>
      <c r="U98" s="188"/>
      <c r="V98" s="188"/>
      <c r="AA98" s="87">
        <f t="shared" si="35"/>
        <v>250</v>
      </c>
      <c r="AB98" s="87" t="e">
        <f>#REF!-I98</f>
        <v>#REF!</v>
      </c>
    </row>
    <row r="99" spans="1:28" s="86" customFormat="1" ht="22.5" x14ac:dyDescent="0.2">
      <c r="A99" s="259">
        <v>8</v>
      </c>
      <c r="B99" s="96" t="s">
        <v>357</v>
      </c>
      <c r="C99" s="291" t="s">
        <v>371</v>
      </c>
      <c r="D99" s="84">
        <v>330</v>
      </c>
      <c r="E99" s="84">
        <v>200</v>
      </c>
      <c r="F99" s="84">
        <v>200</v>
      </c>
      <c r="G99" s="84">
        <v>200</v>
      </c>
      <c r="H99" s="162">
        <f t="shared" si="39"/>
        <v>0</v>
      </c>
      <c r="I99" s="162"/>
      <c r="J99" s="179">
        <f t="shared" si="40"/>
        <v>0</v>
      </c>
      <c r="K99" s="162">
        <f t="shared" si="41"/>
        <v>200</v>
      </c>
      <c r="L99" s="245"/>
      <c r="M99" s="178">
        <f t="shared" si="43"/>
        <v>200</v>
      </c>
      <c r="N99" s="98"/>
      <c r="O99" s="187" t="s">
        <v>124</v>
      </c>
      <c r="P99" s="203" t="s">
        <v>295</v>
      </c>
      <c r="Q99" s="194"/>
      <c r="R99" s="188"/>
      <c r="S99" s="191"/>
      <c r="T99" s="188"/>
      <c r="U99" s="188"/>
      <c r="V99" s="188"/>
      <c r="AA99" s="87">
        <f t="shared" si="35"/>
        <v>200</v>
      </c>
      <c r="AB99" s="87" t="e">
        <f>#REF!-I99</f>
        <v>#REF!</v>
      </c>
    </row>
    <row r="100" spans="1:28" s="86" customFormat="1" ht="22.5" x14ac:dyDescent="0.2">
      <c r="A100" s="259">
        <v>9</v>
      </c>
      <c r="B100" s="96" t="s">
        <v>358</v>
      </c>
      <c r="C100" s="291" t="s">
        <v>372</v>
      </c>
      <c r="D100" s="84">
        <v>300</v>
      </c>
      <c r="E100" s="84">
        <v>250</v>
      </c>
      <c r="F100" s="84">
        <v>250</v>
      </c>
      <c r="G100" s="84">
        <v>250</v>
      </c>
      <c r="H100" s="162">
        <f t="shared" si="39"/>
        <v>0</v>
      </c>
      <c r="I100" s="162"/>
      <c r="J100" s="179">
        <f t="shared" si="40"/>
        <v>0</v>
      </c>
      <c r="K100" s="162">
        <f t="shared" si="41"/>
        <v>250</v>
      </c>
      <c r="L100" s="245"/>
      <c r="M100" s="178">
        <f t="shared" si="43"/>
        <v>250</v>
      </c>
      <c r="N100" s="98"/>
      <c r="O100" s="187" t="s">
        <v>124</v>
      </c>
      <c r="P100" s="203" t="s">
        <v>301</v>
      </c>
      <c r="Q100" s="194"/>
      <c r="R100" s="188"/>
      <c r="S100" s="191"/>
      <c r="T100" s="188"/>
      <c r="U100" s="188"/>
      <c r="V100" s="188"/>
      <c r="AA100" s="87">
        <f t="shared" si="35"/>
        <v>250</v>
      </c>
      <c r="AB100" s="87" t="e">
        <f>#REF!-I100</f>
        <v>#REF!</v>
      </c>
    </row>
    <row r="101" spans="1:28" s="86" customFormat="1" ht="22.5" x14ac:dyDescent="0.2">
      <c r="A101" s="259">
        <v>10</v>
      </c>
      <c r="B101" s="96" t="s">
        <v>359</v>
      </c>
      <c r="C101" s="291" t="s">
        <v>373</v>
      </c>
      <c r="D101" s="84">
        <v>300</v>
      </c>
      <c r="E101" s="84">
        <v>250</v>
      </c>
      <c r="F101" s="84">
        <v>250</v>
      </c>
      <c r="G101" s="84">
        <v>250</v>
      </c>
      <c r="H101" s="162">
        <f t="shared" si="39"/>
        <v>0</v>
      </c>
      <c r="I101" s="162"/>
      <c r="J101" s="179">
        <f t="shared" si="40"/>
        <v>0</v>
      </c>
      <c r="K101" s="162">
        <f t="shared" si="41"/>
        <v>250</v>
      </c>
      <c r="L101" s="245"/>
      <c r="M101" s="178">
        <f t="shared" si="43"/>
        <v>250</v>
      </c>
      <c r="N101" s="98"/>
      <c r="O101" s="187" t="s">
        <v>124</v>
      </c>
      <c r="P101" s="203" t="s">
        <v>301</v>
      </c>
      <c r="Q101" s="194"/>
      <c r="R101" s="188"/>
      <c r="S101" s="191"/>
      <c r="T101" s="188"/>
      <c r="U101" s="188"/>
      <c r="V101" s="188"/>
      <c r="AA101" s="87">
        <f t="shared" si="35"/>
        <v>250</v>
      </c>
      <c r="AB101" s="87" t="e">
        <f>#REF!-I101</f>
        <v>#REF!</v>
      </c>
    </row>
    <row r="102" spans="1:28" s="86" customFormat="1" ht="22.5" x14ac:dyDescent="0.2">
      <c r="A102" s="259">
        <v>11</v>
      </c>
      <c r="B102" s="96" t="s">
        <v>360</v>
      </c>
      <c r="C102" s="291" t="s">
        <v>374</v>
      </c>
      <c r="D102" s="84">
        <v>300</v>
      </c>
      <c r="E102" s="84">
        <v>200</v>
      </c>
      <c r="F102" s="84">
        <v>200</v>
      </c>
      <c r="G102" s="84">
        <v>200</v>
      </c>
      <c r="H102" s="162">
        <f t="shared" si="39"/>
        <v>0</v>
      </c>
      <c r="I102" s="162"/>
      <c r="J102" s="179">
        <f t="shared" si="40"/>
        <v>0</v>
      </c>
      <c r="K102" s="162">
        <f t="shared" si="41"/>
        <v>200</v>
      </c>
      <c r="L102" s="245"/>
      <c r="M102" s="178">
        <f t="shared" si="43"/>
        <v>200</v>
      </c>
      <c r="N102" s="98"/>
      <c r="O102" s="187" t="s">
        <v>124</v>
      </c>
      <c r="P102" s="203" t="s">
        <v>301</v>
      </c>
      <c r="Q102" s="194"/>
      <c r="R102" s="188"/>
      <c r="S102" s="191"/>
      <c r="T102" s="188"/>
      <c r="U102" s="188"/>
      <c r="V102" s="188"/>
      <c r="AA102" s="87">
        <f t="shared" si="35"/>
        <v>200</v>
      </c>
      <c r="AB102" s="87" t="e">
        <f>#REF!-I102</f>
        <v>#REF!</v>
      </c>
    </row>
    <row r="103" spans="1:28" s="86" customFormat="1" ht="22.5" x14ac:dyDescent="0.2">
      <c r="A103" s="259">
        <v>12</v>
      </c>
      <c r="B103" s="96" t="s">
        <v>361</v>
      </c>
      <c r="C103" s="291" t="s">
        <v>375</v>
      </c>
      <c r="D103" s="84">
        <v>400</v>
      </c>
      <c r="E103" s="84">
        <v>157</v>
      </c>
      <c r="F103" s="84">
        <v>157</v>
      </c>
      <c r="G103" s="84">
        <v>157</v>
      </c>
      <c r="H103" s="162">
        <f t="shared" si="39"/>
        <v>0</v>
      </c>
      <c r="I103" s="162"/>
      <c r="J103" s="179">
        <f t="shared" si="40"/>
        <v>0</v>
      </c>
      <c r="K103" s="162">
        <f t="shared" si="41"/>
        <v>157</v>
      </c>
      <c r="L103" s="245"/>
      <c r="M103" s="178">
        <f t="shared" si="43"/>
        <v>157</v>
      </c>
      <c r="N103" s="98"/>
      <c r="O103" s="187" t="s">
        <v>124</v>
      </c>
      <c r="P103" s="203" t="s">
        <v>296</v>
      </c>
      <c r="Q103" s="194"/>
      <c r="R103" s="188"/>
      <c r="S103" s="191"/>
      <c r="T103" s="188"/>
      <c r="U103" s="188"/>
      <c r="V103" s="188"/>
      <c r="AA103" s="87">
        <f t="shared" si="35"/>
        <v>157</v>
      </c>
      <c r="AB103" s="87" t="e">
        <f>#REF!-I103</f>
        <v>#REF!</v>
      </c>
    </row>
    <row r="104" spans="1:28" s="86" customFormat="1" ht="22.5" x14ac:dyDescent="0.2">
      <c r="A104" s="259">
        <v>13</v>
      </c>
      <c r="B104" s="96" t="s">
        <v>362</v>
      </c>
      <c r="C104" s="291" t="s">
        <v>376</v>
      </c>
      <c r="D104" s="84">
        <v>300</v>
      </c>
      <c r="E104" s="84">
        <v>210</v>
      </c>
      <c r="F104" s="84">
        <v>210</v>
      </c>
      <c r="G104" s="84">
        <v>210</v>
      </c>
      <c r="H104" s="162">
        <f t="shared" si="39"/>
        <v>209.4</v>
      </c>
      <c r="I104" s="162">
        <v>209.4</v>
      </c>
      <c r="J104" s="179">
        <f t="shared" si="40"/>
        <v>99.714285714285722</v>
      </c>
      <c r="K104" s="162">
        <f t="shared" si="41"/>
        <v>0.59999999999999432</v>
      </c>
      <c r="L104" s="246"/>
      <c r="M104" s="178">
        <f t="shared" si="43"/>
        <v>0.59999999999999432</v>
      </c>
      <c r="N104" s="98"/>
      <c r="O104" s="187" t="s">
        <v>124</v>
      </c>
      <c r="P104" s="203" t="s">
        <v>294</v>
      </c>
      <c r="Q104" s="194"/>
      <c r="R104" s="188"/>
      <c r="S104" s="191"/>
      <c r="T104" s="188"/>
      <c r="U104" s="188"/>
      <c r="V104" s="188"/>
      <c r="AA104" s="87">
        <f t="shared" si="35"/>
        <v>0.59999999999999432</v>
      </c>
      <c r="AB104" s="87" t="e">
        <f>#REF!-I104</f>
        <v>#REF!</v>
      </c>
    </row>
    <row r="105" spans="1:28" s="86" customFormat="1" ht="51" x14ac:dyDescent="0.2">
      <c r="A105" s="259"/>
      <c r="B105" s="286" t="s">
        <v>227</v>
      </c>
      <c r="C105" s="112"/>
      <c r="D105" s="140">
        <f>SUM(D106:D115)</f>
        <v>47004</v>
      </c>
      <c r="E105" s="140">
        <f t="shared" ref="E105:M105" si="44">SUM(E106:E115)</f>
        <v>16066</v>
      </c>
      <c r="F105" s="140">
        <f t="shared" ref="F105" si="45">SUM(F106:F115)</f>
        <v>16066</v>
      </c>
      <c r="G105" s="140">
        <f t="shared" si="44"/>
        <v>16066</v>
      </c>
      <c r="H105" s="174">
        <f t="shared" si="44"/>
        <v>15956.282000000001</v>
      </c>
      <c r="I105" s="174">
        <f t="shared" si="44"/>
        <v>15956.282000000001</v>
      </c>
      <c r="J105" s="140">
        <f t="shared" si="44"/>
        <v>983.18700000000001</v>
      </c>
      <c r="K105" s="174">
        <f t="shared" si="44"/>
        <v>109.71800000000007</v>
      </c>
      <c r="L105" s="140">
        <f t="shared" si="44"/>
        <v>0</v>
      </c>
      <c r="M105" s="174">
        <f t="shared" si="44"/>
        <v>109.71800000000007</v>
      </c>
      <c r="N105" s="98"/>
      <c r="O105" s="187"/>
      <c r="P105" s="188"/>
      <c r="Q105" s="194"/>
      <c r="R105" s="188"/>
      <c r="S105" s="191"/>
      <c r="T105" s="188"/>
      <c r="U105" s="188"/>
      <c r="V105" s="188"/>
      <c r="AA105" s="87">
        <f t="shared" si="35"/>
        <v>109.71799999999894</v>
      </c>
      <c r="AB105" s="87" t="e">
        <f>#REF!-I105</f>
        <v>#REF!</v>
      </c>
    </row>
    <row r="106" spans="1:28" s="86" customFormat="1" ht="25.5" x14ac:dyDescent="0.2">
      <c r="A106" s="259">
        <v>1</v>
      </c>
      <c r="B106" s="83" t="s">
        <v>228</v>
      </c>
      <c r="C106" s="141" t="s">
        <v>421</v>
      </c>
      <c r="D106" s="84">
        <v>2700</v>
      </c>
      <c r="E106" s="284">
        <v>1300</v>
      </c>
      <c r="F106" s="284">
        <v>1300</v>
      </c>
      <c r="G106" s="284">
        <v>1300</v>
      </c>
      <c r="H106" s="162">
        <v>1300</v>
      </c>
      <c r="I106" s="162">
        <v>1300</v>
      </c>
      <c r="J106" s="179">
        <f t="shared" si="40"/>
        <v>100</v>
      </c>
      <c r="K106" s="162">
        <f t="shared" si="41"/>
        <v>0</v>
      </c>
      <c r="L106" s="85"/>
      <c r="M106" s="178">
        <f t="shared" ref="M106:M115" si="46">F106-I106</f>
        <v>0</v>
      </c>
      <c r="N106" s="98"/>
      <c r="O106" s="187" t="s">
        <v>124</v>
      </c>
      <c r="P106" s="198" t="s">
        <v>292</v>
      </c>
      <c r="Q106" s="194"/>
      <c r="R106" s="188"/>
      <c r="S106" s="191"/>
      <c r="T106" s="188"/>
      <c r="U106" s="188"/>
      <c r="V106" s="188"/>
      <c r="AA106" s="87">
        <f t="shared" si="35"/>
        <v>0</v>
      </c>
      <c r="AB106" s="87" t="e">
        <f>#REF!-I106</f>
        <v>#REF!</v>
      </c>
    </row>
    <row r="107" spans="1:28" s="86" customFormat="1" ht="24" x14ac:dyDescent="0.2">
      <c r="A107" s="259">
        <v>2</v>
      </c>
      <c r="B107" s="83" t="s">
        <v>229</v>
      </c>
      <c r="C107" s="141" t="s">
        <v>233</v>
      </c>
      <c r="D107" s="84">
        <v>1600</v>
      </c>
      <c r="E107" s="284">
        <v>800</v>
      </c>
      <c r="F107" s="284">
        <v>800</v>
      </c>
      <c r="G107" s="284">
        <v>800</v>
      </c>
      <c r="H107" s="162">
        <v>800</v>
      </c>
      <c r="I107" s="162">
        <v>800</v>
      </c>
      <c r="J107" s="179">
        <f t="shared" si="40"/>
        <v>100</v>
      </c>
      <c r="K107" s="162">
        <f t="shared" si="41"/>
        <v>0</v>
      </c>
      <c r="L107" s="85"/>
      <c r="M107" s="178">
        <f t="shared" si="46"/>
        <v>0</v>
      </c>
      <c r="N107" s="98"/>
      <c r="O107" s="187" t="s">
        <v>124</v>
      </c>
      <c r="P107" s="198" t="s">
        <v>292</v>
      </c>
      <c r="Q107" s="194"/>
      <c r="R107" s="188"/>
      <c r="S107" s="191"/>
      <c r="T107" s="188"/>
      <c r="U107" s="188"/>
      <c r="V107" s="188"/>
      <c r="AA107" s="87">
        <f t="shared" si="35"/>
        <v>0</v>
      </c>
      <c r="AB107" s="87" t="e">
        <f>#REF!-I107</f>
        <v>#REF!</v>
      </c>
    </row>
    <row r="108" spans="1:28" s="86" customFormat="1" ht="24" x14ac:dyDescent="0.2">
      <c r="A108" s="259">
        <v>3</v>
      </c>
      <c r="B108" s="83" t="s">
        <v>230</v>
      </c>
      <c r="C108" s="141" t="s">
        <v>234</v>
      </c>
      <c r="D108" s="84">
        <v>1600</v>
      </c>
      <c r="E108" s="284">
        <v>800</v>
      </c>
      <c r="F108" s="284">
        <v>800</v>
      </c>
      <c r="G108" s="284">
        <v>800</v>
      </c>
      <c r="H108" s="162">
        <v>800</v>
      </c>
      <c r="I108" s="162">
        <v>800</v>
      </c>
      <c r="J108" s="179">
        <f t="shared" si="40"/>
        <v>100</v>
      </c>
      <c r="K108" s="162">
        <f t="shared" si="41"/>
        <v>0</v>
      </c>
      <c r="L108" s="85"/>
      <c r="M108" s="178">
        <f t="shared" si="46"/>
        <v>0</v>
      </c>
      <c r="N108" s="98"/>
      <c r="O108" s="187" t="s">
        <v>124</v>
      </c>
      <c r="P108" s="198" t="s">
        <v>292</v>
      </c>
      <c r="Q108" s="194"/>
      <c r="R108" s="188"/>
      <c r="S108" s="191"/>
      <c r="T108" s="188"/>
      <c r="U108" s="188"/>
      <c r="V108" s="188"/>
      <c r="AA108" s="87">
        <f t="shared" si="35"/>
        <v>0</v>
      </c>
      <c r="AB108" s="87" t="e">
        <f>#REF!-I108</f>
        <v>#REF!</v>
      </c>
    </row>
    <row r="109" spans="1:28" s="86" customFormat="1" ht="24" x14ac:dyDescent="0.2">
      <c r="A109" s="259">
        <v>4</v>
      </c>
      <c r="B109" s="83" t="s">
        <v>231</v>
      </c>
      <c r="C109" s="141" t="s">
        <v>235</v>
      </c>
      <c r="D109" s="84">
        <v>13500</v>
      </c>
      <c r="E109" s="284">
        <v>4186</v>
      </c>
      <c r="F109" s="284">
        <v>4186</v>
      </c>
      <c r="G109" s="284">
        <v>4186</v>
      </c>
      <c r="H109" s="162">
        <v>4186</v>
      </c>
      <c r="I109" s="162">
        <v>4186</v>
      </c>
      <c r="J109" s="179">
        <f t="shared" si="40"/>
        <v>100</v>
      </c>
      <c r="K109" s="162">
        <f t="shared" si="41"/>
        <v>0</v>
      </c>
      <c r="L109" s="85"/>
      <c r="M109" s="178">
        <f t="shared" si="46"/>
        <v>0</v>
      </c>
      <c r="N109" s="98"/>
      <c r="O109" s="187" t="s">
        <v>124</v>
      </c>
      <c r="P109" s="198" t="s">
        <v>292</v>
      </c>
      <c r="Q109" s="194"/>
      <c r="R109" s="188"/>
      <c r="S109" s="191"/>
      <c r="T109" s="188"/>
      <c r="U109" s="188"/>
      <c r="V109" s="188"/>
      <c r="AA109" s="87">
        <f t="shared" si="35"/>
        <v>0</v>
      </c>
      <c r="AB109" s="87" t="e">
        <f>#REF!-I109</f>
        <v>#REF!</v>
      </c>
    </row>
    <row r="110" spans="1:28" s="86" customFormat="1" ht="25.5" x14ac:dyDescent="0.2">
      <c r="A110" s="259">
        <v>5</v>
      </c>
      <c r="B110" s="83" t="s">
        <v>232</v>
      </c>
      <c r="C110" s="141" t="s">
        <v>236</v>
      </c>
      <c r="D110" s="84">
        <v>3000</v>
      </c>
      <c r="E110" s="284">
        <v>1500</v>
      </c>
      <c r="F110" s="284">
        <v>1500</v>
      </c>
      <c r="G110" s="284">
        <v>1500</v>
      </c>
      <c r="H110" s="162">
        <v>1500</v>
      </c>
      <c r="I110" s="162">
        <v>1500</v>
      </c>
      <c r="J110" s="179">
        <f t="shared" si="40"/>
        <v>100</v>
      </c>
      <c r="K110" s="162">
        <f t="shared" si="41"/>
        <v>0</v>
      </c>
      <c r="L110" s="85"/>
      <c r="M110" s="178">
        <f t="shared" si="46"/>
        <v>0</v>
      </c>
      <c r="N110" s="98"/>
      <c r="O110" s="187" t="s">
        <v>124</v>
      </c>
      <c r="P110" s="198" t="s">
        <v>292</v>
      </c>
      <c r="Q110" s="194"/>
      <c r="R110" s="188"/>
      <c r="S110" s="191"/>
      <c r="T110" s="188"/>
      <c r="U110" s="188"/>
      <c r="V110" s="188"/>
      <c r="AA110" s="87">
        <f t="shared" si="35"/>
        <v>0</v>
      </c>
      <c r="AB110" s="87" t="e">
        <f>#REF!-I110</f>
        <v>#REF!</v>
      </c>
    </row>
    <row r="111" spans="1:28" s="86" customFormat="1" ht="25.5" x14ac:dyDescent="0.2">
      <c r="A111" s="259">
        <v>6</v>
      </c>
      <c r="B111" s="83" t="s">
        <v>377</v>
      </c>
      <c r="C111" s="141" t="s">
        <v>382</v>
      </c>
      <c r="D111" s="84">
        <v>19542</v>
      </c>
      <c r="E111" s="284">
        <v>5000</v>
      </c>
      <c r="F111" s="284">
        <v>5000</v>
      </c>
      <c r="G111" s="284">
        <v>5000</v>
      </c>
      <c r="H111" s="162">
        <v>5000</v>
      </c>
      <c r="I111" s="162">
        <v>5000</v>
      </c>
      <c r="J111" s="179">
        <f t="shared" si="40"/>
        <v>100</v>
      </c>
      <c r="K111" s="162">
        <f t="shared" si="41"/>
        <v>0</v>
      </c>
      <c r="L111" s="85"/>
      <c r="M111" s="178">
        <f t="shared" si="46"/>
        <v>0</v>
      </c>
      <c r="N111" s="98"/>
      <c r="O111" s="187" t="s">
        <v>124</v>
      </c>
      <c r="P111" s="198" t="s">
        <v>292</v>
      </c>
      <c r="Q111" s="194"/>
      <c r="R111" s="188"/>
      <c r="S111" s="191"/>
      <c r="T111" s="188"/>
      <c r="U111" s="188"/>
      <c r="V111" s="188"/>
      <c r="AA111" s="87">
        <f t="shared" si="35"/>
        <v>0</v>
      </c>
      <c r="AB111" s="87" t="e">
        <f>#REF!-I111</f>
        <v>#REF!</v>
      </c>
    </row>
    <row r="112" spans="1:28" s="86" customFormat="1" ht="25.5" x14ac:dyDescent="0.2">
      <c r="A112" s="259">
        <v>7</v>
      </c>
      <c r="B112" s="83" t="s">
        <v>378</v>
      </c>
      <c r="C112" s="141" t="s">
        <v>383</v>
      </c>
      <c r="D112" s="84">
        <v>960</v>
      </c>
      <c r="E112" s="284">
        <v>480</v>
      </c>
      <c r="F112" s="284">
        <v>480</v>
      </c>
      <c r="G112" s="284">
        <v>480</v>
      </c>
      <c r="H112" s="162">
        <f>I112</f>
        <v>480</v>
      </c>
      <c r="I112" s="162">
        <v>480</v>
      </c>
      <c r="J112" s="179">
        <f t="shared" si="40"/>
        <v>100</v>
      </c>
      <c r="K112" s="162">
        <f t="shared" si="41"/>
        <v>0</v>
      </c>
      <c r="L112" s="85"/>
      <c r="M112" s="178">
        <f t="shared" si="46"/>
        <v>0</v>
      </c>
      <c r="N112" s="98"/>
      <c r="O112" s="187" t="s">
        <v>124</v>
      </c>
      <c r="P112" s="203" t="s">
        <v>303</v>
      </c>
      <c r="Q112" s="194"/>
      <c r="R112" s="188"/>
      <c r="S112" s="191"/>
      <c r="T112" s="188"/>
      <c r="U112" s="188"/>
      <c r="V112" s="188"/>
      <c r="AA112" s="87">
        <f t="shared" si="35"/>
        <v>0</v>
      </c>
      <c r="AB112" s="87" t="e">
        <f>#REF!-I112</f>
        <v>#REF!</v>
      </c>
    </row>
    <row r="113" spans="1:28" s="86" customFormat="1" ht="30.6" customHeight="1" x14ac:dyDescent="0.2">
      <c r="A113" s="259">
        <v>8</v>
      </c>
      <c r="B113" s="83" t="s">
        <v>379</v>
      </c>
      <c r="C113" s="141" t="s">
        <v>384</v>
      </c>
      <c r="D113" s="84">
        <v>702</v>
      </c>
      <c r="E113" s="284">
        <v>350</v>
      </c>
      <c r="F113" s="284">
        <v>350</v>
      </c>
      <c r="G113" s="284">
        <v>350</v>
      </c>
      <c r="H113" s="162">
        <f>I113</f>
        <v>349.89499999999998</v>
      </c>
      <c r="I113" s="162">
        <v>349.89499999999998</v>
      </c>
      <c r="J113" s="179">
        <f t="shared" si="40"/>
        <v>99.97</v>
      </c>
      <c r="K113" s="162">
        <f t="shared" si="41"/>
        <v>0.10500000000001819</v>
      </c>
      <c r="L113" s="244" t="s">
        <v>459</v>
      </c>
      <c r="M113" s="178">
        <f t="shared" si="46"/>
        <v>0.10500000000001819</v>
      </c>
      <c r="N113" s="98"/>
      <c r="O113" s="187" t="s">
        <v>124</v>
      </c>
      <c r="P113" s="203" t="s">
        <v>303</v>
      </c>
      <c r="Q113" s="194"/>
      <c r="R113" s="188"/>
      <c r="S113" s="191"/>
      <c r="T113" s="188"/>
      <c r="U113" s="188"/>
      <c r="V113" s="188"/>
      <c r="AA113" s="87">
        <f t="shared" si="35"/>
        <v>0.10500000000001819</v>
      </c>
      <c r="AB113" s="87" t="e">
        <f>#REF!-I113</f>
        <v>#REF!</v>
      </c>
    </row>
    <row r="114" spans="1:28" s="86" customFormat="1" ht="22.5" x14ac:dyDescent="0.2">
      <c r="A114" s="259">
        <v>9</v>
      </c>
      <c r="B114" s="83" t="s">
        <v>380</v>
      </c>
      <c r="C114" s="141" t="s">
        <v>385</v>
      </c>
      <c r="D114" s="84">
        <v>1120</v>
      </c>
      <c r="E114" s="284">
        <v>550</v>
      </c>
      <c r="F114" s="284">
        <v>550</v>
      </c>
      <c r="G114" s="284">
        <v>550</v>
      </c>
      <c r="H114" s="162">
        <f>I114</f>
        <v>475</v>
      </c>
      <c r="I114" s="162">
        <v>475</v>
      </c>
      <c r="J114" s="179">
        <f t="shared" si="40"/>
        <v>86.36363636363636</v>
      </c>
      <c r="K114" s="162">
        <f t="shared" si="41"/>
        <v>75</v>
      </c>
      <c r="L114" s="245"/>
      <c r="M114" s="178">
        <f t="shared" si="46"/>
        <v>75</v>
      </c>
      <c r="N114" s="98"/>
      <c r="O114" s="187" t="s">
        <v>124</v>
      </c>
      <c r="P114" s="203" t="s">
        <v>301</v>
      </c>
      <c r="Q114" s="194"/>
      <c r="R114" s="188"/>
      <c r="S114" s="191"/>
      <c r="T114" s="188"/>
      <c r="U114" s="188"/>
      <c r="V114" s="188"/>
      <c r="AA114" s="87">
        <f t="shared" si="35"/>
        <v>75</v>
      </c>
      <c r="AB114" s="87" t="e">
        <f>#REF!-I114</f>
        <v>#REF!</v>
      </c>
    </row>
    <row r="115" spans="1:28" s="86" customFormat="1" ht="25.5" x14ac:dyDescent="0.2">
      <c r="A115" s="259">
        <v>10</v>
      </c>
      <c r="B115" s="83" t="s">
        <v>381</v>
      </c>
      <c r="C115" s="141" t="s">
        <v>386</v>
      </c>
      <c r="D115" s="84">
        <v>2280</v>
      </c>
      <c r="E115" s="284">
        <v>1100</v>
      </c>
      <c r="F115" s="284">
        <v>1100</v>
      </c>
      <c r="G115" s="284">
        <v>1100</v>
      </c>
      <c r="H115" s="162">
        <f>I115</f>
        <v>1065.3869999999999</v>
      </c>
      <c r="I115" s="162">
        <v>1065.3869999999999</v>
      </c>
      <c r="J115" s="179">
        <f t="shared" si="40"/>
        <v>96.853363636363639</v>
      </c>
      <c r="K115" s="162">
        <f t="shared" si="41"/>
        <v>34.613000000000056</v>
      </c>
      <c r="L115" s="246"/>
      <c r="M115" s="178">
        <f t="shared" si="46"/>
        <v>34.613000000000056</v>
      </c>
      <c r="N115" s="98"/>
      <c r="O115" s="187" t="s">
        <v>124</v>
      </c>
      <c r="P115" s="203" t="s">
        <v>294</v>
      </c>
      <c r="Q115" s="194"/>
      <c r="R115" s="188"/>
      <c r="S115" s="191"/>
      <c r="T115" s="188"/>
      <c r="U115" s="188"/>
      <c r="V115" s="188"/>
      <c r="AA115" s="87">
        <f t="shared" si="35"/>
        <v>34.613000000000056</v>
      </c>
      <c r="AB115" s="87" t="e">
        <f>#REF!-I115</f>
        <v>#REF!</v>
      </c>
    </row>
    <row r="116" spans="1:28" x14ac:dyDescent="0.2">
      <c r="A116" s="267"/>
      <c r="B116" s="268"/>
      <c r="C116" s="269"/>
      <c r="D116" s="270"/>
      <c r="E116" s="270"/>
      <c r="F116" s="270"/>
      <c r="G116" s="270"/>
      <c r="H116" s="271"/>
      <c r="I116" s="271"/>
      <c r="J116" s="271"/>
      <c r="K116" s="272"/>
      <c r="L116" s="271"/>
      <c r="M116" s="273"/>
      <c r="N116" s="274"/>
      <c r="Q116" s="191" t="e">
        <f>#REF!-#REF!</f>
        <v>#REF!</v>
      </c>
    </row>
    <row r="117" spans="1:28" ht="13.5" x14ac:dyDescent="0.2">
      <c r="A117" s="239"/>
      <c r="B117" s="239"/>
      <c r="N117" s="99"/>
    </row>
    <row r="118" spans="1:28" hidden="1" x14ac:dyDescent="0.2">
      <c r="A118" s="134"/>
      <c r="B118" s="137" t="s">
        <v>416</v>
      </c>
      <c r="C118" s="137"/>
      <c r="D118" s="136">
        <f>SUM(D119:D137)</f>
        <v>379878.788</v>
      </c>
      <c r="E118" s="136">
        <f t="shared" ref="E118:N118" si="47">SUM(E119:E137)</f>
        <v>157053</v>
      </c>
      <c r="F118" s="136">
        <f t="shared" si="47"/>
        <v>0</v>
      </c>
      <c r="G118" s="136">
        <f t="shared" si="47"/>
        <v>0</v>
      </c>
      <c r="H118" s="136">
        <f t="shared" si="47"/>
        <v>134006.91899999999</v>
      </c>
      <c r="I118" s="136">
        <f t="shared" si="47"/>
        <v>134006.91899999999</v>
      </c>
      <c r="J118" s="136">
        <f t="shared" si="47"/>
        <v>6550.0087271063912</v>
      </c>
      <c r="K118" s="136">
        <f t="shared" si="47"/>
        <v>0</v>
      </c>
      <c r="L118" s="136">
        <f t="shared" si="47"/>
        <v>0</v>
      </c>
      <c r="M118" s="136">
        <f t="shared" si="47"/>
        <v>0</v>
      </c>
      <c r="N118" s="136">
        <f t="shared" si="47"/>
        <v>87</v>
      </c>
      <c r="O118" s="204"/>
      <c r="P118" s="205">
        <f>SUM(P119:P136)</f>
        <v>86</v>
      </c>
    </row>
    <row r="119" spans="1:28" hidden="1" x14ac:dyDescent="0.2">
      <c r="A119" s="129">
        <v>1</v>
      </c>
      <c r="B119" s="130" t="s">
        <v>292</v>
      </c>
      <c r="C119" s="128"/>
      <c r="D119" s="126">
        <f t="shared" ref="D119:D137" si="48">SUMIF($P$14:$P$115,B119,$D$14:$D$115)</f>
        <v>305013</v>
      </c>
      <c r="E119" s="126">
        <f t="shared" ref="E119:G137" si="49">SUMIF($P$14:$P$115,B119,$E$14:$E$115)</f>
        <v>108162</v>
      </c>
      <c r="F119" s="126"/>
      <c r="G119" s="126">
        <f t="shared" si="49"/>
        <v>0</v>
      </c>
      <c r="H119" s="126">
        <f t="shared" ref="H119:H137" si="50">SUMIF($P$14:$P$115,B119,$H$14:$H$115)</f>
        <v>103754.84999999999</v>
      </c>
      <c r="I119" s="126">
        <f t="shared" ref="I119:I137" si="51">SUMIF($P$14:$P$115,B119,$I$14:$I$115)</f>
        <v>103754.84999999999</v>
      </c>
      <c r="J119" s="126">
        <f t="shared" ref="J119:J137" si="52">SUMIF($P$14:$P$115,B119,$J$14:$J$115)</f>
        <v>3650.2562682808002</v>
      </c>
      <c r="K119" s="126"/>
      <c r="L119" s="126">
        <f t="shared" ref="L119:L137" si="53">SUMIF($P$14:$P$115,B119,$L$14:$L$115)</f>
        <v>0</v>
      </c>
      <c r="M119" s="126"/>
      <c r="N119" s="108">
        <f>COUNTIF($P$14:$P$116,B119)</f>
        <v>38</v>
      </c>
      <c r="O119" s="206"/>
      <c r="P119" s="207">
        <f t="shared" ref="P119:P137" si="54">COUNTIF($P$12:$P$115,B119)</f>
        <v>38</v>
      </c>
    </row>
    <row r="120" spans="1:28" hidden="1" x14ac:dyDescent="0.2">
      <c r="A120" s="129">
        <v>2</v>
      </c>
      <c r="B120" s="128" t="s">
        <v>415</v>
      </c>
      <c r="C120" s="128"/>
      <c r="D120" s="126">
        <f t="shared" si="48"/>
        <v>0</v>
      </c>
      <c r="E120" s="126">
        <f t="shared" si="49"/>
        <v>0</v>
      </c>
      <c r="F120" s="126"/>
      <c r="G120" s="126"/>
      <c r="H120" s="126">
        <f t="shared" si="50"/>
        <v>0</v>
      </c>
      <c r="I120" s="126">
        <f t="shared" si="51"/>
        <v>0</v>
      </c>
      <c r="J120" s="126">
        <f t="shared" si="52"/>
        <v>0</v>
      </c>
      <c r="K120" s="126"/>
      <c r="L120" s="126">
        <f t="shared" si="53"/>
        <v>0</v>
      </c>
      <c r="M120" s="126"/>
      <c r="N120" s="108">
        <f t="shared" ref="N120:N137" si="55">COUNTIF($P$14:$P$116,B120)</f>
        <v>0</v>
      </c>
      <c r="O120" s="206"/>
      <c r="P120" s="207">
        <f t="shared" si="54"/>
        <v>0</v>
      </c>
    </row>
    <row r="121" spans="1:28" hidden="1" x14ac:dyDescent="0.2">
      <c r="A121" s="129">
        <v>3</v>
      </c>
      <c r="B121" s="128" t="s">
        <v>414</v>
      </c>
      <c r="C121" s="128"/>
      <c r="D121" s="126">
        <f t="shared" si="48"/>
        <v>0</v>
      </c>
      <c r="E121" s="126">
        <f t="shared" si="49"/>
        <v>0</v>
      </c>
      <c r="F121" s="126"/>
      <c r="G121" s="126"/>
      <c r="H121" s="126">
        <f t="shared" si="50"/>
        <v>0</v>
      </c>
      <c r="I121" s="126">
        <f t="shared" si="51"/>
        <v>0</v>
      </c>
      <c r="J121" s="126">
        <f t="shared" si="52"/>
        <v>0</v>
      </c>
      <c r="K121" s="126"/>
      <c r="L121" s="126">
        <f t="shared" si="53"/>
        <v>0</v>
      </c>
      <c r="M121" s="126"/>
      <c r="N121" s="108">
        <f t="shared" si="55"/>
        <v>0</v>
      </c>
      <c r="O121" s="206"/>
      <c r="P121" s="207">
        <f t="shared" si="54"/>
        <v>0</v>
      </c>
    </row>
    <row r="122" spans="1:28" hidden="1" x14ac:dyDescent="0.2">
      <c r="A122" s="129">
        <v>4</v>
      </c>
      <c r="B122" s="74" t="s">
        <v>413</v>
      </c>
      <c r="C122" s="128"/>
      <c r="D122" s="126">
        <f t="shared" si="48"/>
        <v>0</v>
      </c>
      <c r="E122" s="126">
        <f t="shared" si="49"/>
        <v>0</v>
      </c>
      <c r="F122" s="126"/>
      <c r="G122" s="126"/>
      <c r="H122" s="126">
        <f t="shared" si="50"/>
        <v>0</v>
      </c>
      <c r="I122" s="126">
        <f t="shared" si="51"/>
        <v>0</v>
      </c>
      <c r="J122" s="126">
        <f t="shared" si="52"/>
        <v>0</v>
      </c>
      <c r="K122" s="126"/>
      <c r="L122" s="126">
        <f t="shared" si="53"/>
        <v>0</v>
      </c>
      <c r="M122" s="126"/>
      <c r="N122" s="108">
        <f t="shared" si="55"/>
        <v>0</v>
      </c>
      <c r="O122" s="206"/>
      <c r="P122" s="207">
        <f t="shared" si="54"/>
        <v>0</v>
      </c>
    </row>
    <row r="123" spans="1:28" hidden="1" x14ac:dyDescent="0.2">
      <c r="A123" s="129">
        <v>5</v>
      </c>
      <c r="B123" s="131" t="s">
        <v>349</v>
      </c>
      <c r="C123" s="128"/>
      <c r="D123" s="126">
        <f t="shared" si="48"/>
        <v>1500</v>
      </c>
      <c r="E123" s="126">
        <f t="shared" si="49"/>
        <v>1000</v>
      </c>
      <c r="F123" s="126"/>
      <c r="G123" s="126"/>
      <c r="H123" s="126">
        <f t="shared" si="50"/>
        <v>340.24</v>
      </c>
      <c r="I123" s="126">
        <f t="shared" si="51"/>
        <v>340.24</v>
      </c>
      <c r="J123" s="126">
        <f t="shared" si="52"/>
        <v>34.024000000000001</v>
      </c>
      <c r="K123" s="126"/>
      <c r="L123" s="126">
        <f t="shared" si="53"/>
        <v>0</v>
      </c>
      <c r="M123" s="126"/>
      <c r="N123" s="108">
        <f t="shared" si="55"/>
        <v>1</v>
      </c>
      <c r="O123" s="206"/>
      <c r="P123" s="207">
        <f t="shared" si="54"/>
        <v>1</v>
      </c>
    </row>
    <row r="124" spans="1:28" hidden="1" x14ac:dyDescent="0.2">
      <c r="A124" s="129">
        <v>6</v>
      </c>
      <c r="B124" s="132" t="s">
        <v>298</v>
      </c>
      <c r="C124" s="128"/>
      <c r="D124" s="126">
        <f t="shared" si="48"/>
        <v>5915.2370000000001</v>
      </c>
      <c r="E124" s="126">
        <f t="shared" si="49"/>
        <v>3400</v>
      </c>
      <c r="F124" s="126"/>
      <c r="G124" s="126"/>
      <c r="H124" s="126">
        <f t="shared" si="50"/>
        <v>1600</v>
      </c>
      <c r="I124" s="126">
        <f t="shared" si="51"/>
        <v>1600</v>
      </c>
      <c r="J124" s="126">
        <f t="shared" si="52"/>
        <v>200</v>
      </c>
      <c r="K124" s="126"/>
      <c r="L124" s="126">
        <f t="shared" si="53"/>
        <v>0</v>
      </c>
      <c r="M124" s="126"/>
      <c r="N124" s="108">
        <f t="shared" si="55"/>
        <v>3</v>
      </c>
      <c r="O124" s="206"/>
      <c r="P124" s="207">
        <f t="shared" si="54"/>
        <v>3</v>
      </c>
    </row>
    <row r="125" spans="1:28" hidden="1" x14ac:dyDescent="0.2">
      <c r="A125" s="129">
        <v>7</v>
      </c>
      <c r="B125" s="131" t="s">
        <v>303</v>
      </c>
      <c r="C125" s="128"/>
      <c r="D125" s="126">
        <f t="shared" si="48"/>
        <v>4505.8599999999997</v>
      </c>
      <c r="E125" s="126">
        <f t="shared" si="49"/>
        <v>3030</v>
      </c>
      <c r="F125" s="126"/>
      <c r="G125" s="126"/>
      <c r="H125" s="126">
        <f t="shared" si="50"/>
        <v>1429.895</v>
      </c>
      <c r="I125" s="126">
        <f t="shared" si="51"/>
        <v>1429.895</v>
      </c>
      <c r="J125" s="126">
        <f t="shared" si="52"/>
        <v>299.97000000000003</v>
      </c>
      <c r="K125" s="126"/>
      <c r="L125" s="126">
        <f t="shared" si="53"/>
        <v>0</v>
      </c>
      <c r="M125" s="126"/>
      <c r="N125" s="108">
        <f t="shared" si="55"/>
        <v>4</v>
      </c>
      <c r="O125" s="206"/>
      <c r="P125" s="207">
        <f t="shared" si="54"/>
        <v>4</v>
      </c>
    </row>
    <row r="126" spans="1:28" hidden="1" x14ac:dyDescent="0.2">
      <c r="A126" s="129">
        <v>8</v>
      </c>
      <c r="B126" s="131" t="s">
        <v>301</v>
      </c>
      <c r="C126" s="128"/>
      <c r="D126" s="126">
        <f t="shared" si="48"/>
        <v>6736.0990000000002</v>
      </c>
      <c r="E126" s="126">
        <f t="shared" si="49"/>
        <v>4390</v>
      </c>
      <c r="F126" s="126"/>
      <c r="G126" s="126"/>
      <c r="H126" s="126">
        <f t="shared" si="50"/>
        <v>2624.799</v>
      </c>
      <c r="I126" s="126">
        <f t="shared" si="51"/>
        <v>2624.799</v>
      </c>
      <c r="J126" s="126">
        <f t="shared" si="52"/>
        <v>265.60741685144126</v>
      </c>
      <c r="K126" s="126"/>
      <c r="L126" s="126">
        <f t="shared" si="53"/>
        <v>0</v>
      </c>
      <c r="M126" s="126"/>
      <c r="N126" s="108">
        <f t="shared" si="55"/>
        <v>7</v>
      </c>
      <c r="O126" s="206"/>
      <c r="P126" s="207">
        <f t="shared" si="54"/>
        <v>7</v>
      </c>
      <c r="S126" s="188">
        <v>7</v>
      </c>
      <c r="T126" s="192">
        <f>E126</f>
        <v>4390</v>
      </c>
    </row>
    <row r="127" spans="1:28" hidden="1" x14ac:dyDescent="0.2">
      <c r="A127" s="129">
        <v>9</v>
      </c>
      <c r="B127" s="131" t="s">
        <v>294</v>
      </c>
      <c r="C127" s="128"/>
      <c r="D127" s="126">
        <f t="shared" si="48"/>
        <v>7480</v>
      </c>
      <c r="E127" s="126">
        <f t="shared" si="49"/>
        <v>3810</v>
      </c>
      <c r="F127" s="126"/>
      <c r="G127" s="126"/>
      <c r="H127" s="126">
        <f t="shared" si="50"/>
        <v>3774.7870000000003</v>
      </c>
      <c r="I127" s="126">
        <f t="shared" si="51"/>
        <v>3774.7870000000003</v>
      </c>
      <c r="J127" s="126">
        <f t="shared" si="52"/>
        <v>396.56764935064939</v>
      </c>
      <c r="K127" s="126"/>
      <c r="L127" s="126">
        <f t="shared" si="53"/>
        <v>0</v>
      </c>
      <c r="M127" s="126"/>
      <c r="N127" s="108">
        <f t="shared" si="55"/>
        <v>4</v>
      </c>
      <c r="O127" s="206"/>
      <c r="P127" s="207">
        <f t="shared" si="54"/>
        <v>4</v>
      </c>
    </row>
    <row r="128" spans="1:28" hidden="1" x14ac:dyDescent="0.2">
      <c r="A128" s="129">
        <v>10</v>
      </c>
      <c r="B128" s="133" t="s">
        <v>300</v>
      </c>
      <c r="C128" s="128"/>
      <c r="D128" s="126">
        <f t="shared" si="48"/>
        <v>1800</v>
      </c>
      <c r="E128" s="126">
        <f t="shared" si="49"/>
        <v>1650</v>
      </c>
      <c r="F128" s="126"/>
      <c r="G128" s="126"/>
      <c r="H128" s="126">
        <f t="shared" si="50"/>
        <v>1352.749</v>
      </c>
      <c r="I128" s="126">
        <f t="shared" si="51"/>
        <v>1352.749</v>
      </c>
      <c r="J128" s="126">
        <f t="shared" si="52"/>
        <v>81.984787878787884</v>
      </c>
      <c r="K128" s="126"/>
      <c r="L128" s="126">
        <f t="shared" si="53"/>
        <v>0</v>
      </c>
      <c r="M128" s="126"/>
      <c r="N128" s="108">
        <f t="shared" si="55"/>
        <v>1</v>
      </c>
      <c r="O128" s="206"/>
      <c r="P128" s="207">
        <f t="shared" si="54"/>
        <v>1</v>
      </c>
    </row>
    <row r="129" spans="1:20" hidden="1" x14ac:dyDescent="0.2">
      <c r="A129" s="129">
        <v>11</v>
      </c>
      <c r="B129" s="131" t="s">
        <v>348</v>
      </c>
      <c r="C129" s="128"/>
      <c r="D129" s="126">
        <f t="shared" si="48"/>
        <v>3600</v>
      </c>
      <c r="E129" s="126">
        <f t="shared" si="49"/>
        <v>1900</v>
      </c>
      <c r="F129" s="126"/>
      <c r="G129" s="126"/>
      <c r="H129" s="126">
        <f t="shared" si="50"/>
        <v>1556.2809999999999</v>
      </c>
      <c r="I129" s="126">
        <f t="shared" si="51"/>
        <v>1556.2809999999999</v>
      </c>
      <c r="J129" s="126">
        <f t="shared" si="52"/>
        <v>81.909526315789478</v>
      </c>
      <c r="K129" s="126"/>
      <c r="L129" s="126">
        <f t="shared" si="53"/>
        <v>0</v>
      </c>
      <c r="M129" s="126"/>
      <c r="N129" s="108">
        <f t="shared" si="55"/>
        <v>1</v>
      </c>
      <c r="O129" s="206"/>
      <c r="P129" s="207">
        <f t="shared" si="54"/>
        <v>1</v>
      </c>
    </row>
    <row r="130" spans="1:20" hidden="1" x14ac:dyDescent="0.2">
      <c r="A130" s="129">
        <v>12</v>
      </c>
      <c r="B130" s="131" t="s">
        <v>304</v>
      </c>
      <c r="C130" s="128"/>
      <c r="D130" s="126">
        <f t="shared" si="48"/>
        <v>2500</v>
      </c>
      <c r="E130" s="126">
        <f t="shared" si="49"/>
        <v>2000</v>
      </c>
      <c r="F130" s="126"/>
      <c r="G130" s="126"/>
      <c r="H130" s="126">
        <f t="shared" si="50"/>
        <v>563.67899999999997</v>
      </c>
      <c r="I130" s="126">
        <f t="shared" si="51"/>
        <v>563.67899999999997</v>
      </c>
      <c r="J130" s="126">
        <f t="shared" si="52"/>
        <v>35.229937499999998</v>
      </c>
      <c r="K130" s="126"/>
      <c r="L130" s="126">
        <f t="shared" si="53"/>
        <v>0</v>
      </c>
      <c r="M130" s="126"/>
      <c r="N130" s="108">
        <f t="shared" si="55"/>
        <v>3</v>
      </c>
      <c r="O130" s="206"/>
      <c r="P130" s="207">
        <f t="shared" si="54"/>
        <v>3</v>
      </c>
    </row>
    <row r="131" spans="1:20" hidden="1" x14ac:dyDescent="0.2">
      <c r="A131" s="129">
        <v>13</v>
      </c>
      <c r="B131" s="131" t="s">
        <v>296</v>
      </c>
      <c r="C131" s="128"/>
      <c r="D131" s="126">
        <f t="shared" si="48"/>
        <v>6486</v>
      </c>
      <c r="E131" s="126">
        <f t="shared" si="49"/>
        <v>3557</v>
      </c>
      <c r="F131" s="126"/>
      <c r="G131" s="126"/>
      <c r="H131" s="126">
        <f t="shared" si="50"/>
        <v>168.59399999999999</v>
      </c>
      <c r="I131" s="126">
        <f t="shared" si="51"/>
        <v>168.59399999999999</v>
      </c>
      <c r="J131" s="126">
        <f t="shared" si="52"/>
        <v>10.537125</v>
      </c>
      <c r="K131" s="126"/>
      <c r="L131" s="126">
        <f t="shared" si="53"/>
        <v>0</v>
      </c>
      <c r="M131" s="126"/>
      <c r="N131" s="108">
        <f t="shared" si="55"/>
        <v>3</v>
      </c>
      <c r="O131" s="206"/>
      <c r="P131" s="207">
        <f t="shared" si="54"/>
        <v>3</v>
      </c>
      <c r="S131" s="188">
        <v>3</v>
      </c>
      <c r="T131" s="192">
        <f>E131</f>
        <v>3557</v>
      </c>
    </row>
    <row r="132" spans="1:20" hidden="1" x14ac:dyDescent="0.2">
      <c r="A132" s="129">
        <v>14</v>
      </c>
      <c r="B132" s="131" t="s">
        <v>302</v>
      </c>
      <c r="C132" s="128"/>
      <c r="D132" s="126">
        <f t="shared" si="48"/>
        <v>10650</v>
      </c>
      <c r="E132" s="126">
        <f t="shared" si="49"/>
        <v>6695</v>
      </c>
      <c r="F132" s="126"/>
      <c r="G132" s="126"/>
      <c r="H132" s="126">
        <f t="shared" si="50"/>
        <v>4786.5659999999998</v>
      </c>
      <c r="I132" s="126">
        <f t="shared" si="51"/>
        <v>4786.5659999999998</v>
      </c>
      <c r="J132" s="126">
        <f t="shared" si="52"/>
        <v>224.22586350235582</v>
      </c>
      <c r="K132" s="126"/>
      <c r="L132" s="126">
        <f t="shared" si="53"/>
        <v>0</v>
      </c>
      <c r="M132" s="126"/>
      <c r="N132" s="108">
        <f t="shared" si="55"/>
        <v>3</v>
      </c>
      <c r="O132" s="206"/>
      <c r="P132" s="207">
        <f t="shared" si="54"/>
        <v>3</v>
      </c>
    </row>
    <row r="133" spans="1:20" hidden="1" x14ac:dyDescent="0.2">
      <c r="A133" s="129">
        <v>15</v>
      </c>
      <c r="B133" s="131" t="s">
        <v>295</v>
      </c>
      <c r="C133" s="128"/>
      <c r="D133" s="126">
        <f t="shared" si="48"/>
        <v>3890</v>
      </c>
      <c r="E133" s="126">
        <f t="shared" si="49"/>
        <v>2950</v>
      </c>
      <c r="F133" s="126"/>
      <c r="G133" s="126"/>
      <c r="H133" s="126">
        <f t="shared" si="50"/>
        <v>2107.9659999999999</v>
      </c>
      <c r="I133" s="126">
        <f t="shared" si="51"/>
        <v>2107.9659999999999</v>
      </c>
      <c r="J133" s="126">
        <f t="shared" si="52"/>
        <v>191.3918787878788</v>
      </c>
      <c r="K133" s="126"/>
      <c r="L133" s="126">
        <f t="shared" si="53"/>
        <v>0</v>
      </c>
      <c r="M133" s="126"/>
      <c r="N133" s="108">
        <f t="shared" si="55"/>
        <v>5</v>
      </c>
      <c r="O133" s="206"/>
      <c r="P133" s="207">
        <f t="shared" si="54"/>
        <v>5</v>
      </c>
      <c r="S133" s="188">
        <v>5</v>
      </c>
      <c r="T133" s="192">
        <f>E133</f>
        <v>2950</v>
      </c>
    </row>
    <row r="134" spans="1:20" hidden="1" x14ac:dyDescent="0.2">
      <c r="A134" s="129">
        <v>16</v>
      </c>
      <c r="B134" s="131" t="s">
        <v>293</v>
      </c>
      <c r="C134" s="128"/>
      <c r="D134" s="126">
        <f t="shared" si="48"/>
        <v>4166</v>
      </c>
      <c r="E134" s="126">
        <f t="shared" si="49"/>
        <v>3150</v>
      </c>
      <c r="F134" s="126"/>
      <c r="G134" s="126"/>
      <c r="H134" s="126">
        <f t="shared" si="50"/>
        <v>3053.2</v>
      </c>
      <c r="I134" s="126">
        <f t="shared" si="51"/>
        <v>3053.2</v>
      </c>
      <c r="J134" s="126">
        <f t="shared" si="52"/>
        <v>588.61176470588236</v>
      </c>
      <c r="K134" s="126"/>
      <c r="L134" s="126">
        <f t="shared" si="53"/>
        <v>0</v>
      </c>
      <c r="M134" s="126"/>
      <c r="N134" s="108">
        <f t="shared" si="55"/>
        <v>6</v>
      </c>
      <c r="O134" s="206"/>
      <c r="P134" s="207">
        <f t="shared" si="54"/>
        <v>6</v>
      </c>
      <c r="S134" s="188">
        <v>6</v>
      </c>
      <c r="T134" s="192">
        <f>E134</f>
        <v>3150</v>
      </c>
    </row>
    <row r="135" spans="1:20" hidden="1" x14ac:dyDescent="0.2">
      <c r="A135" s="129">
        <v>17</v>
      </c>
      <c r="B135" s="131" t="s">
        <v>299</v>
      </c>
      <c r="C135" s="128"/>
      <c r="D135" s="126">
        <f t="shared" si="48"/>
        <v>3936.5920000000001</v>
      </c>
      <c r="E135" s="126">
        <f t="shared" si="49"/>
        <v>2746</v>
      </c>
      <c r="F135" s="126"/>
      <c r="G135" s="126"/>
      <c r="H135" s="126">
        <f t="shared" si="50"/>
        <v>1986.44</v>
      </c>
      <c r="I135" s="126">
        <f t="shared" si="51"/>
        <v>1986.44</v>
      </c>
      <c r="J135" s="126">
        <f t="shared" si="52"/>
        <v>233.41758893280632</v>
      </c>
      <c r="K135" s="126"/>
      <c r="L135" s="126">
        <f t="shared" si="53"/>
        <v>0</v>
      </c>
      <c r="M135" s="126"/>
      <c r="N135" s="108">
        <f t="shared" si="55"/>
        <v>3</v>
      </c>
      <c r="O135" s="206"/>
      <c r="P135" s="207">
        <f t="shared" si="54"/>
        <v>3</v>
      </c>
      <c r="S135" s="188">
        <v>3</v>
      </c>
      <c r="T135" s="192">
        <f>E135</f>
        <v>2746</v>
      </c>
    </row>
    <row r="136" spans="1:20" hidden="1" x14ac:dyDescent="0.2">
      <c r="A136" s="129">
        <v>18</v>
      </c>
      <c r="B136" s="131" t="s">
        <v>297</v>
      </c>
      <c r="C136" s="128"/>
      <c r="D136" s="126">
        <f t="shared" si="48"/>
        <v>11700</v>
      </c>
      <c r="E136" s="126">
        <f t="shared" si="49"/>
        <v>6800</v>
      </c>
      <c r="F136" s="126"/>
      <c r="G136" s="126"/>
      <c r="H136" s="126">
        <f t="shared" si="50"/>
        <v>4906.8729999999996</v>
      </c>
      <c r="I136" s="126">
        <f t="shared" si="51"/>
        <v>4906.8729999999996</v>
      </c>
      <c r="J136" s="126">
        <f t="shared" si="52"/>
        <v>256.27492000000001</v>
      </c>
      <c r="K136" s="126"/>
      <c r="L136" s="126">
        <f t="shared" si="53"/>
        <v>0</v>
      </c>
      <c r="M136" s="126"/>
      <c r="N136" s="108">
        <f t="shared" si="55"/>
        <v>4</v>
      </c>
      <c r="O136" s="206"/>
      <c r="P136" s="207">
        <f t="shared" si="54"/>
        <v>4</v>
      </c>
      <c r="S136" s="188">
        <v>4</v>
      </c>
      <c r="T136" s="192">
        <f>E136</f>
        <v>6800</v>
      </c>
    </row>
    <row r="137" spans="1:20" hidden="1" x14ac:dyDescent="0.2">
      <c r="A137" s="129">
        <v>19</v>
      </c>
      <c r="B137" s="131" t="s">
        <v>429</v>
      </c>
      <c r="C137" s="128"/>
      <c r="D137" s="214">
        <f t="shared" si="48"/>
        <v>0</v>
      </c>
      <c r="E137" s="214">
        <f t="shared" si="49"/>
        <v>1813</v>
      </c>
      <c r="F137" s="214"/>
      <c r="G137" s="214"/>
      <c r="H137" s="215">
        <f t="shared" si="50"/>
        <v>0</v>
      </c>
      <c r="I137" s="215">
        <f t="shared" si="51"/>
        <v>0</v>
      </c>
      <c r="J137" s="215">
        <f t="shared" si="52"/>
        <v>0</v>
      </c>
      <c r="K137" s="215"/>
      <c r="L137" s="215">
        <f t="shared" si="53"/>
        <v>0</v>
      </c>
      <c r="M137" s="213"/>
      <c r="N137" s="108">
        <f t="shared" si="55"/>
        <v>1</v>
      </c>
      <c r="P137" s="188">
        <f t="shared" si="54"/>
        <v>1</v>
      </c>
      <c r="S137" s="188">
        <f>SUM(S126:S136)</f>
        <v>28</v>
      </c>
      <c r="T137" s="188">
        <f>E137</f>
        <v>1813</v>
      </c>
    </row>
    <row r="138" spans="1:20" hidden="1" x14ac:dyDescent="0.2">
      <c r="A138" s="158"/>
      <c r="E138" s="88"/>
      <c r="F138" s="88"/>
      <c r="G138" s="88"/>
      <c r="H138" s="88"/>
    </row>
    <row r="143" spans="1:20" x14ac:dyDescent="0.2">
      <c r="D143" s="79">
        <f>D8-D118</f>
        <v>0</v>
      </c>
      <c r="E143" s="79">
        <f>E8-E118</f>
        <v>0</v>
      </c>
      <c r="F143" s="79"/>
      <c r="G143" s="79"/>
      <c r="H143" s="79">
        <f>H8-H118</f>
        <v>0</v>
      </c>
      <c r="I143" s="79">
        <f>I8-I118</f>
        <v>0</v>
      </c>
      <c r="J143" s="79"/>
      <c r="K143" s="79"/>
      <c r="L143" s="79">
        <f>L8-L118</f>
        <v>0</v>
      </c>
      <c r="M143" s="79"/>
    </row>
  </sheetData>
  <mergeCells count="30">
    <mergeCell ref="R5:R7"/>
    <mergeCell ref="N5:N7"/>
    <mergeCell ref="A117:B117"/>
    <mergeCell ref="A5:A7"/>
    <mergeCell ref="B5:B7"/>
    <mergeCell ref="P5:P7"/>
    <mergeCell ref="D5:D7"/>
    <mergeCell ref="E5:F5"/>
    <mergeCell ref="E6:E7"/>
    <mergeCell ref="K5:L5"/>
    <mergeCell ref="K6:K7"/>
    <mergeCell ref="L6:L7"/>
    <mergeCell ref="M5:M7"/>
    <mergeCell ref="G5:G7"/>
    <mergeCell ref="H5:I5"/>
    <mergeCell ref="H6:H7"/>
    <mergeCell ref="A1:N1"/>
    <mergeCell ref="A2:N2"/>
    <mergeCell ref="A3:N3"/>
    <mergeCell ref="C5:C7"/>
    <mergeCell ref="F6:F7"/>
    <mergeCell ref="I6:I7"/>
    <mergeCell ref="J5:J7"/>
    <mergeCell ref="L28:L33"/>
    <mergeCell ref="L22:L23"/>
    <mergeCell ref="L46:L48"/>
    <mergeCell ref="L113:L115"/>
    <mergeCell ref="L95:L104"/>
    <mergeCell ref="L70:L71"/>
    <mergeCell ref="L54:L57"/>
  </mergeCells>
  <printOptions horizontalCentered="1"/>
  <pageMargins left="0.36" right="0.38" top="0.63" bottom="0.511811023622047" header="0.511811023622047" footer="0.511811023622047"/>
  <pageSetup paperSize="9" scale="80" orientation="landscape" r:id="rId1"/>
  <headerFooter>
    <oddHeader>Page &amp;P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Bieu CKGN (ko in)</vt:lpstr>
      <vt:lpstr>Sheet1</vt:lpstr>
      <vt:lpstr>Biểu 1</vt:lpstr>
      <vt:lpstr>Bieu 2</vt:lpstr>
      <vt:lpstr>Bieu 3</vt:lpstr>
      <vt:lpstr>Bieu 4</vt:lpstr>
      <vt:lpstr>'Bieu 2'!Print_Area</vt:lpstr>
      <vt:lpstr>'Bieu 3'!Print_Area</vt:lpstr>
      <vt:lpstr>'Bieu 4'!Print_Area</vt:lpstr>
      <vt:lpstr>'Bieu 2'!Print_Titles</vt:lpstr>
      <vt:lpstr>'Bieu 3'!Print_Titles</vt:lpstr>
      <vt:lpstr>'Bieu 4'!Print_Titles</vt:lpstr>
      <vt:lpstr>'Bieu CKGN (ko in)'!Print_Titles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ismail - [2010]</cp:lastModifiedBy>
  <cp:lastPrinted>2023-02-14T10:00:00Z</cp:lastPrinted>
  <dcterms:created xsi:type="dcterms:W3CDTF">2022-01-17T07:13:25Z</dcterms:created>
  <dcterms:modified xsi:type="dcterms:W3CDTF">2023-02-14T10:00:39Z</dcterms:modified>
</cp:coreProperties>
</file>