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TÀI LIỆU TỪ 05-7-2022\Phòng TC-KH\Năm 2023\BC\BC tháng 02 năm 2023\"/>
    </mc:Choice>
  </mc:AlternateContent>
  <bookViews>
    <workbookView xWindow="0" yWindow="0" windowWidth="20490" windowHeight="7665" firstSheet="1" activeTab="1"/>
  </bookViews>
  <sheets>
    <sheet name="Bieu CKGN (ko in)" sheetId="1" state="hidden" r:id="rId1"/>
    <sheet name="Bieu T1" sheetId="2" r:id="rId2"/>
    <sheet name="Sheet1" sheetId="3" state="hidden" r:id="rId3"/>
  </sheets>
  <definedNames>
    <definedName name="_xlnm.Print_Area" localSheetId="1">'Bieu T1'!$A$1:$AB$218</definedName>
    <definedName name="_xlnm.Print_Titles" localSheetId="0">'Bieu CKGN (ko in)'!$5:$6</definedName>
    <definedName name="_xlnm.Print_Titles" localSheetId="1">'Bieu T1'!$5:$7</definedName>
  </definedNames>
  <calcPr calcId="162913"/>
</workbook>
</file>

<file path=xl/calcChain.xml><?xml version="1.0" encoding="utf-8"?>
<calcChain xmlns="http://schemas.openxmlformats.org/spreadsheetml/2006/main">
  <c r="O97" i="2" l="1"/>
  <c r="O60" i="2"/>
  <c r="O22" i="2"/>
  <c r="O20" i="2"/>
  <c r="AC127" i="2" l="1"/>
  <c r="L22" i="2"/>
  <c r="N184" i="2" l="1"/>
  <c r="N183" i="2"/>
  <c r="N182" i="2"/>
  <c r="N181" i="2"/>
  <c r="N180" i="2"/>
  <c r="N179" i="2"/>
  <c r="N161" i="2"/>
  <c r="N154" i="2"/>
  <c r="N153" i="2"/>
  <c r="N152" i="2"/>
  <c r="N151" i="2"/>
  <c r="N150" i="2"/>
  <c r="N149" i="2"/>
  <c r="N127" i="2"/>
  <c r="N124" i="2"/>
  <c r="N121" i="2"/>
  <c r="N120" i="2"/>
  <c r="N113" i="2"/>
  <c r="N73" i="2"/>
  <c r="N66" i="2"/>
  <c r="N61" i="2"/>
  <c r="N62" i="2"/>
  <c r="N63" i="2"/>
  <c r="N41" i="2" l="1"/>
  <c r="N40" i="2"/>
  <c r="N39" i="2"/>
  <c r="N38" i="2"/>
  <c r="R185" i="2" l="1"/>
  <c r="S158" i="2"/>
  <c r="S157" i="2"/>
  <c r="K126" i="2"/>
  <c r="L126" i="2"/>
  <c r="M126" i="2"/>
  <c r="N126" i="2"/>
  <c r="O126" i="2"/>
  <c r="P126" i="2"/>
  <c r="Q126" i="2"/>
  <c r="R126" i="2"/>
  <c r="S126" i="2"/>
  <c r="T162" i="2" l="1"/>
  <c r="U162" i="2"/>
  <c r="V162" i="2"/>
  <c r="J126" i="2"/>
  <c r="H84" i="2"/>
  <c r="I84" i="2"/>
  <c r="J84" i="2"/>
  <c r="K84" i="2"/>
  <c r="L84" i="2"/>
  <c r="M84" i="2"/>
  <c r="O84" i="2"/>
  <c r="P84" i="2"/>
  <c r="Q84" i="2"/>
  <c r="T84" i="2"/>
  <c r="U84" i="2"/>
  <c r="V84" i="2"/>
  <c r="H82" i="2"/>
  <c r="I82" i="2"/>
  <c r="I81" i="2" s="1"/>
  <c r="J82" i="2"/>
  <c r="K82" i="2"/>
  <c r="K81" i="2" s="1"/>
  <c r="L82" i="2"/>
  <c r="M82" i="2"/>
  <c r="M81" i="2" s="1"/>
  <c r="O82" i="2"/>
  <c r="O81" i="2"/>
  <c r="H123" i="2"/>
  <c r="H122" i="2" s="1"/>
  <c r="I123" i="2"/>
  <c r="I122" i="2" s="1"/>
  <c r="J123" i="2"/>
  <c r="J122" i="2" s="1"/>
  <c r="K123" i="2"/>
  <c r="K122" i="2" s="1"/>
  <c r="L123" i="2"/>
  <c r="L122" i="2" s="1"/>
  <c r="M123" i="2"/>
  <c r="M122" i="2" s="1"/>
  <c r="N123" i="2"/>
  <c r="N122" i="2" s="1"/>
  <c r="O123" i="2"/>
  <c r="O122" i="2" s="1"/>
  <c r="T123" i="2"/>
  <c r="T122" i="2" s="1"/>
  <c r="U123" i="2"/>
  <c r="U122" i="2" s="1"/>
  <c r="V123" i="2"/>
  <c r="V122" i="2" s="1"/>
  <c r="G123" i="2"/>
  <c r="G122" i="2" s="1"/>
  <c r="Q119" i="2"/>
  <c r="P119" i="2"/>
  <c r="O119" i="2"/>
  <c r="N119" i="2"/>
  <c r="M119" i="2"/>
  <c r="L119" i="2"/>
  <c r="K119" i="2"/>
  <c r="J119" i="2"/>
  <c r="I119" i="2"/>
  <c r="H119" i="2"/>
  <c r="G119" i="2"/>
  <c r="H116" i="2"/>
  <c r="H115" i="2" s="1"/>
  <c r="I116" i="2"/>
  <c r="I115" i="2" s="1"/>
  <c r="J116" i="2"/>
  <c r="K116" i="2"/>
  <c r="L116" i="2"/>
  <c r="M116" i="2"/>
  <c r="M115" i="2" s="1"/>
  <c r="O116" i="2"/>
  <c r="Q116" i="2"/>
  <c r="L115" i="2"/>
  <c r="T116" i="2"/>
  <c r="U116" i="2"/>
  <c r="V116" i="2"/>
  <c r="G116" i="2"/>
  <c r="L81" i="2" l="1"/>
  <c r="H81" i="2"/>
  <c r="J81" i="2"/>
  <c r="Q115" i="2"/>
  <c r="G115" i="2"/>
  <c r="K115" i="2"/>
  <c r="O115" i="2"/>
  <c r="J115" i="2"/>
  <c r="H187" i="2"/>
  <c r="I187" i="2"/>
  <c r="J187" i="2"/>
  <c r="K187" i="2"/>
  <c r="L187" i="2"/>
  <c r="M187" i="2"/>
  <c r="O187" i="2"/>
  <c r="G187" i="2"/>
  <c r="H198" i="2"/>
  <c r="I198" i="2"/>
  <c r="J198" i="2"/>
  <c r="K198" i="2"/>
  <c r="L198" i="2"/>
  <c r="M198" i="2"/>
  <c r="N198" i="2"/>
  <c r="O198" i="2"/>
  <c r="P198" i="2"/>
  <c r="Q198" i="2"/>
  <c r="G198" i="2"/>
  <c r="S199" i="2"/>
  <c r="R199" i="2" s="1"/>
  <c r="R198" i="2" s="1"/>
  <c r="S189" i="2"/>
  <c r="R189" i="2" s="1"/>
  <c r="S190" i="2"/>
  <c r="R190" i="2" s="1"/>
  <c r="S191" i="2"/>
  <c r="R191" i="2" s="1"/>
  <c r="S192" i="2"/>
  <c r="R192" i="2" s="1"/>
  <c r="S193" i="2"/>
  <c r="R193" i="2" s="1"/>
  <c r="S194" i="2"/>
  <c r="R194" i="2" s="1"/>
  <c r="S195" i="2"/>
  <c r="R195" i="2" s="1"/>
  <c r="S196" i="2"/>
  <c r="R196" i="2" s="1"/>
  <c r="S197" i="2"/>
  <c r="R197" i="2" s="1"/>
  <c r="S188" i="2"/>
  <c r="N189" i="2"/>
  <c r="N190" i="2"/>
  <c r="N191" i="2"/>
  <c r="N192" i="2"/>
  <c r="N193" i="2"/>
  <c r="N194" i="2"/>
  <c r="N195" i="2"/>
  <c r="N196" i="2"/>
  <c r="N197" i="2"/>
  <c r="N188" i="2"/>
  <c r="H178" i="2"/>
  <c r="I178" i="2"/>
  <c r="J178" i="2"/>
  <c r="K178" i="2"/>
  <c r="L178" i="2"/>
  <c r="M178" i="2"/>
  <c r="N178" i="2"/>
  <c r="O178" i="2"/>
  <c r="P178" i="2"/>
  <c r="Q178" i="2"/>
  <c r="G178" i="2"/>
  <c r="S184" i="2"/>
  <c r="R184" i="2" s="1"/>
  <c r="S183" i="2"/>
  <c r="R183" i="2" s="1"/>
  <c r="S182" i="2"/>
  <c r="R182" i="2" s="1"/>
  <c r="S181" i="2"/>
  <c r="R181" i="2" s="1"/>
  <c r="S180" i="2"/>
  <c r="R180" i="2" s="1"/>
  <c r="S179" i="2"/>
  <c r="R179" i="2" s="1"/>
  <c r="H164" i="2"/>
  <c r="H163" i="2" s="1"/>
  <c r="H162" i="2" s="1"/>
  <c r="I164" i="2"/>
  <c r="I163" i="2" s="1"/>
  <c r="I162" i="2" s="1"/>
  <c r="J164" i="2"/>
  <c r="J163" i="2" s="1"/>
  <c r="J162" i="2" s="1"/>
  <c r="K164" i="2"/>
  <c r="K163" i="2" s="1"/>
  <c r="L164" i="2"/>
  <c r="L163" i="2" s="1"/>
  <c r="L162" i="2" s="1"/>
  <c r="M164" i="2"/>
  <c r="M163" i="2" s="1"/>
  <c r="M162" i="2" s="1"/>
  <c r="O164" i="2"/>
  <c r="O163" i="2" s="1"/>
  <c r="O162" i="2" s="1"/>
  <c r="T155" i="2"/>
  <c r="U155" i="2"/>
  <c r="V155" i="2"/>
  <c r="H159" i="2"/>
  <c r="I159" i="2"/>
  <c r="J159" i="2"/>
  <c r="K159" i="2"/>
  <c r="L159" i="2"/>
  <c r="M159" i="2"/>
  <c r="N159" i="2"/>
  <c r="O159" i="2"/>
  <c r="P159" i="2"/>
  <c r="Q159" i="2"/>
  <c r="G159" i="2"/>
  <c r="H156" i="2"/>
  <c r="I156" i="2"/>
  <c r="J156" i="2"/>
  <c r="K156" i="2"/>
  <c r="L156" i="2"/>
  <c r="M156" i="2"/>
  <c r="O156" i="2"/>
  <c r="P156" i="2"/>
  <c r="Q156" i="2"/>
  <c r="G156" i="2"/>
  <c r="G155" i="2" s="1"/>
  <c r="S161" i="2"/>
  <c r="R161" i="2" s="1"/>
  <c r="S160" i="2"/>
  <c r="R160" i="2" s="1"/>
  <c r="R159" i="2" s="1"/>
  <c r="R158" i="2"/>
  <c r="R157" i="2"/>
  <c r="N158" i="2"/>
  <c r="N157" i="2"/>
  <c r="N156" i="2" s="1"/>
  <c r="N155" i="2" s="1"/>
  <c r="H129" i="2"/>
  <c r="I129" i="2"/>
  <c r="J129" i="2"/>
  <c r="K129" i="2"/>
  <c r="L129" i="2"/>
  <c r="M129" i="2"/>
  <c r="O129" i="2"/>
  <c r="T129" i="2"/>
  <c r="U129" i="2"/>
  <c r="V129" i="2"/>
  <c r="G129" i="2"/>
  <c r="H148" i="2"/>
  <c r="I148" i="2"/>
  <c r="J148" i="2"/>
  <c r="K148" i="2"/>
  <c r="L148" i="2"/>
  <c r="M148" i="2"/>
  <c r="N148" i="2"/>
  <c r="O148" i="2"/>
  <c r="P148" i="2"/>
  <c r="Q148" i="2"/>
  <c r="G148" i="2"/>
  <c r="S150" i="2"/>
  <c r="R150" i="2" s="1"/>
  <c r="S151" i="2"/>
  <c r="R151" i="2" s="1"/>
  <c r="S152" i="2"/>
  <c r="R152" i="2" s="1"/>
  <c r="S153" i="2"/>
  <c r="R153" i="2" s="1"/>
  <c r="S154" i="2"/>
  <c r="R154" i="2" s="1"/>
  <c r="S149" i="2"/>
  <c r="R149" i="2" s="1"/>
  <c r="S131" i="2"/>
  <c r="R131" i="2" s="1"/>
  <c r="S132" i="2"/>
  <c r="R132" i="2" s="1"/>
  <c r="S133" i="2"/>
  <c r="R133" i="2" s="1"/>
  <c r="S134" i="2"/>
  <c r="R134" i="2" s="1"/>
  <c r="S135" i="2"/>
  <c r="R135" i="2" s="1"/>
  <c r="S136" i="2"/>
  <c r="R136" i="2" s="1"/>
  <c r="S137" i="2"/>
  <c r="R137" i="2" s="1"/>
  <c r="S138" i="2"/>
  <c r="R138" i="2" s="1"/>
  <c r="S139" i="2"/>
  <c r="R139" i="2" s="1"/>
  <c r="S140" i="2"/>
  <c r="R140" i="2" s="1"/>
  <c r="S141" i="2"/>
  <c r="R141" i="2" s="1"/>
  <c r="S142" i="2"/>
  <c r="R142" i="2" s="1"/>
  <c r="S143" i="2"/>
  <c r="R143" i="2" s="1"/>
  <c r="S144" i="2"/>
  <c r="R144" i="2" s="1"/>
  <c r="S145" i="2"/>
  <c r="R145" i="2" s="1"/>
  <c r="S146" i="2"/>
  <c r="R146" i="2" s="1"/>
  <c r="S147" i="2"/>
  <c r="R147" i="2" s="1"/>
  <c r="S130" i="2"/>
  <c r="R130" i="2" s="1"/>
  <c r="N131" i="2"/>
  <c r="N132" i="2"/>
  <c r="N133" i="2"/>
  <c r="N134" i="2"/>
  <c r="N135" i="2"/>
  <c r="N136" i="2"/>
  <c r="N137" i="2"/>
  <c r="N138" i="2"/>
  <c r="N139" i="2"/>
  <c r="N140" i="2"/>
  <c r="N141" i="2"/>
  <c r="N142" i="2"/>
  <c r="N143" i="2"/>
  <c r="N144" i="2"/>
  <c r="N145" i="2"/>
  <c r="N146" i="2"/>
  <c r="N147" i="2"/>
  <c r="N130" i="2"/>
  <c r="S125" i="2"/>
  <c r="S124" i="2"/>
  <c r="S121" i="2"/>
  <c r="R121" i="2" s="1"/>
  <c r="S120" i="2"/>
  <c r="S118" i="2"/>
  <c r="S117" i="2"/>
  <c r="S116" i="2" s="1"/>
  <c r="N118" i="2"/>
  <c r="N117" i="2"/>
  <c r="N116" i="2" s="1"/>
  <c r="N115" i="2" s="1"/>
  <c r="S113" i="2"/>
  <c r="R113" i="2" s="1"/>
  <c r="R112" i="2" s="1"/>
  <c r="S91" i="2"/>
  <c r="S92" i="2"/>
  <c r="S93" i="2"/>
  <c r="S94" i="2"/>
  <c r="S95" i="2"/>
  <c r="S96" i="2"/>
  <c r="S97" i="2"/>
  <c r="S98" i="2"/>
  <c r="S99" i="2"/>
  <c r="S100" i="2"/>
  <c r="S101" i="2"/>
  <c r="S102" i="2"/>
  <c r="S103" i="2"/>
  <c r="S104" i="2"/>
  <c r="S105" i="2"/>
  <c r="S106" i="2"/>
  <c r="S107" i="2"/>
  <c r="S108" i="2"/>
  <c r="S109" i="2"/>
  <c r="S110" i="2"/>
  <c r="S111" i="2"/>
  <c r="S90" i="2"/>
  <c r="N92" i="2"/>
  <c r="N93" i="2"/>
  <c r="N94" i="2"/>
  <c r="N95" i="2"/>
  <c r="N96" i="2"/>
  <c r="N97" i="2"/>
  <c r="N99" i="2"/>
  <c r="N100" i="2"/>
  <c r="N101" i="2"/>
  <c r="N102" i="2"/>
  <c r="N103" i="2"/>
  <c r="N104" i="2"/>
  <c r="N105" i="2"/>
  <c r="N106" i="2"/>
  <c r="N107" i="2"/>
  <c r="N108" i="2"/>
  <c r="N109" i="2"/>
  <c r="N110" i="2"/>
  <c r="N111" i="2"/>
  <c r="N90" i="2"/>
  <c r="H112" i="2"/>
  <c r="I112" i="2"/>
  <c r="J112" i="2"/>
  <c r="K112" i="2"/>
  <c r="L112" i="2"/>
  <c r="M112" i="2"/>
  <c r="N112" i="2"/>
  <c r="O112" i="2"/>
  <c r="P112" i="2"/>
  <c r="Q112" i="2"/>
  <c r="G112" i="2"/>
  <c r="L155" i="2" l="1"/>
  <c r="H155" i="2"/>
  <c r="P155" i="2"/>
  <c r="S187" i="2"/>
  <c r="K162" i="2"/>
  <c r="N187" i="2"/>
  <c r="N186" i="2" s="1"/>
  <c r="J155" i="2"/>
  <c r="M186" i="2"/>
  <c r="I186" i="2"/>
  <c r="L186" i="2"/>
  <c r="H186" i="2"/>
  <c r="R156" i="2"/>
  <c r="R155" i="2" s="1"/>
  <c r="G186" i="2"/>
  <c r="K186" i="2"/>
  <c r="O186" i="2"/>
  <c r="J186" i="2"/>
  <c r="S123" i="2"/>
  <c r="S122" i="2" s="1"/>
  <c r="Q155" i="2"/>
  <c r="M155" i="2"/>
  <c r="I155" i="2"/>
  <c r="R188" i="2"/>
  <c r="R187" i="2" s="1"/>
  <c r="R186" i="2" s="1"/>
  <c r="M128" i="2"/>
  <c r="I128" i="2"/>
  <c r="S198" i="2"/>
  <c r="S186" i="2" s="1"/>
  <c r="O155" i="2"/>
  <c r="K155" i="2"/>
  <c r="K128" i="2"/>
  <c r="R120" i="2"/>
  <c r="R119" i="2" s="1"/>
  <c r="S119" i="2"/>
  <c r="S115" i="2" s="1"/>
  <c r="R178" i="2"/>
  <c r="S178" i="2"/>
  <c r="N129" i="2"/>
  <c r="N128" i="2" s="1"/>
  <c r="R148" i="2"/>
  <c r="L128" i="2"/>
  <c r="H128" i="2"/>
  <c r="H114" i="2" s="1"/>
  <c r="S156" i="2"/>
  <c r="S159" i="2"/>
  <c r="R129" i="2"/>
  <c r="G128" i="2"/>
  <c r="O128" i="2"/>
  <c r="J128" i="2"/>
  <c r="S148" i="2"/>
  <c r="S129" i="2"/>
  <c r="S112" i="2"/>
  <c r="K114" i="2" l="1"/>
  <c r="L114" i="2"/>
  <c r="M114" i="2"/>
  <c r="O114" i="2"/>
  <c r="J114" i="2"/>
  <c r="I114" i="2"/>
  <c r="R128" i="2"/>
  <c r="S128" i="2"/>
  <c r="S155" i="2"/>
  <c r="G82" i="2" l="1"/>
  <c r="G84" i="2"/>
  <c r="S86" i="2"/>
  <c r="R86" i="2" s="1"/>
  <c r="S87" i="2"/>
  <c r="R87" i="2" s="1"/>
  <c r="S85" i="2"/>
  <c r="N86" i="2"/>
  <c r="N87" i="2"/>
  <c r="N85" i="2"/>
  <c r="H75" i="2"/>
  <c r="I75" i="2"/>
  <c r="J75" i="2"/>
  <c r="K75" i="2"/>
  <c r="L75" i="2"/>
  <c r="M75" i="2"/>
  <c r="O75" i="2"/>
  <c r="P75" i="2"/>
  <c r="Q75" i="2"/>
  <c r="T75" i="2"/>
  <c r="U75" i="2"/>
  <c r="V75" i="2"/>
  <c r="G75" i="2"/>
  <c r="N79" i="2"/>
  <c r="N78" i="2"/>
  <c r="S79" i="2"/>
  <c r="R79" i="2" s="1"/>
  <c r="S78" i="2"/>
  <c r="R78" i="2" s="1"/>
  <c r="H77" i="2"/>
  <c r="I77" i="2"/>
  <c r="J77" i="2"/>
  <c r="K77" i="2"/>
  <c r="L77" i="2"/>
  <c r="M77" i="2"/>
  <c r="O77" i="2"/>
  <c r="P77" i="2"/>
  <c r="Q77" i="2"/>
  <c r="G77" i="2"/>
  <c r="N76" i="2"/>
  <c r="N75" i="2" s="1"/>
  <c r="S76" i="2"/>
  <c r="R76" i="2" s="1"/>
  <c r="R75" i="2" s="1"/>
  <c r="H72" i="2"/>
  <c r="H71" i="2" s="1"/>
  <c r="I72" i="2"/>
  <c r="I71" i="2" s="1"/>
  <c r="J72" i="2"/>
  <c r="J71" i="2" s="1"/>
  <c r="M72" i="2"/>
  <c r="M71" i="2" s="1"/>
  <c r="N72" i="2"/>
  <c r="O72" i="2"/>
  <c r="O71" i="2" s="1"/>
  <c r="P72" i="2"/>
  <c r="P71" i="2" s="1"/>
  <c r="Q72" i="2"/>
  <c r="Q71" i="2" s="1"/>
  <c r="T71" i="2"/>
  <c r="T70" i="2" s="1"/>
  <c r="V71" i="2"/>
  <c r="V70" i="2" s="1"/>
  <c r="H31" i="2"/>
  <c r="I31" i="2"/>
  <c r="J31" i="2"/>
  <c r="L31" i="2"/>
  <c r="M31" i="2"/>
  <c r="N31" i="2"/>
  <c r="O31" i="2"/>
  <c r="P31" i="2"/>
  <c r="Q31" i="2"/>
  <c r="H67" i="2"/>
  <c r="I67" i="2"/>
  <c r="J67" i="2"/>
  <c r="K67" i="2"/>
  <c r="L67" i="2"/>
  <c r="M67" i="2"/>
  <c r="N67" i="2"/>
  <c r="O67" i="2"/>
  <c r="P67" i="2"/>
  <c r="Q67" i="2"/>
  <c r="G67" i="2"/>
  <c r="H65" i="2"/>
  <c r="I65" i="2"/>
  <c r="J65" i="2"/>
  <c r="K65" i="2"/>
  <c r="L65" i="2"/>
  <c r="M65" i="2"/>
  <c r="N65" i="2"/>
  <c r="O65" i="2"/>
  <c r="P65" i="2"/>
  <c r="Q65" i="2"/>
  <c r="T65" i="2"/>
  <c r="T64" i="2" s="1"/>
  <c r="U65" i="2"/>
  <c r="U64" i="2" s="1"/>
  <c r="V65" i="2"/>
  <c r="V64" i="2" s="1"/>
  <c r="G65" i="2"/>
  <c r="H59" i="2"/>
  <c r="I59" i="2"/>
  <c r="J59" i="2"/>
  <c r="M59" i="2"/>
  <c r="O59" i="2"/>
  <c r="Q59" i="2"/>
  <c r="K63" i="2"/>
  <c r="S63" i="2"/>
  <c r="R63" i="2" s="1"/>
  <c r="S62" i="2"/>
  <c r="R62" i="2" s="1"/>
  <c r="K62" i="2"/>
  <c r="K61" i="2"/>
  <c r="S61" i="2"/>
  <c r="R61" i="2" s="1"/>
  <c r="AM60" i="2"/>
  <c r="N58" i="2"/>
  <c r="H55" i="2"/>
  <c r="I55" i="2"/>
  <c r="J55" i="2"/>
  <c r="M55" i="2"/>
  <c r="O55" i="2"/>
  <c r="N57" i="2"/>
  <c r="N56" i="2"/>
  <c r="B60" i="2"/>
  <c r="F60" i="2"/>
  <c r="G60" i="2"/>
  <c r="G59" i="2" s="1"/>
  <c r="K60" i="2"/>
  <c r="L60" i="2"/>
  <c r="AN60" i="2" s="1"/>
  <c r="P59" i="2"/>
  <c r="S60" i="2"/>
  <c r="R60" i="2" s="1"/>
  <c r="N54" i="2"/>
  <c r="I54" i="2"/>
  <c r="N53" i="2"/>
  <c r="I53" i="2"/>
  <c r="N52" i="2"/>
  <c r="I52" i="2"/>
  <c r="N51" i="2"/>
  <c r="I51" i="2"/>
  <c r="N50" i="2"/>
  <c r="I50" i="2"/>
  <c r="N49" i="2"/>
  <c r="I49" i="2"/>
  <c r="N48" i="2"/>
  <c r="I48" i="2"/>
  <c r="N47" i="2"/>
  <c r="I47" i="2"/>
  <c r="N45" i="2"/>
  <c r="I45" i="2"/>
  <c r="S44" i="2"/>
  <c r="R44" i="2" s="1"/>
  <c r="N44" i="2"/>
  <c r="N43" i="2"/>
  <c r="I44" i="2"/>
  <c r="S39" i="2"/>
  <c r="S40" i="2"/>
  <c r="S41" i="2"/>
  <c r="S38" i="2"/>
  <c r="I43" i="2"/>
  <c r="H37" i="2"/>
  <c r="I37" i="2"/>
  <c r="J37" i="2"/>
  <c r="K37" i="2"/>
  <c r="L37" i="2"/>
  <c r="M37" i="2"/>
  <c r="N37" i="2"/>
  <c r="O37" i="2"/>
  <c r="P37" i="2"/>
  <c r="Q37" i="2"/>
  <c r="R37" i="2"/>
  <c r="T37" i="2"/>
  <c r="U37" i="2"/>
  <c r="V37" i="2"/>
  <c r="G37" i="2"/>
  <c r="G64" i="2" l="1"/>
  <c r="N84" i="2"/>
  <c r="S84" i="2"/>
  <c r="N77" i="2"/>
  <c r="N74" i="2" s="1"/>
  <c r="G81" i="2"/>
  <c r="R77" i="2"/>
  <c r="R74" i="2" s="1"/>
  <c r="G74" i="2"/>
  <c r="Q74" i="2"/>
  <c r="Q70" i="2" s="1"/>
  <c r="L74" i="2"/>
  <c r="H74" i="2"/>
  <c r="H70" i="2" s="1"/>
  <c r="P74" i="2"/>
  <c r="P70" i="2" s="1"/>
  <c r="K74" i="2"/>
  <c r="R85" i="2"/>
  <c r="R84" i="2" s="1"/>
  <c r="O74" i="2"/>
  <c r="O70" i="2" s="1"/>
  <c r="J74" i="2"/>
  <c r="J70" i="2" s="1"/>
  <c r="M74" i="2"/>
  <c r="M70" i="2" s="1"/>
  <c r="I74" i="2"/>
  <c r="I70" i="2" s="1"/>
  <c r="S75" i="2"/>
  <c r="S77" i="2"/>
  <c r="N64" i="2"/>
  <c r="J64" i="2"/>
  <c r="P64" i="2"/>
  <c r="L64" i="2"/>
  <c r="H64" i="2"/>
  <c r="Q64" i="2"/>
  <c r="M64" i="2"/>
  <c r="I64" i="2"/>
  <c r="U71" i="2"/>
  <c r="U70" i="2" s="1"/>
  <c r="N71" i="2"/>
  <c r="O64" i="2"/>
  <c r="K64" i="2"/>
  <c r="K59" i="2"/>
  <c r="R59" i="2"/>
  <c r="L59" i="2"/>
  <c r="S59" i="2"/>
  <c r="N59" i="2"/>
  <c r="U60" i="2"/>
  <c r="N55" i="2"/>
  <c r="S37" i="2"/>
  <c r="N70" i="2" l="1"/>
  <c r="S74" i="2"/>
  <c r="S69" i="2" l="1"/>
  <c r="R69" i="2" s="1"/>
  <c r="S68" i="2"/>
  <c r="S66" i="2"/>
  <c r="R66" i="2" l="1"/>
  <c r="R65" i="2" s="1"/>
  <c r="S65" i="2"/>
  <c r="R68" i="2"/>
  <c r="R67" i="2" s="1"/>
  <c r="S67" i="2"/>
  <c r="W24" i="2"/>
  <c r="M25" i="2"/>
  <c r="W15" i="2"/>
  <c r="H21" i="2"/>
  <c r="J21" i="2"/>
  <c r="M21" i="2"/>
  <c r="N21" i="2"/>
  <c r="O21" i="2"/>
  <c r="P21" i="2"/>
  <c r="Q21" i="2"/>
  <c r="T21" i="2"/>
  <c r="V21" i="2"/>
  <c r="H18" i="2"/>
  <c r="J18" i="2"/>
  <c r="L18" i="2"/>
  <c r="M18" i="2"/>
  <c r="N18" i="2"/>
  <c r="O18" i="2"/>
  <c r="P18" i="2"/>
  <c r="Q18" i="2"/>
  <c r="I23" i="2"/>
  <c r="I22" i="2"/>
  <c r="I20" i="2"/>
  <c r="I19" i="2"/>
  <c r="O15" i="2" l="1"/>
  <c r="R64" i="2"/>
  <c r="S64" i="2"/>
  <c r="N15" i="2"/>
  <c r="Q15" i="2"/>
  <c r="P15" i="2"/>
  <c r="I18" i="2"/>
  <c r="H15" i="2"/>
  <c r="I21" i="2"/>
  <c r="J15" i="2"/>
  <c r="M15" i="2"/>
  <c r="I15" i="2" l="1"/>
  <c r="AM44" i="2"/>
  <c r="AM90" i="2"/>
  <c r="AM91" i="2"/>
  <c r="AM92" i="2"/>
  <c r="AM93" i="2"/>
  <c r="AM94" i="2"/>
  <c r="AM95" i="2"/>
  <c r="AM96" i="2"/>
  <c r="AM97" i="2"/>
  <c r="AM98" i="2"/>
  <c r="AM99" i="2"/>
  <c r="AM100" i="2"/>
  <c r="AM101" i="2"/>
  <c r="AM102" i="2"/>
  <c r="AM103" i="2"/>
  <c r="AM104" i="2"/>
  <c r="AM105" i="2"/>
  <c r="AM106" i="2"/>
  <c r="AM107" i="2"/>
  <c r="AM108" i="2"/>
  <c r="AM109" i="2"/>
  <c r="AM110" i="2"/>
  <c r="AM111" i="2"/>
  <c r="AM117" i="2"/>
  <c r="AM118" i="2"/>
  <c r="AM124" i="2"/>
  <c r="AM125" i="2"/>
  <c r="AM126" i="2"/>
  <c r="AM127" i="2"/>
  <c r="AM130" i="2"/>
  <c r="AM131" i="2"/>
  <c r="AM132" i="2"/>
  <c r="AM133" i="2"/>
  <c r="AM134" i="2"/>
  <c r="AM135" i="2"/>
  <c r="AM136" i="2"/>
  <c r="AM137" i="2"/>
  <c r="AM138" i="2"/>
  <c r="AM139" i="2"/>
  <c r="AM140" i="2"/>
  <c r="AM141" i="2"/>
  <c r="AM142" i="2"/>
  <c r="AM143" i="2"/>
  <c r="AM144" i="2"/>
  <c r="AM146" i="2"/>
  <c r="AM147" i="2"/>
  <c r="AM157" i="2"/>
  <c r="AM158" i="2"/>
  <c r="AM188" i="2"/>
  <c r="AM189" i="2"/>
  <c r="AM190" i="2"/>
  <c r="AM191" i="2"/>
  <c r="AM192" i="2"/>
  <c r="AM193" i="2"/>
  <c r="AM194" i="2"/>
  <c r="AM195" i="2"/>
  <c r="AM196" i="2"/>
  <c r="AN44" i="2"/>
  <c r="AN56" i="2"/>
  <c r="AN57" i="2"/>
  <c r="AN126" i="2"/>
  <c r="AN127" i="2"/>
  <c r="L23" i="2"/>
  <c r="L21" i="2" s="1"/>
  <c r="L15" i="2" s="1"/>
  <c r="AQ19" i="2" l="1"/>
  <c r="AP23" i="2" l="1"/>
  <c r="AN19" i="2" l="1"/>
  <c r="AN23" i="2"/>
  <c r="AM23" i="2"/>
  <c r="AN20" i="2"/>
  <c r="AN22" i="2"/>
  <c r="AM22" i="2"/>
  <c r="AM20" i="2"/>
  <c r="AM19" i="2"/>
  <c r="AM197" i="2" l="1"/>
  <c r="AM145" i="2"/>
  <c r="N83" i="2" l="1"/>
  <c r="N82" i="2" s="1"/>
  <c r="N81" i="2" s="1"/>
  <c r="AM83" i="2" l="1"/>
  <c r="L58" i="2" l="1"/>
  <c r="AN32" i="2"/>
  <c r="AM32" i="2"/>
  <c r="AN58" i="2" l="1"/>
  <c r="L55" i="2"/>
  <c r="AN83" i="2"/>
  <c r="N166" i="2" l="1"/>
  <c r="AM166" i="2" s="1"/>
  <c r="N167" i="2"/>
  <c r="AM167" i="2" s="1"/>
  <c r="N168" i="2"/>
  <c r="AM168" i="2" s="1"/>
  <c r="N169" i="2"/>
  <c r="AM169" i="2" s="1"/>
  <c r="N170" i="2"/>
  <c r="AM170" i="2" s="1"/>
  <c r="N171" i="2"/>
  <c r="AM171" i="2" s="1"/>
  <c r="N172" i="2"/>
  <c r="AM172" i="2" s="1"/>
  <c r="N173" i="2"/>
  <c r="AM173" i="2" s="1"/>
  <c r="N174" i="2"/>
  <c r="AM174" i="2" s="1"/>
  <c r="N175" i="2"/>
  <c r="AM175" i="2" s="1"/>
  <c r="N176" i="2"/>
  <c r="AM176" i="2" s="1"/>
  <c r="N177" i="2"/>
  <c r="AM177" i="2" s="1"/>
  <c r="N165" i="2"/>
  <c r="AE23" i="2"/>
  <c r="AF22" i="2"/>
  <c r="AM165" i="2" l="1"/>
  <c r="N164" i="2"/>
  <c r="N163" i="2" s="1"/>
  <c r="N162" i="2" s="1"/>
  <c r="N114" i="2" s="1"/>
  <c r="AN90" i="2"/>
  <c r="AN91" i="2"/>
  <c r="L73" i="2" l="1"/>
  <c r="AN73" i="2" l="1"/>
  <c r="L72" i="2"/>
  <c r="L71" i="2" s="1"/>
  <c r="L70" i="2" s="1"/>
  <c r="L30" i="2"/>
  <c r="AN30" i="2" s="1"/>
  <c r="L29" i="2"/>
  <c r="AN29" i="2" s="1"/>
  <c r="L28" i="2"/>
  <c r="AN28" i="2" s="1"/>
  <c r="S23" i="2" l="1"/>
  <c r="N30" i="2"/>
  <c r="AM30" i="2" s="1"/>
  <c r="AG43" i="2" l="1"/>
  <c r="AH43" i="2" s="1"/>
  <c r="AE219" i="2" l="1"/>
  <c r="I203" i="2" l="1"/>
  <c r="I204" i="2"/>
  <c r="I205" i="2"/>
  <c r="I206" i="2"/>
  <c r="I207" i="2"/>
  <c r="I208" i="2"/>
  <c r="I209" i="2"/>
  <c r="I210" i="2"/>
  <c r="I211" i="2"/>
  <c r="I212" i="2"/>
  <c r="I213" i="2"/>
  <c r="I214" i="2"/>
  <c r="I215" i="2"/>
  <c r="I216" i="2"/>
  <c r="I217" i="2"/>
  <c r="I218" i="2"/>
  <c r="H201" i="2"/>
  <c r="I202" i="2"/>
  <c r="AB204" i="2"/>
  <c r="AB205" i="2"/>
  <c r="Q204" i="2"/>
  <c r="P204" i="2"/>
  <c r="O205" i="2"/>
  <c r="O206" i="2"/>
  <c r="O207" i="2"/>
  <c r="O208" i="2"/>
  <c r="O209" i="2"/>
  <c r="O210" i="2"/>
  <c r="O211" i="2"/>
  <c r="O212" i="2"/>
  <c r="O213" i="2"/>
  <c r="O214" i="2"/>
  <c r="O215" i="2"/>
  <c r="O216" i="2"/>
  <c r="O217" i="2"/>
  <c r="O218" i="2"/>
  <c r="N204" i="2"/>
  <c r="N205" i="2"/>
  <c r="M204" i="2"/>
  <c r="M205" i="2"/>
  <c r="M206" i="2"/>
  <c r="M207" i="2"/>
  <c r="M208" i="2"/>
  <c r="M209" i="2"/>
  <c r="M210" i="2"/>
  <c r="M211" i="2"/>
  <c r="M212" i="2"/>
  <c r="M213" i="2"/>
  <c r="M214" i="2"/>
  <c r="M215" i="2"/>
  <c r="M216" i="2"/>
  <c r="M217" i="2"/>
  <c r="M218" i="2"/>
  <c r="L204" i="2"/>
  <c r="J205" i="2"/>
  <c r="J206" i="2"/>
  <c r="J207" i="2"/>
  <c r="J208" i="2"/>
  <c r="AF208" i="2" s="1"/>
  <c r="J209" i="2"/>
  <c r="J210" i="2"/>
  <c r="J211" i="2"/>
  <c r="J212" i="2"/>
  <c r="J213" i="2"/>
  <c r="AF213" i="2" s="1"/>
  <c r="J214" i="2"/>
  <c r="J215" i="2"/>
  <c r="AF215" i="2" s="1"/>
  <c r="J216" i="2"/>
  <c r="AF216" i="2" s="1"/>
  <c r="J217" i="2"/>
  <c r="AF217" i="2" s="1"/>
  <c r="J218" i="2"/>
  <c r="AF218" i="2" s="1"/>
  <c r="G205" i="2"/>
  <c r="G206" i="2"/>
  <c r="G207" i="2"/>
  <c r="G208" i="2"/>
  <c r="G209" i="2"/>
  <c r="G210" i="2"/>
  <c r="G211" i="2"/>
  <c r="G212" i="2"/>
  <c r="G213" i="2"/>
  <c r="G214" i="2"/>
  <c r="G215" i="2"/>
  <c r="G216" i="2"/>
  <c r="G217" i="2"/>
  <c r="G218" i="2"/>
  <c r="T201" i="2"/>
  <c r="U201" i="2"/>
  <c r="V201" i="2"/>
  <c r="Q203" i="2"/>
  <c r="P203" i="2"/>
  <c r="O203" i="2"/>
  <c r="M203" i="2"/>
  <c r="M202" i="2"/>
  <c r="K201" i="2"/>
  <c r="L203" i="2"/>
  <c r="W205" i="2" l="1"/>
  <c r="I201" i="2"/>
  <c r="M201" i="2"/>
  <c r="AB203" i="2"/>
  <c r="AB206" i="2"/>
  <c r="AB207" i="2"/>
  <c r="AB208" i="2"/>
  <c r="AB209" i="2"/>
  <c r="AB210" i="2"/>
  <c r="AB211" i="2"/>
  <c r="AB212" i="2"/>
  <c r="AB213" i="2"/>
  <c r="AB214" i="2"/>
  <c r="AB215" i="2"/>
  <c r="AB216" i="2"/>
  <c r="AB217" i="2"/>
  <c r="AB218" i="2"/>
  <c r="AB202" i="2"/>
  <c r="AB201" i="2" l="1"/>
  <c r="I13" i="2" l="1"/>
  <c r="I12" i="2"/>
  <c r="I11" i="2"/>
  <c r="I10" i="2"/>
  <c r="I9" i="2"/>
  <c r="H13" i="2"/>
  <c r="H12" i="2"/>
  <c r="H11" i="2"/>
  <c r="H10" i="2"/>
  <c r="H9" i="2"/>
  <c r="N28" i="2" l="1"/>
  <c r="AM28" i="2" s="1"/>
  <c r="N29" i="2"/>
  <c r="AM29" i="2" s="1"/>
  <c r="AN193" i="2"/>
  <c r="AN195" i="2"/>
  <c r="AN196" i="2"/>
  <c r="AN197" i="2"/>
  <c r="AN192" i="2"/>
  <c r="AN191" i="2"/>
  <c r="AN190" i="2"/>
  <c r="AN189" i="2"/>
  <c r="AN176" i="2"/>
  <c r="AN175" i="2"/>
  <c r="AN174" i="2"/>
  <c r="AN173" i="2"/>
  <c r="AN172" i="2"/>
  <c r="AN171" i="2"/>
  <c r="AN170" i="2"/>
  <c r="AN168" i="2"/>
  <c r="AN167" i="2"/>
  <c r="AN166" i="2"/>
  <c r="AN158" i="2"/>
  <c r="AN138" i="2"/>
  <c r="AN139" i="2"/>
  <c r="AN140" i="2"/>
  <c r="AN141" i="2"/>
  <c r="AN142" i="2"/>
  <c r="AN143" i="2"/>
  <c r="AN145" i="2"/>
  <c r="AN146" i="2"/>
  <c r="AN101" i="2"/>
  <c r="AN102" i="2"/>
  <c r="AN103" i="2"/>
  <c r="AN104" i="2"/>
  <c r="AN105" i="2"/>
  <c r="AN106" i="2"/>
  <c r="AN108" i="2"/>
  <c r="AN109" i="2"/>
  <c r="AN110" i="2"/>
  <c r="L213" i="2"/>
  <c r="L210" i="2"/>
  <c r="L215" i="2" l="1"/>
  <c r="L211" i="2"/>
  <c r="AN144" i="2"/>
  <c r="L216" i="2"/>
  <c r="AN165" i="2"/>
  <c r="L212" i="2"/>
  <c r="AN169" i="2"/>
  <c r="L209" i="2"/>
  <c r="AN177" i="2"/>
  <c r="L207" i="2"/>
  <c r="AN194" i="2"/>
  <c r="L205" i="2"/>
  <c r="AN147" i="2"/>
  <c r="L218" i="2"/>
  <c r="AN111" i="2"/>
  <c r="L206" i="2"/>
  <c r="AN107" i="2"/>
  <c r="L208" i="2"/>
  <c r="L214" i="2"/>
  <c r="L217" i="2"/>
  <c r="H89" i="2" l="1"/>
  <c r="H88" i="2" s="1"/>
  <c r="H80" i="2" s="1"/>
  <c r="H46" i="2"/>
  <c r="H42" i="2"/>
  <c r="H25" i="2"/>
  <c r="V13" i="2"/>
  <c r="V12" i="2"/>
  <c r="V11" i="2"/>
  <c r="V10" i="2"/>
  <c r="V9" i="2"/>
  <c r="T9" i="2"/>
  <c r="U9" i="2"/>
  <c r="T186" i="2"/>
  <c r="U186" i="2"/>
  <c r="V186" i="2"/>
  <c r="T128" i="2"/>
  <c r="U128" i="2"/>
  <c r="V128" i="2"/>
  <c r="T115" i="2"/>
  <c r="U115" i="2"/>
  <c r="V115" i="2"/>
  <c r="T89" i="2"/>
  <c r="T88" i="2" s="1"/>
  <c r="U89" i="2"/>
  <c r="U88" i="2" s="1"/>
  <c r="V89" i="2"/>
  <c r="V88" i="2" s="1"/>
  <c r="T82" i="2"/>
  <c r="T81" i="2" s="1"/>
  <c r="U82" i="2"/>
  <c r="U81" i="2" s="1"/>
  <c r="V82" i="2"/>
  <c r="V81" i="2" s="1"/>
  <c r="T55" i="2"/>
  <c r="V55" i="2"/>
  <c r="T46" i="2"/>
  <c r="V46" i="2"/>
  <c r="T42" i="2"/>
  <c r="V42" i="2"/>
  <c r="T31" i="2"/>
  <c r="V31" i="2"/>
  <c r="T25" i="2"/>
  <c r="V25" i="2"/>
  <c r="T18" i="2"/>
  <c r="T15" i="2" s="1"/>
  <c r="V18" i="2"/>
  <c r="V15" i="2" s="1"/>
  <c r="U114" i="2" l="1"/>
  <c r="V114" i="2"/>
  <c r="V80" i="2" s="1"/>
  <c r="T114" i="2"/>
  <c r="H36" i="2"/>
  <c r="H35" i="2" s="1"/>
  <c r="H34" i="2" s="1"/>
  <c r="H33" i="2" s="1"/>
  <c r="T24" i="2"/>
  <c r="V24" i="2"/>
  <c r="V14" i="2" s="1"/>
  <c r="T36" i="2"/>
  <c r="T35" i="2" s="1"/>
  <c r="V36" i="2"/>
  <c r="V35" i="2" s="1"/>
  <c r="V33" i="2" l="1"/>
  <c r="V8" i="2" s="1"/>
  <c r="H24" i="2"/>
  <c r="H14" i="2" s="1"/>
  <c r="T14" i="2"/>
  <c r="H8" i="2" l="1"/>
  <c r="I89" i="2" l="1"/>
  <c r="I88" i="2" s="1"/>
  <c r="I80" i="2" s="1"/>
  <c r="I46" i="2"/>
  <c r="I42" i="2"/>
  <c r="I25" i="2"/>
  <c r="I36" i="2" l="1"/>
  <c r="I35" i="2" s="1"/>
  <c r="I34" i="2" s="1"/>
  <c r="I33" i="2" s="1"/>
  <c r="I24" i="2" l="1"/>
  <c r="I14" i="2" s="1"/>
  <c r="L25" i="2"/>
  <c r="P25" i="2"/>
  <c r="Q25" i="2"/>
  <c r="G25" i="2"/>
  <c r="S30" i="2"/>
  <c r="R30" i="2" s="1"/>
  <c r="S29" i="2"/>
  <c r="R29" i="2" s="1"/>
  <c r="S28" i="2"/>
  <c r="R28" i="2" s="1"/>
  <c r="I8" i="2" l="1"/>
  <c r="J89" i="2"/>
  <c r="J88" i="2" s="1"/>
  <c r="J80" i="2" s="1"/>
  <c r="Q205" i="2"/>
  <c r="Q211" i="2"/>
  <c r="Q82" i="2"/>
  <c r="Q81" i="2" s="1"/>
  <c r="Q210" i="2"/>
  <c r="P123" i="2" l="1"/>
  <c r="P122" i="2" s="1"/>
  <c r="Q123" i="2"/>
  <c r="Q122" i="2" s="1"/>
  <c r="P187" i="2"/>
  <c r="P186" i="2" s="1"/>
  <c r="Q187" i="2"/>
  <c r="Q186" i="2" s="1"/>
  <c r="P116" i="2"/>
  <c r="P115" i="2" s="1"/>
  <c r="P164" i="2"/>
  <c r="P163" i="2" s="1"/>
  <c r="P162" i="2" s="1"/>
  <c r="Q164" i="2"/>
  <c r="Q163" i="2" s="1"/>
  <c r="Q162" i="2" s="1"/>
  <c r="Q129" i="2"/>
  <c r="Q128" i="2" s="1"/>
  <c r="Q213" i="2"/>
  <c r="Q212" i="2"/>
  <c r="Q214" i="2"/>
  <c r="Q207" i="2"/>
  <c r="Q215" i="2"/>
  <c r="Q217" i="2"/>
  <c r="Q209" i="2"/>
  <c r="Q208" i="2"/>
  <c r="Q206" i="2"/>
  <c r="Q216" i="2"/>
  <c r="Q218" i="2"/>
  <c r="P207" i="2"/>
  <c r="P210" i="2"/>
  <c r="P82" i="2"/>
  <c r="P81" i="2" s="1"/>
  <c r="P213" i="2"/>
  <c r="P214" i="2"/>
  <c r="P205" i="2"/>
  <c r="P215" i="2"/>
  <c r="P217" i="2"/>
  <c r="P211" i="2"/>
  <c r="P212" i="2"/>
  <c r="P208" i="2"/>
  <c r="P206" i="2"/>
  <c r="P209" i="2"/>
  <c r="Q114" i="2" l="1"/>
  <c r="P216" i="2"/>
  <c r="P129" i="2"/>
  <c r="P128" i="2" s="1"/>
  <c r="P114" i="2" s="1"/>
  <c r="P218" i="2"/>
  <c r="N216" i="2"/>
  <c r="W216" i="2" s="1"/>
  <c r="N209" i="2"/>
  <c r="W209" i="2" s="1"/>
  <c r="N215" i="2"/>
  <c r="W215" i="2" s="1"/>
  <c r="N213" i="2"/>
  <c r="W213" i="2" s="1"/>
  <c r="N218" i="2"/>
  <c r="W218" i="2" s="1"/>
  <c r="N210" i="2"/>
  <c r="W210" i="2" s="1"/>
  <c r="N208" i="2"/>
  <c r="W208" i="2" s="1"/>
  <c r="N214" i="2"/>
  <c r="W214" i="2" s="1"/>
  <c r="N212" i="2"/>
  <c r="W212" i="2" s="1"/>
  <c r="N207" i="2" l="1"/>
  <c r="W207" i="2" s="1"/>
  <c r="N211" i="2"/>
  <c r="W211" i="2" s="1"/>
  <c r="N217" i="2"/>
  <c r="W217" i="2" s="1"/>
  <c r="N206" i="2"/>
  <c r="W206" i="2" s="1"/>
  <c r="S166" i="2" l="1"/>
  <c r="R166" i="2" s="1"/>
  <c r="S167" i="2"/>
  <c r="R167" i="2" s="1"/>
  <c r="S168" i="2"/>
  <c r="R168" i="2" s="1"/>
  <c r="S169" i="2"/>
  <c r="R169" i="2" s="1"/>
  <c r="S170" i="2"/>
  <c r="R170" i="2" s="1"/>
  <c r="S171" i="2"/>
  <c r="R171" i="2" s="1"/>
  <c r="S172" i="2"/>
  <c r="R172" i="2" s="1"/>
  <c r="S173" i="2"/>
  <c r="R173" i="2" s="1"/>
  <c r="S174" i="2"/>
  <c r="R174" i="2" s="1"/>
  <c r="S175" i="2"/>
  <c r="R175" i="2" s="1"/>
  <c r="S176" i="2"/>
  <c r="R176" i="2" s="1"/>
  <c r="S177" i="2"/>
  <c r="R177" i="2" s="1"/>
  <c r="S165" i="2"/>
  <c r="S205" i="2"/>
  <c r="S211" i="2"/>
  <c r="R102" i="2"/>
  <c r="R103" i="2"/>
  <c r="R104" i="2"/>
  <c r="R105" i="2"/>
  <c r="R106" i="2"/>
  <c r="R107" i="2"/>
  <c r="R108" i="2"/>
  <c r="R109" i="2"/>
  <c r="R110" i="2"/>
  <c r="R111" i="2"/>
  <c r="R101" i="2"/>
  <c r="S83" i="2"/>
  <c r="S82" i="2" s="1"/>
  <c r="S81" i="2" s="1"/>
  <c r="S210" i="2"/>
  <c r="S216" i="2"/>
  <c r="S212" i="2" l="1"/>
  <c r="R165" i="2"/>
  <c r="R164" i="2" s="1"/>
  <c r="R163" i="2" s="1"/>
  <c r="R162" i="2" s="1"/>
  <c r="S164" i="2"/>
  <c r="S163" i="2" s="1"/>
  <c r="S162" i="2" s="1"/>
  <c r="S114" i="2" s="1"/>
  <c r="S217" i="2"/>
  <c r="S207" i="2"/>
  <c r="S209" i="2"/>
  <c r="S215" i="2"/>
  <c r="S218" i="2"/>
  <c r="S214" i="2"/>
  <c r="S208" i="2"/>
  <c r="S206" i="2"/>
  <c r="S213" i="2"/>
  <c r="R83" i="2"/>
  <c r="R82" i="2" s="1"/>
  <c r="R81" i="2" s="1"/>
  <c r="R216" i="2"/>
  <c r="R217" i="2"/>
  <c r="R215" i="2"/>
  <c r="R205" i="2"/>
  <c r="R209" i="2"/>
  <c r="R210" i="2"/>
  <c r="R211" i="2"/>
  <c r="R214" i="2"/>
  <c r="R213" i="2"/>
  <c r="R212" i="2"/>
  <c r="R208" i="2"/>
  <c r="R206" i="2"/>
  <c r="R207" i="2"/>
  <c r="T164" i="2"/>
  <c r="U164" i="2"/>
  <c r="G164" i="2"/>
  <c r="G163" i="2" s="1"/>
  <c r="G162" i="2" s="1"/>
  <c r="G114" i="2" s="1"/>
  <c r="K89" i="2"/>
  <c r="K88" i="2" s="1"/>
  <c r="K80" i="2" s="1"/>
  <c r="M89" i="2"/>
  <c r="M88" i="2" s="1"/>
  <c r="M80" i="2" s="1"/>
  <c r="O89" i="2"/>
  <c r="O88" i="2" s="1"/>
  <c r="O80" i="2" s="1"/>
  <c r="P89" i="2"/>
  <c r="P88" i="2" s="1"/>
  <c r="P80" i="2" s="1"/>
  <c r="Q89" i="2"/>
  <c r="Q88" i="2" s="1"/>
  <c r="Q80" i="2" s="1"/>
  <c r="S89" i="2"/>
  <c r="S88" i="2" s="1"/>
  <c r="G89" i="2"/>
  <c r="G88" i="2" s="1"/>
  <c r="U80" i="2" l="1"/>
  <c r="T80" i="2"/>
  <c r="T33" i="2" s="1"/>
  <c r="T8" i="2" s="1"/>
  <c r="S80" i="2"/>
  <c r="R218" i="2"/>
  <c r="AM162" i="2"/>
  <c r="AM164" i="2"/>
  <c r="AN162" i="2"/>
  <c r="AN164" i="2"/>
  <c r="W186" i="2" l="1"/>
  <c r="AM186" i="2"/>
  <c r="AN188" i="2"/>
  <c r="AN157" i="2"/>
  <c r="AN137" i="2"/>
  <c r="AN136" i="2"/>
  <c r="AN135" i="2"/>
  <c r="AN134" i="2"/>
  <c r="AN133" i="2"/>
  <c r="AN132" i="2"/>
  <c r="AN131" i="2"/>
  <c r="AN130" i="2"/>
  <c r="AN125" i="2"/>
  <c r="AN124" i="2"/>
  <c r="AN118" i="2"/>
  <c r="AN117" i="2"/>
  <c r="AN100" i="2"/>
  <c r="AN99" i="2"/>
  <c r="AN98" i="2"/>
  <c r="AN97" i="2"/>
  <c r="AN96" i="2"/>
  <c r="AN95" i="2"/>
  <c r="AN94" i="2"/>
  <c r="AN93" i="2"/>
  <c r="AN92" i="2"/>
  <c r="AN186" i="2" l="1"/>
  <c r="W128" i="2"/>
  <c r="N89" i="2"/>
  <c r="N88" i="2" s="1"/>
  <c r="N80" i="2" s="1"/>
  <c r="Z80" i="2" s="1"/>
  <c r="L89" i="2"/>
  <c r="L88" i="2" s="1"/>
  <c r="L80" i="2" s="1"/>
  <c r="AF8" i="2"/>
  <c r="AF10" i="2" s="1"/>
  <c r="R125" i="2" l="1"/>
  <c r="R124" i="2"/>
  <c r="R123" i="2" s="1"/>
  <c r="R122" i="2" s="1"/>
  <c r="W122" i="2"/>
  <c r="R118" i="2"/>
  <c r="R117" i="2"/>
  <c r="W115" i="2"/>
  <c r="R100" i="2"/>
  <c r="R99" i="2"/>
  <c r="R98" i="2"/>
  <c r="R97" i="2"/>
  <c r="R96" i="2"/>
  <c r="R95" i="2"/>
  <c r="R94" i="2"/>
  <c r="R93" i="2"/>
  <c r="R92" i="2"/>
  <c r="R91" i="2"/>
  <c r="R90" i="2"/>
  <c r="R116" i="2" l="1"/>
  <c r="R115" i="2" s="1"/>
  <c r="R114" i="2" s="1"/>
  <c r="R89" i="2"/>
  <c r="R88" i="2" s="1"/>
  <c r="AF20" i="2"/>
  <c r="R80" i="2" l="1"/>
  <c r="W81" i="2"/>
  <c r="W88" i="2"/>
  <c r="G80" i="2"/>
  <c r="W114" i="2" l="1"/>
  <c r="N203" i="2"/>
  <c r="AF58" i="2"/>
  <c r="AG56" i="2"/>
  <c r="W80" i="2" l="1"/>
  <c r="AE73" i="2"/>
  <c r="AE56" i="2" l="1"/>
  <c r="AF19" i="2"/>
  <c r="AG19" i="2" l="1"/>
  <c r="AF70" i="2" l="1"/>
  <c r="T10" i="2" l="1"/>
  <c r="T11" i="2"/>
  <c r="T12" i="2"/>
  <c r="T13" i="2"/>
  <c r="P10" i="2"/>
  <c r="Q10" i="2"/>
  <c r="P12" i="2"/>
  <c r="Q12" i="2"/>
  <c r="P9" i="2"/>
  <c r="Q9" i="2"/>
  <c r="K23" i="2"/>
  <c r="R23" i="2"/>
  <c r="P46" i="2" l="1"/>
  <c r="Q46" i="2"/>
  <c r="P42" i="2"/>
  <c r="Q42" i="2"/>
  <c r="AC5" i="2" l="1"/>
  <c r="O12" i="2" l="1"/>
  <c r="M10" i="2"/>
  <c r="M11" i="2"/>
  <c r="M9" i="2"/>
  <c r="L9" i="2"/>
  <c r="X10" i="2"/>
  <c r="X11" i="2"/>
  <c r="X12" i="2"/>
  <c r="X13" i="2"/>
  <c r="X9" i="2"/>
  <c r="X8" i="2" l="1"/>
  <c r="AN54" i="2" l="1"/>
  <c r="AN53" i="2"/>
  <c r="O204" i="2" l="1"/>
  <c r="AN50" i="2"/>
  <c r="U23" i="2"/>
  <c r="M12" i="2" l="1"/>
  <c r="M13" i="2"/>
  <c r="N12" i="2" l="1"/>
  <c r="AN52" i="2" l="1"/>
  <c r="AN49" i="2"/>
  <c r="N13" i="2" l="1"/>
  <c r="L47" i="2"/>
  <c r="L51" i="2"/>
  <c r="AN51" i="2" s="1"/>
  <c r="L10" i="2" l="1"/>
  <c r="AN47" i="2"/>
  <c r="L202" i="2"/>
  <c r="L201" i="2" s="1"/>
  <c r="L11" i="2"/>
  <c r="O13" i="2"/>
  <c r="L12" i="2" l="1"/>
  <c r="L13" i="2" l="1"/>
  <c r="L46" i="2"/>
  <c r="L42" i="2"/>
  <c r="M42" i="2"/>
  <c r="L36" i="2" l="1"/>
  <c r="L35" i="2" s="1"/>
  <c r="L34" i="2" s="1"/>
  <c r="L33" i="2" s="1"/>
  <c r="H18" i="1"/>
  <c r="H17" i="1" s="1"/>
  <c r="D49" i="1"/>
  <c r="F29" i="1"/>
  <c r="F12" i="1" l="1"/>
  <c r="F9" i="1" s="1"/>
  <c r="E12" i="1"/>
  <c r="E9" i="1" s="1"/>
  <c r="D12" i="1"/>
  <c r="D9" i="1" s="1"/>
  <c r="Q12" i="1"/>
  <c r="P12" i="1"/>
  <c r="N12" i="1"/>
  <c r="M12" i="1"/>
  <c r="M9" i="1" s="1"/>
  <c r="L12" i="1"/>
  <c r="L9" i="1" s="1"/>
  <c r="J12" i="1"/>
  <c r="J9" i="1" s="1"/>
  <c r="N9" i="1"/>
  <c r="P9" i="1"/>
  <c r="Q9" i="1"/>
  <c r="G39" i="1"/>
  <c r="D39" i="1"/>
  <c r="E35" i="1"/>
  <c r="G35" i="1"/>
  <c r="H35" i="1"/>
  <c r="I35" i="1"/>
  <c r="J35" i="1"/>
  <c r="K35" i="1"/>
  <c r="L35" i="1"/>
  <c r="M35" i="1"/>
  <c r="N35" i="1"/>
  <c r="O35" i="1"/>
  <c r="P35" i="1"/>
  <c r="Q35" i="1"/>
  <c r="D35" i="1"/>
  <c r="G24" i="1"/>
  <c r="H24" i="1"/>
  <c r="I24" i="1"/>
  <c r="J24" i="1"/>
  <c r="K24" i="1"/>
  <c r="L24" i="1"/>
  <c r="M24" i="1"/>
  <c r="N24" i="1"/>
  <c r="O24" i="1"/>
  <c r="P24" i="1"/>
  <c r="Q24" i="1"/>
  <c r="E24" i="1"/>
  <c r="F20" i="1"/>
  <c r="G20" i="1"/>
  <c r="I20" i="1"/>
  <c r="J20" i="1"/>
  <c r="K20" i="1"/>
  <c r="L20" i="1"/>
  <c r="M20" i="1"/>
  <c r="N20" i="1"/>
  <c r="O20" i="1"/>
  <c r="O16" i="1" s="1"/>
  <c r="P20" i="1"/>
  <c r="Q20" i="1"/>
  <c r="E20" i="1"/>
  <c r="G17" i="1"/>
  <c r="I17" i="1"/>
  <c r="J17" i="1"/>
  <c r="K17" i="1"/>
  <c r="L17" i="1"/>
  <c r="M17" i="1"/>
  <c r="N17" i="1"/>
  <c r="O17" i="1"/>
  <c r="P17" i="1"/>
  <c r="Q17" i="1"/>
  <c r="I16" i="1"/>
  <c r="J16" i="1"/>
  <c r="Q16" i="1"/>
  <c r="G12" i="1"/>
  <c r="G9" i="1" s="1"/>
  <c r="H12" i="1"/>
  <c r="H9" i="1" s="1"/>
  <c r="I12" i="1"/>
  <c r="I9" i="1" s="1"/>
  <c r="I8" i="1" s="1"/>
  <c r="K12" i="1"/>
  <c r="K9" i="1" s="1"/>
  <c r="O12" i="1"/>
  <c r="O9" i="1" s="1"/>
  <c r="R50" i="1"/>
  <c r="F53" i="1"/>
  <c r="R53" i="1" s="1"/>
  <c r="H52" i="1"/>
  <c r="R52" i="1" s="1"/>
  <c r="H51" i="1"/>
  <c r="R51" i="1" s="1"/>
  <c r="F44" i="1"/>
  <c r="R44" i="1" s="1"/>
  <c r="F43" i="1"/>
  <c r="R43" i="1" s="1"/>
  <c r="P46" i="1"/>
  <c r="R46" i="1" s="1"/>
  <c r="P47" i="1"/>
  <c r="R47" i="1" s="1"/>
  <c r="P45" i="1"/>
  <c r="R45" i="1" s="1"/>
  <c r="O42" i="1"/>
  <c r="R42" i="1" s="1"/>
  <c r="N41" i="1"/>
  <c r="R41" i="1" s="1"/>
  <c r="L40" i="1"/>
  <c r="R40" i="1" s="1"/>
  <c r="F38" i="1"/>
  <c r="R38" i="1" s="1"/>
  <c r="F37" i="1"/>
  <c r="R37" i="1" s="1"/>
  <c r="F36" i="1"/>
  <c r="H34" i="1"/>
  <c r="H33" i="1"/>
  <c r="R33" i="1" s="1"/>
  <c r="H32" i="1"/>
  <c r="R32" i="1" s="1"/>
  <c r="H31" i="1"/>
  <c r="R31" i="1" s="1"/>
  <c r="H30" i="1"/>
  <c r="H29" i="1"/>
  <c r="R29" i="1" s="1"/>
  <c r="F25" i="1"/>
  <c r="F24" i="1" s="1"/>
  <c r="H21" i="1"/>
  <c r="H20" i="1" s="1"/>
  <c r="F19" i="1"/>
  <c r="F17" i="1" s="1"/>
  <c r="R18" i="1"/>
  <c r="R14" i="1"/>
  <c r="R15" i="1"/>
  <c r="R13" i="1"/>
  <c r="R21" i="1" l="1"/>
  <c r="R20" i="1" s="1"/>
  <c r="M16" i="1"/>
  <c r="N16" i="1"/>
  <c r="N8" i="1" s="1"/>
  <c r="F35" i="1"/>
  <c r="R12" i="1"/>
  <c r="R9" i="1" s="1"/>
  <c r="J8" i="1"/>
  <c r="M8" i="1"/>
  <c r="O8" i="1"/>
  <c r="Q8" i="1"/>
  <c r="R36" i="1"/>
  <c r="R35" i="1" s="1"/>
  <c r="F16" i="1"/>
  <c r="F8" i="1" s="1"/>
  <c r="R25" i="1"/>
  <c r="R24" i="1" s="1"/>
  <c r="R19" i="1"/>
  <c r="R17" i="1" s="1"/>
  <c r="H28" i="1"/>
  <c r="K16" i="1"/>
  <c r="K8" i="1" s="1"/>
  <c r="G16" i="1"/>
  <c r="G8" i="1" s="1"/>
  <c r="P16" i="1"/>
  <c r="P8" i="1" s="1"/>
  <c r="L16" i="1"/>
  <c r="L8" i="1" s="1"/>
  <c r="H16" i="1"/>
  <c r="H8" i="1" s="1"/>
  <c r="R30" i="1"/>
  <c r="R34" i="1"/>
  <c r="M46" i="2"/>
  <c r="M36" i="2" s="1"/>
  <c r="M35" i="2" s="1"/>
  <c r="M34" i="2" s="1"/>
  <c r="M33" i="2" s="1"/>
  <c r="AI20" i="2"/>
  <c r="AK20" i="2" s="1"/>
  <c r="AM47" i="2"/>
  <c r="AM49" i="2"/>
  <c r="AM51" i="2"/>
  <c r="AM52" i="2"/>
  <c r="AM53" i="2"/>
  <c r="AM54" i="2"/>
  <c r="AM56" i="2"/>
  <c r="AM57" i="2"/>
  <c r="AM58" i="2"/>
  <c r="AM73" i="2"/>
  <c r="G20" i="2"/>
  <c r="G22" i="2"/>
  <c r="G21" i="2" s="1"/>
  <c r="G32" i="2"/>
  <c r="G31" i="2" s="1"/>
  <c r="G43" i="2"/>
  <c r="G44" i="2"/>
  <c r="G45" i="2"/>
  <c r="G47" i="2"/>
  <c r="G48" i="2"/>
  <c r="G49" i="2"/>
  <c r="G50" i="2"/>
  <c r="G204" i="2" s="1"/>
  <c r="G51" i="2"/>
  <c r="G52" i="2"/>
  <c r="G53" i="2"/>
  <c r="G54" i="2"/>
  <c r="G56" i="2"/>
  <c r="G57" i="2"/>
  <c r="G58" i="2"/>
  <c r="G72" i="2"/>
  <c r="G71" i="2" s="1"/>
  <c r="G70" i="2" s="1"/>
  <c r="G19" i="2"/>
  <c r="F43" i="2"/>
  <c r="F44" i="2"/>
  <c r="F45" i="2"/>
  <c r="F47" i="2"/>
  <c r="F48" i="2"/>
  <c r="F49" i="2"/>
  <c r="F50" i="2"/>
  <c r="F51" i="2"/>
  <c r="F52" i="2"/>
  <c r="F53" i="2"/>
  <c r="F54" i="2"/>
  <c r="F56" i="2"/>
  <c r="F57" i="2"/>
  <c r="F58" i="2"/>
  <c r="F73" i="2"/>
  <c r="A37" i="2"/>
  <c r="A43" i="2"/>
  <c r="A44" i="2"/>
  <c r="A45" i="2"/>
  <c r="A47" i="2"/>
  <c r="A48" i="2"/>
  <c r="A49" i="2"/>
  <c r="A50" i="2"/>
  <c r="A51" i="2"/>
  <c r="A52" i="2"/>
  <c r="A53" i="2"/>
  <c r="A54" i="2"/>
  <c r="A56" i="2"/>
  <c r="A57" i="2"/>
  <c r="A58" i="2"/>
  <c r="A73" i="2"/>
  <c r="B42" i="2"/>
  <c r="B43" i="2"/>
  <c r="B44" i="2"/>
  <c r="B45" i="2"/>
  <c r="B47" i="2"/>
  <c r="B48" i="2"/>
  <c r="B49" i="2"/>
  <c r="B50" i="2"/>
  <c r="B51" i="2"/>
  <c r="B52" i="2"/>
  <c r="B53" i="2"/>
  <c r="B54" i="2"/>
  <c r="B56" i="2"/>
  <c r="B57" i="2"/>
  <c r="B58" i="2"/>
  <c r="B70" i="2"/>
  <c r="B73" i="2"/>
  <c r="A33" i="2"/>
  <c r="B33" i="2"/>
  <c r="F19" i="2"/>
  <c r="F20" i="2"/>
  <c r="F22" i="2"/>
  <c r="F32" i="2"/>
  <c r="A19" i="2"/>
  <c r="A20" i="2"/>
  <c r="A24" i="2"/>
  <c r="A25" i="2"/>
  <c r="A26" i="2"/>
  <c r="A27" i="2"/>
  <c r="A32" i="2"/>
  <c r="A15" i="2"/>
  <c r="B32" i="2"/>
  <c r="B19" i="2"/>
  <c r="B20" i="2"/>
  <c r="B22" i="2"/>
  <c r="B24" i="2"/>
  <c r="B25" i="2"/>
  <c r="B15" i="2"/>
  <c r="G55" i="2" l="1"/>
  <c r="G18" i="2"/>
  <c r="G15" i="2" s="1"/>
  <c r="J203" i="2"/>
  <c r="W203" i="2" s="1"/>
  <c r="J204" i="2"/>
  <c r="W204" i="2" s="1"/>
  <c r="AM50" i="2"/>
  <c r="AN26" i="2"/>
  <c r="G203" i="2"/>
  <c r="G202" i="2"/>
  <c r="K19" i="2"/>
  <c r="J202" i="2"/>
  <c r="J25" i="2"/>
  <c r="J9" i="2"/>
  <c r="G12" i="2"/>
  <c r="U57" i="2"/>
  <c r="S57" i="2"/>
  <c r="R57" i="2" s="1"/>
  <c r="K57" i="2"/>
  <c r="U53" i="2"/>
  <c r="K53" i="2"/>
  <c r="S53" i="2"/>
  <c r="R53" i="2" s="1"/>
  <c r="U49" i="2"/>
  <c r="K49" i="2"/>
  <c r="S49" i="2"/>
  <c r="R49" i="2" s="1"/>
  <c r="U44" i="2"/>
  <c r="K44" i="2"/>
  <c r="S32" i="2"/>
  <c r="S31" i="2" s="1"/>
  <c r="K32" i="2"/>
  <c r="K31" i="2" s="1"/>
  <c r="S27" i="2"/>
  <c r="R27" i="2" s="1"/>
  <c r="K27" i="2"/>
  <c r="S73" i="2"/>
  <c r="S72" i="2" s="1"/>
  <c r="S71" i="2" s="1"/>
  <c r="S70" i="2" s="1"/>
  <c r="K73" i="2"/>
  <c r="K72" i="2" s="1"/>
  <c r="K71" i="2" s="1"/>
  <c r="K70" i="2" s="1"/>
  <c r="U56" i="2"/>
  <c r="K56" i="2"/>
  <c r="S56" i="2"/>
  <c r="U52" i="2"/>
  <c r="K52" i="2"/>
  <c r="S52" i="2"/>
  <c r="R52" i="2" s="1"/>
  <c r="S48" i="2"/>
  <c r="R48" i="2" s="1"/>
  <c r="K48" i="2"/>
  <c r="K43" i="2"/>
  <c r="S43" i="2"/>
  <c r="S26" i="2"/>
  <c r="K26" i="2"/>
  <c r="U51" i="2"/>
  <c r="S51" i="2"/>
  <c r="R51" i="2" s="1"/>
  <c r="K51" i="2"/>
  <c r="K47" i="2"/>
  <c r="S47" i="2"/>
  <c r="U22" i="2"/>
  <c r="U21" i="2" s="1"/>
  <c r="S22" i="2"/>
  <c r="K22" i="2"/>
  <c r="K21" i="2" s="1"/>
  <c r="S203" i="2"/>
  <c r="U58" i="2"/>
  <c r="S58" i="2"/>
  <c r="R58" i="2" s="1"/>
  <c r="K58" i="2"/>
  <c r="U54" i="2"/>
  <c r="S54" i="2"/>
  <c r="R54" i="2" s="1"/>
  <c r="K54" i="2"/>
  <c r="U50" i="2"/>
  <c r="S50" i="2"/>
  <c r="K50" i="2"/>
  <c r="K45" i="2"/>
  <c r="S45" i="2"/>
  <c r="R45" i="2" s="1"/>
  <c r="U20" i="2"/>
  <c r="S20" i="2"/>
  <c r="R20" i="2" s="1"/>
  <c r="K20" i="2"/>
  <c r="G9" i="2"/>
  <c r="U19" i="2"/>
  <c r="J12" i="2"/>
  <c r="W12" i="2" s="1"/>
  <c r="J13" i="2"/>
  <c r="W13" i="2" s="1"/>
  <c r="G13" i="2"/>
  <c r="U47" i="2"/>
  <c r="J11" i="2"/>
  <c r="G11" i="2"/>
  <c r="U32" i="2"/>
  <c r="U31" i="2" s="1"/>
  <c r="U73" i="2"/>
  <c r="L24" i="2"/>
  <c r="L14" i="2" s="1"/>
  <c r="R16" i="1"/>
  <c r="R8" i="1" s="1"/>
  <c r="G10" i="2"/>
  <c r="G42" i="2"/>
  <c r="G46" i="2"/>
  <c r="J46" i="2"/>
  <c r="J10" i="2"/>
  <c r="J42" i="2"/>
  <c r="J36" i="2" s="1"/>
  <c r="J35" i="2" s="1"/>
  <c r="J34" i="2" s="1"/>
  <c r="J33" i="2" s="1"/>
  <c r="D17" i="1"/>
  <c r="D16" i="1" s="1"/>
  <c r="D8" i="1" s="1"/>
  <c r="D20" i="1"/>
  <c r="D28" i="1"/>
  <c r="D27" i="1" s="1"/>
  <c r="E62" i="1"/>
  <c r="F62" i="1"/>
  <c r="G62" i="1"/>
  <c r="H62" i="1"/>
  <c r="H58" i="1" s="1"/>
  <c r="I62" i="1"/>
  <c r="J62" i="1"/>
  <c r="K62" i="1"/>
  <c r="L62" i="1"/>
  <c r="M62" i="1"/>
  <c r="N62" i="1"/>
  <c r="O62" i="1"/>
  <c r="P62" i="1"/>
  <c r="P58" i="1" s="1"/>
  <c r="Q62" i="1"/>
  <c r="R62" i="1"/>
  <c r="D62" i="1"/>
  <c r="E59" i="1"/>
  <c r="F59" i="1"/>
  <c r="G59" i="1"/>
  <c r="G58" i="1" s="1"/>
  <c r="H59" i="1"/>
  <c r="I59" i="1"/>
  <c r="J59" i="1"/>
  <c r="K59" i="1"/>
  <c r="K58" i="1" s="1"/>
  <c r="L59" i="1"/>
  <c r="M59" i="1"/>
  <c r="N59" i="1"/>
  <c r="O59" i="1"/>
  <c r="O58" i="1" s="1"/>
  <c r="P59" i="1"/>
  <c r="Q59" i="1"/>
  <c r="R59" i="1"/>
  <c r="D59" i="1"/>
  <c r="D58" i="1" s="1"/>
  <c r="E55" i="1"/>
  <c r="F55" i="1"/>
  <c r="G55" i="1"/>
  <c r="H55" i="1"/>
  <c r="I55" i="1"/>
  <c r="J55" i="1"/>
  <c r="K55" i="1"/>
  <c r="L55" i="1"/>
  <c r="M55" i="1"/>
  <c r="N55" i="1"/>
  <c r="O55" i="1"/>
  <c r="P55" i="1"/>
  <c r="Q55" i="1"/>
  <c r="R55" i="1"/>
  <c r="D55" i="1"/>
  <c r="E49" i="1"/>
  <c r="F49" i="1"/>
  <c r="G49" i="1"/>
  <c r="H49" i="1"/>
  <c r="I49" i="1"/>
  <c r="J49" i="1"/>
  <c r="K49" i="1"/>
  <c r="L49" i="1"/>
  <c r="M49" i="1"/>
  <c r="N49" i="1"/>
  <c r="O49" i="1"/>
  <c r="P49" i="1"/>
  <c r="Q49" i="1"/>
  <c r="R49" i="1"/>
  <c r="F39" i="1"/>
  <c r="H39" i="1"/>
  <c r="I39" i="1"/>
  <c r="J39" i="1"/>
  <c r="K39" i="1"/>
  <c r="L39" i="1"/>
  <c r="M39" i="1"/>
  <c r="N39" i="1"/>
  <c r="O39" i="1"/>
  <c r="P39" i="1"/>
  <c r="Q39" i="1"/>
  <c r="Q27" i="1" s="1"/>
  <c r="Q26" i="1" s="1"/>
  <c r="Q7" i="1" s="1"/>
  <c r="R39" i="1"/>
  <c r="E39" i="1"/>
  <c r="F28" i="1"/>
  <c r="G28" i="1"/>
  <c r="G27" i="1" s="1"/>
  <c r="G26" i="1" s="1"/>
  <c r="G7" i="1" s="1"/>
  <c r="I28" i="1"/>
  <c r="J28" i="1"/>
  <c r="J27" i="1" s="1"/>
  <c r="J26" i="1" s="1"/>
  <c r="J7" i="1" s="1"/>
  <c r="K28" i="1"/>
  <c r="L28" i="1"/>
  <c r="M28" i="1"/>
  <c r="N28" i="1"/>
  <c r="O28" i="1"/>
  <c r="P28" i="1"/>
  <c r="Q28" i="1"/>
  <c r="R28" i="1"/>
  <c r="E28" i="1"/>
  <c r="E17" i="1"/>
  <c r="E16" i="1" s="1"/>
  <c r="E8" i="1" s="1"/>
  <c r="R58" i="1" l="1"/>
  <c r="N58" i="1"/>
  <c r="J58" i="1"/>
  <c r="F58" i="1"/>
  <c r="O27" i="1"/>
  <c r="O26" i="1" s="1"/>
  <c r="O7" i="1" s="1"/>
  <c r="Q58" i="1"/>
  <c r="M58" i="1"/>
  <c r="I58" i="1"/>
  <c r="E58" i="1"/>
  <c r="G36" i="2"/>
  <c r="G35" i="2" s="1"/>
  <c r="G34" i="2" s="1"/>
  <c r="G33" i="2" s="1"/>
  <c r="S55" i="2"/>
  <c r="K55" i="2"/>
  <c r="Q55" i="2"/>
  <c r="Q36" i="2" s="1"/>
  <c r="Q35" i="2" s="1"/>
  <c r="Q34" i="2" s="1"/>
  <c r="Q33" i="2" s="1"/>
  <c r="Q11" i="2"/>
  <c r="W55" i="2"/>
  <c r="R22" i="2"/>
  <c r="R21" i="2" s="1"/>
  <c r="S21" i="2"/>
  <c r="J201" i="2"/>
  <c r="N26" i="2"/>
  <c r="AM26" i="2" s="1"/>
  <c r="S19" i="2"/>
  <c r="S18" i="2" s="1"/>
  <c r="K18" i="2"/>
  <c r="K15" i="2" s="1"/>
  <c r="N27" i="2"/>
  <c r="AM27" i="2" s="1"/>
  <c r="AN27" i="2"/>
  <c r="G201" i="2"/>
  <c r="R50" i="2"/>
  <c r="R204" i="2" s="1"/>
  <c r="S204" i="2"/>
  <c r="Q202" i="2"/>
  <c r="Q201" i="2" s="1"/>
  <c r="S202" i="2"/>
  <c r="U55" i="2"/>
  <c r="U18" i="2"/>
  <c r="U15" i="2" s="1"/>
  <c r="K25" i="2"/>
  <c r="S25" i="2"/>
  <c r="L8" i="2"/>
  <c r="Q13" i="2"/>
  <c r="K10" i="2"/>
  <c r="K42" i="2"/>
  <c r="R56" i="2"/>
  <c r="R55" i="2" s="1"/>
  <c r="K13" i="2"/>
  <c r="K12" i="2"/>
  <c r="S11" i="2"/>
  <c r="R47" i="2"/>
  <c r="S46" i="2"/>
  <c r="K9" i="2"/>
  <c r="S13" i="2"/>
  <c r="R32" i="2"/>
  <c r="R31" i="2" s="1"/>
  <c r="K46" i="2"/>
  <c r="K11" i="2"/>
  <c r="R26" i="2"/>
  <c r="R25" i="2" s="1"/>
  <c r="S9" i="2"/>
  <c r="R43" i="2"/>
  <c r="S10" i="2"/>
  <c r="S42" i="2"/>
  <c r="R73" i="2"/>
  <c r="R72" i="2" s="1"/>
  <c r="R71" i="2" s="1"/>
  <c r="R70" i="2" s="1"/>
  <c r="U27" i="2"/>
  <c r="U12" i="2"/>
  <c r="U13" i="2"/>
  <c r="W70" i="2"/>
  <c r="N27" i="1"/>
  <c r="N26" i="1" s="1"/>
  <c r="N7" i="1" s="1"/>
  <c r="L58" i="1"/>
  <c r="M27" i="1"/>
  <c r="M26" i="1" s="1"/>
  <c r="M7" i="1" s="1"/>
  <c r="E27" i="1"/>
  <c r="K27" i="1"/>
  <c r="K26" i="1" s="1"/>
  <c r="K7" i="1" s="1"/>
  <c r="P27" i="1"/>
  <c r="P26" i="1" s="1"/>
  <c r="P7" i="1" s="1"/>
  <c r="D54" i="1"/>
  <c r="D26" i="1" s="1"/>
  <c r="D7" i="1" s="1"/>
  <c r="I27" i="1"/>
  <c r="I26" i="1" s="1"/>
  <c r="I7" i="1" s="1"/>
  <c r="L27" i="1"/>
  <c r="L26" i="1" s="1"/>
  <c r="L7" i="1" s="1"/>
  <c r="E54" i="1"/>
  <c r="F27" i="1"/>
  <c r="F26" i="1" s="1"/>
  <c r="F7" i="1" s="1"/>
  <c r="H27" i="1"/>
  <c r="H26" i="1" s="1"/>
  <c r="H7" i="1" s="1"/>
  <c r="R27" i="1"/>
  <c r="R26" i="1" s="1"/>
  <c r="R7" i="1" s="1"/>
  <c r="R19" i="2" l="1"/>
  <c r="R18" i="2" s="1"/>
  <c r="R15" i="2" s="1"/>
  <c r="S12" i="2"/>
  <c r="S36" i="2"/>
  <c r="S35" i="2" s="1"/>
  <c r="S34" i="2" s="1"/>
  <c r="S33" i="2" s="1"/>
  <c r="K36" i="2"/>
  <c r="K35" i="2" s="1"/>
  <c r="K34" i="2" s="1"/>
  <c r="K33" i="2" s="1"/>
  <c r="M24" i="2"/>
  <c r="M14" i="2" s="1"/>
  <c r="M8" i="2" s="1"/>
  <c r="Q24" i="2"/>
  <c r="Q14" i="2" s="1"/>
  <c r="Q8" i="2" s="1"/>
  <c r="Q225" i="2" s="1"/>
  <c r="P55" i="2"/>
  <c r="P36" i="2" s="1"/>
  <c r="P35" i="2" s="1"/>
  <c r="P34" i="2" s="1"/>
  <c r="P33" i="2" s="1"/>
  <c r="P11" i="2"/>
  <c r="S15" i="2"/>
  <c r="S201" i="2"/>
  <c r="R202" i="2"/>
  <c r="R203" i="2"/>
  <c r="P202" i="2"/>
  <c r="P201" i="2" s="1"/>
  <c r="P13" i="2"/>
  <c r="R10" i="2"/>
  <c r="R42" i="2"/>
  <c r="R9" i="2"/>
  <c r="R12" i="2"/>
  <c r="R13" i="2"/>
  <c r="R11" i="2"/>
  <c r="R46" i="2"/>
  <c r="E26" i="1"/>
  <c r="E7" i="1" s="1"/>
  <c r="R36" i="2" l="1"/>
  <c r="R35" i="2" s="1"/>
  <c r="R34" i="2" s="1"/>
  <c r="R33" i="2" s="1"/>
  <c r="G24" i="2"/>
  <c r="G14" i="2" s="1"/>
  <c r="G8" i="2" s="1"/>
  <c r="J24" i="2"/>
  <c r="R201" i="2"/>
  <c r="J14" i="2" l="1"/>
  <c r="J8" i="2" s="1"/>
  <c r="AA7" i="2" s="1"/>
  <c r="AC36" i="2"/>
  <c r="S24" i="2"/>
  <c r="S14" i="2" s="1"/>
  <c r="S8" i="2" s="1"/>
  <c r="S225" i="2" s="1"/>
  <c r="K24" i="2"/>
  <c r="K14" i="2" s="1"/>
  <c r="K8" i="2" s="1"/>
  <c r="AE24" i="2"/>
  <c r="AC17" i="2"/>
  <c r="P24" i="2"/>
  <c r="P14" i="2" s="1"/>
  <c r="P8" i="2" s="1"/>
  <c r="P225" i="2" s="1"/>
  <c r="O9" i="2"/>
  <c r="N9" i="2"/>
  <c r="W9" i="2" s="1"/>
  <c r="O25" i="2"/>
  <c r="U26" i="2"/>
  <c r="U25" i="2" s="1"/>
  <c r="N25" i="2"/>
  <c r="R24" i="2" l="1"/>
  <c r="R14" i="2" s="1"/>
  <c r="R8" i="2" s="1"/>
  <c r="R225" i="2" s="1"/>
  <c r="AE8" i="2"/>
  <c r="U24" i="2"/>
  <c r="U14" i="2" s="1"/>
  <c r="AM43" i="2" l="1"/>
  <c r="U43" i="2"/>
  <c r="AN43" i="2" l="1"/>
  <c r="AM45" i="2"/>
  <c r="U45" i="2"/>
  <c r="U42" i="2" s="1"/>
  <c r="N10" i="2"/>
  <c r="W10" i="2" s="1"/>
  <c r="AN45" i="2"/>
  <c r="N42" i="2"/>
  <c r="O42" i="2" l="1"/>
  <c r="O10" i="2"/>
  <c r="AM48" i="2"/>
  <c r="U48" i="2"/>
  <c r="U11" i="2"/>
  <c r="O202" i="2"/>
  <c r="O201" i="2" s="1"/>
  <c r="N11" i="2"/>
  <c r="W11" i="2" s="1"/>
  <c r="N46" i="2"/>
  <c r="N24" i="2" s="1"/>
  <c r="N14" i="2" s="1"/>
  <c r="W14" i="2" s="1"/>
  <c r="N202" i="2"/>
  <c r="W202" i="2" s="1"/>
  <c r="AN48" i="2"/>
  <c r="O46" i="2"/>
  <c r="O36" i="2" l="1"/>
  <c r="O35" i="2" s="1"/>
  <c r="O34" i="2" s="1"/>
  <c r="O33" i="2" s="1"/>
  <c r="N36" i="2"/>
  <c r="N35" i="2" s="1"/>
  <c r="U46" i="2"/>
  <c r="U36" i="2" s="1"/>
  <c r="U10" i="2"/>
  <c r="O11" i="2"/>
  <c r="N201" i="2"/>
  <c r="W201" i="2" s="1"/>
  <c r="N34" i="2" l="1"/>
  <c r="N33" i="2" s="1"/>
  <c r="W33" i="2" s="1"/>
  <c r="W36" i="2"/>
  <c r="AE36" i="2"/>
  <c r="AF36" i="2" s="1"/>
  <c r="U35" i="2"/>
  <c r="U33" i="2" s="1"/>
  <c r="U8" i="2" s="1"/>
  <c r="O24" i="2"/>
  <c r="O14" i="2" s="1"/>
  <c r="O8" i="2" s="1"/>
  <c r="AE17" i="2" l="1"/>
  <c r="AF17" i="2" s="1"/>
  <c r="N8" i="2"/>
  <c r="AF24" i="2"/>
  <c r="AG24" i="2" s="1"/>
  <c r="W8" i="2" l="1"/>
  <c r="AC8" i="2" s="1"/>
</calcChain>
</file>

<file path=xl/comments1.xml><?xml version="1.0" encoding="utf-8"?>
<comments xmlns="http://schemas.openxmlformats.org/spreadsheetml/2006/main">
  <authors>
    <author>dell</author>
  </authors>
  <commentList>
    <comment ref="B38" authorId="0" shapeId="0">
      <text>
        <r>
          <rPr>
            <b/>
            <sz val="9"/>
            <color indexed="81"/>
            <rFont val="Tahoma"/>
            <family val="2"/>
          </rPr>
          <t>dell:</t>
        </r>
        <r>
          <rPr>
            <sz val="9"/>
            <color indexed="81"/>
            <rFont val="Tahoma"/>
            <family val="2"/>
          </rPr>
          <t xml:space="preserve">
LG NTM</t>
        </r>
      </text>
    </comment>
  </commentList>
</comments>
</file>

<file path=xl/sharedStrings.xml><?xml version="1.0" encoding="utf-8"?>
<sst xmlns="http://schemas.openxmlformats.org/spreadsheetml/2006/main" count="1112" uniqueCount="554">
  <si>
    <t>Cấp tỉnh quản lý</t>
  </si>
  <si>
    <t>Nguồn vốn NSTW</t>
  </si>
  <si>
    <t>Sắp xếp ổn định các điểm dân cư: Mò Lò, Sa Thàng xã Mù Cả, điểm Nậm Kha Á, Pà Khà, U Na1-2, Tia Ma Mủ, Pa Tết xã Tà Tổng, huyện Mường Tè;</t>
  </si>
  <si>
    <t>1734-04/12/2020</t>
  </si>
  <si>
    <t>Sắp xếp ổn định dân cư 02 xã Tà Tổng, Mù Cả</t>
  </si>
  <si>
    <t>1735-04/12/2020</t>
  </si>
  <si>
    <t>Nâng cấp đường giao thông Nậm Lằn - Mốc 17</t>
  </si>
  <si>
    <t>997-30/07/2021</t>
  </si>
  <si>
    <t>Nguồn vốn NSĐP tỉnh quản lý</t>
  </si>
  <si>
    <t>Đường giao thông đến điểm ĐCĐC Nậm Khá A (Tia Sùng Cái), xã Tà Tổng, huyện Mường Tè</t>
  </si>
  <si>
    <t>Điểm vui chơi trẻ em huyện Mường Tè (Giai đoạn I)</t>
  </si>
  <si>
    <t>Nâng cấp đường Pa Ủ - Hà Xi, xã Pa Ủ, huyện Mường Tè</t>
  </si>
  <si>
    <t>50-31/3/2016</t>
  </si>
  <si>
    <t>Nâng cấp hệ thống nước sinh hoạt thị trấn Mường Tè</t>
  </si>
  <si>
    <t>Cân đối ngân sách cấp huyện</t>
  </si>
  <si>
    <t>I</t>
  </si>
  <si>
    <t>Đầu tư xây dựng phòng học các trường MN, TH huyện Mường Tè</t>
  </si>
  <si>
    <t>566-07/06/2017</t>
  </si>
  <si>
    <t>Nước sinh hoạt điểm ĐCĐC Xé Ma xã Tà Tổng</t>
  </si>
  <si>
    <t>2174-30/10/2014</t>
  </si>
  <si>
    <t>Đầu tư 12 phòng học các trường MN huyện Mường Tè</t>
  </si>
  <si>
    <t>1322-27/10/2017</t>
  </si>
  <si>
    <t>1626-06/12/2021</t>
  </si>
  <si>
    <t>Tổng số</t>
  </si>
  <si>
    <t>A</t>
  </si>
  <si>
    <t>II</t>
  </si>
  <si>
    <t>B</t>
  </si>
  <si>
    <t>Cấp huyện quản lý</t>
  </si>
  <si>
    <t>a</t>
  </si>
  <si>
    <t>Dự án hoàn thành bàn giao, đưa vào sử dụng trước 31/12/2021</t>
  </si>
  <si>
    <t>b</t>
  </si>
  <si>
    <t>Dự án dự kiến hoàn thành năm 2022</t>
  </si>
  <si>
    <t>c</t>
  </si>
  <si>
    <t>Các dự án chuyển tiếp hoàn thành sau năm 2022</t>
  </si>
  <si>
    <t>Dự án hoàn thành, đã phê duyệt quyết toán</t>
  </si>
  <si>
    <t>Dự án hoàn thành bàn giao, đưa vào sử dụng trước ngày 31/12/2021</t>
  </si>
  <si>
    <t>d</t>
  </si>
  <si>
    <t>Dự án chuyển tiếp hoàn thành sau năm 2022</t>
  </si>
  <si>
    <t>đ</t>
  </si>
  <si>
    <t>Dự án khởi công mới năm 2022</t>
  </si>
  <si>
    <t>Cấp điện sinh hoạt cho nhân dân tại các điểm sắp xếp dân cư bị ảnh hưởng do mưa lũ năm 2018, huyện Mường Tè</t>
  </si>
  <si>
    <t>214-28/02/2019</t>
  </si>
  <si>
    <t>Nhà văn hóa bản Nậm Củm 1 xã Mường Tè</t>
  </si>
  <si>
    <t>Trường PTDT bán trú THCS xã Thu Lũm</t>
  </si>
  <si>
    <t>1931-28/08/2015</t>
  </si>
  <si>
    <t>1509A-31/10/2017</t>
  </si>
  <si>
    <t>Mặt bằng hạ tầng kỹ thuật điểm ĐCĐC  Là Si, xã Tá Bạ</t>
  </si>
  <si>
    <t>Xây dựng phòng họp Huyện ủy, huyện Mường Tè</t>
  </si>
  <si>
    <t>Sắp xếp dân cư vùng thiên tai bản Pa Thoóng trên với bản Đầu Nậm Xả</t>
  </si>
  <si>
    <t>2048-31/10/18</t>
  </si>
  <si>
    <t>2824-18/10/19</t>
  </si>
  <si>
    <t>2946a/31.10.19</t>
  </si>
  <si>
    <t>Xây dựng bổ sung trường PTDTBT TH, THCS xã Can Hồ</t>
  </si>
  <si>
    <t>Nhà hiệu bộ, phòng học chức năng trường THCS Thu Lũm</t>
  </si>
  <si>
    <t>Phòng học chức năng trường TH, THCS Bum Nưa</t>
  </si>
  <si>
    <t>Sửa chữa nhà lớp học, nhà bán trú và các HMPT trường THCS xã Mù Cả</t>
  </si>
  <si>
    <t>Kè chống sạt bảo vệ trường TH, THCS, xã Tá Bạ</t>
  </si>
  <si>
    <t>Thủy lợi Nhù Cư Ló Cá, xã Thu Lũm</t>
  </si>
  <si>
    <t>Thủy lợi Phu Khà Ló Cá, xã Thu Lũm</t>
  </si>
  <si>
    <t>Nâng cấp thủy lợi Nậm Dính, xã Tà Tổng</t>
  </si>
  <si>
    <t>3557-31/12/2020</t>
  </si>
  <si>
    <t>3559-31/12/2020</t>
  </si>
  <si>
    <t>3558-31/12/2020</t>
  </si>
  <si>
    <t>3561-31/12/2020</t>
  </si>
  <si>
    <t>3554-31/12/2020</t>
  </si>
  <si>
    <t>Trường mầm non xã Ka Lăng, huyện Mường Tè (Hạng mục phụ trợ)</t>
  </si>
  <si>
    <t>Phòng họp trực tuyến Huyện ủy, huyện Mường Tè (GĐII)</t>
  </si>
  <si>
    <t>Nhà đa năng trường THCS thị trấn, huyện Mường Tè</t>
  </si>
  <si>
    <t>Hạ tầng đô thị, điện chiếu sáng thị trấn Mường Tè, huyện Mường Tè</t>
  </si>
  <si>
    <t>Vốn đầu tư từ nguồn thu sử dụng đất</t>
  </si>
  <si>
    <t>II.1</t>
  </si>
  <si>
    <t>Kinh phí đo đạc, lập cơ sở dữ liệu hồ sơ địa chính và cấp giấy chứng nhận quyền sử dụng đất, quy hoạch sử dụng đất và kiểm kê đất đai</t>
  </si>
  <si>
    <t>Kinh phí đo đạc bổ sung bản đồ địa chính, lập hồ sơ địa chính, cấp GCNQSD đất 02 xã Vàng San và Bum Nưa</t>
  </si>
  <si>
    <t>1202A-24/6/2019</t>
  </si>
  <si>
    <t>Kiểm kê đất đai, lập bản đồ hiện trạng sử dụng đất năm 2019</t>
  </si>
  <si>
    <t>904-03/6/2020</t>
  </si>
  <si>
    <t>II.2</t>
  </si>
  <si>
    <t>Chi đầu tư các dự án</t>
  </si>
  <si>
    <t>Bến xe khách huyện Mường Tè (GĐ2)</t>
  </si>
  <si>
    <t>2816-16/10/19</t>
  </si>
  <si>
    <t>Xây dựng hạ tầng kỹ thuật và chỉnh trang đô thị, thị trấn Mường Tè, huyện Mường Tè</t>
  </si>
  <si>
    <t>628-02/4/2021</t>
  </si>
  <si>
    <t>(Kèm theo Văn bản số:             /UBND-TH ngày          tháng 01 năm 2022 của UBND huyện Mường Tè)</t>
  </si>
  <si>
    <t>BIỂU CAM KẾT GIẢI NGÂN KẾ HOẠCH VỐN ĐẦU TƯ CÔNG NĂM 2022</t>
  </si>
  <si>
    <t>TT</t>
  </si>
  <si>
    <t>Danh mục dự án</t>
  </si>
  <si>
    <t>Quyết định đầu tư</t>
  </si>
  <si>
    <t>Kế hoạch giao năm 2022</t>
  </si>
  <si>
    <t>Ghi chú</t>
  </si>
  <si>
    <t>Số QĐ, ngày tháng năm ban hành</t>
  </si>
  <si>
    <t>Tổng mức đầu tư</t>
  </si>
  <si>
    <t>Tháng 1</t>
  </si>
  <si>
    <t>Tháng 2</t>
  </si>
  <si>
    <t>Tháng 3</t>
  </si>
  <si>
    <t>Tháng 4</t>
  </si>
  <si>
    <t>Tháng 5</t>
  </si>
  <si>
    <t>Tháng 6</t>
  </si>
  <si>
    <t>Tháng 7</t>
  </si>
  <si>
    <t>Tháng 8</t>
  </si>
  <si>
    <t>Tháng 9</t>
  </si>
  <si>
    <t>Tháng 10</t>
  </si>
  <si>
    <t>Tháng 11</t>
  </si>
  <si>
    <t>Tháng 12</t>
  </si>
  <si>
    <t>Giải ngân cả năm 2022</t>
  </si>
  <si>
    <t>ĐVT: Triệu đồng</t>
  </si>
  <si>
    <t>Cam kết giải ngân kế hoạch năm 2022</t>
  </si>
  <si>
    <t>Khó khăn vướng mắc</t>
  </si>
  <si>
    <t>Khối lượng thực hiện</t>
  </si>
  <si>
    <t>Lũy kế từ khởi công đến thời điểm báo cáo</t>
  </si>
  <si>
    <t>Đơn vị tính: Triệu đồng</t>
  </si>
  <si>
    <t>3552-31/12/2020</t>
  </si>
  <si>
    <t>3553-31/12/2020</t>
  </si>
  <si>
    <t>3491-29/12/2020</t>
  </si>
  <si>
    <t>2225-15/12/2021</t>
  </si>
  <si>
    <t>2224-15/12/2021</t>
  </si>
  <si>
    <t>2223-15/12/2021</t>
  </si>
  <si>
    <t>2207-10/12/2021</t>
  </si>
  <si>
    <t>Tỷ lệ giải ngân (%)</t>
  </si>
  <si>
    <t>196a-24/02/2012; 1320-25/10/2012</t>
  </si>
  <si>
    <t>1332-27/10/2014</t>
  </si>
  <si>
    <t>Nâng cấp đường giao thông đến trung tâm các xã huyện Mường Tè</t>
  </si>
  <si>
    <t>1611-06/12/2021</t>
  </si>
  <si>
    <t>Số còn lại chưa giải ngân</t>
  </si>
  <si>
    <t>CT</t>
  </si>
  <si>
    <t>KCM</t>
  </si>
  <si>
    <t>QT</t>
  </si>
  <si>
    <t>HT</t>
  </si>
  <si>
    <t>DK</t>
  </si>
  <si>
    <t>Các dự án đã phê duyệt quyết toán</t>
  </si>
  <si>
    <t>Các dự án hoàn thành trước 31/12/2021</t>
  </si>
  <si>
    <t>Các dự án dự kiến hoàn thành trong năm 2022</t>
  </si>
  <si>
    <t>Các dự án chuyển tiếp, hoàn thành sau năm 2022</t>
  </si>
  <si>
    <t>Các dự án khởi công mới</t>
  </si>
  <si>
    <t>Thanh toán KLHT</t>
  </si>
  <si>
    <t>Số vốn cam kết giải ngân đến hết thời điểm báo cáo</t>
  </si>
  <si>
    <t>Giá trị khối lượng đã hoàn thành nghiệm thu nhưng chưa hoàn thành thủ tục thanh toán</t>
  </si>
  <si>
    <t>Địa điểm xây dựng</t>
  </si>
  <si>
    <t>Năng lực thiết kế</t>
  </si>
  <si>
    <t>Thời gian KC-HT</t>
  </si>
  <si>
    <t>Mù Cả + Tà Tổng</t>
  </si>
  <si>
    <t>Tà Tổng</t>
  </si>
  <si>
    <t>huyện Mường Tè</t>
  </si>
  <si>
    <t>Mường Tè</t>
  </si>
  <si>
    <t>Thị trấn</t>
  </si>
  <si>
    <t>Pa Ủ</t>
  </si>
  <si>
    <t>H. Mường Tè</t>
  </si>
  <si>
    <t>Thu Lũm</t>
  </si>
  <si>
    <t>Tá Bạ</t>
  </si>
  <si>
    <t>Bum Tở</t>
  </si>
  <si>
    <t>Can Hồ</t>
  </si>
  <si>
    <t>Bum Nưa</t>
  </si>
  <si>
    <t>Mù Cả</t>
  </si>
  <si>
    <t>Ka Lăng</t>
  </si>
  <si>
    <t>2,5 Km, rãnh thoát nước</t>
  </si>
  <si>
    <t>08 PLH, phụ trợ khác</t>
  </si>
  <si>
    <t>Nhà cấp III, 3 tầng; phụ trợ</t>
  </si>
  <si>
    <t>Cấp III, 2 tầng; phụ trợ</t>
  </si>
  <si>
    <t>Kè BT</t>
  </si>
  <si>
    <t>18 ha, 1 vụ</t>
  </si>
  <si>
    <t>16 ha</t>
  </si>
  <si>
    <t>12 ha</t>
  </si>
  <si>
    <t>20-23</t>
  </si>
  <si>
    <t>21-24</t>
  </si>
  <si>
    <t>22-25</t>
  </si>
  <si>
    <t>19-20</t>
  </si>
  <si>
    <t>21-22</t>
  </si>
  <si>
    <t>e</t>
  </si>
  <si>
    <t>Các chương trình MTQG</t>
  </si>
  <si>
    <t>Chương trinh MTQG NTM</t>
  </si>
  <si>
    <t>Nậm Khao</t>
  </si>
  <si>
    <t>22-23</t>
  </si>
  <si>
    <t>Nâng cấp đường giao thông Ló Mé, Lè Giằng, Là Pê 1,2; trung tâm xã Tá Pạ</t>
  </si>
  <si>
    <t>Cấp điện nông thôn đến các bản Các xã Tà Tổng ( A Mé); Pa Vệ Sử (Chà Gá, Sín Chải C); Mù Cả (Mò Su);  Tá Pạ (Là Si; Vạ Pù)</t>
  </si>
  <si>
    <t>Đường giao thông liên vùng từ bản Mo Chi - bản Cờ Lò, xã Pa Ủ - bản Nậm Phìn, xã Nậm Khao, huyện Mường Tè.</t>
  </si>
  <si>
    <t>Kiên cố thủy lợi Na Cai Bảng bản Giẳng, xã Mường Tè</t>
  </si>
  <si>
    <t>Thuỷ lợi Lọng Co Cu + Huổi Y Lin xã Mường Tè</t>
  </si>
  <si>
    <t>Thuỷ lợi Cư Phu Á Te bản Thu Lũm 1 xã Thu lũm</t>
  </si>
  <si>
    <t>Kiên cố thủy lợi Nà Cấu, xã Mường Tè</t>
  </si>
  <si>
    <t>Nhà lớp học bộ môn trường THCS xã Mường Tè, huyện Mường Tè</t>
  </si>
  <si>
    <t>Cấp điện nông thôn từ điện lưới quốc gia bản (A Chè, Suối Voi, Nậm Phìn, Cờ Lò) thuộc các xã, huyện Mường Tè</t>
  </si>
  <si>
    <t>Thuỷ lợi Xé Giá bản Pa Thắng</t>
  </si>
  <si>
    <t>Nâng cấp thủy lợi Na Mứn bản Nậm Củm xã Mường Tè</t>
  </si>
  <si>
    <t>22-24</t>
  </si>
  <si>
    <t>Tà Tổng, Pa Vệ Sủ, Mù Cả, Tá Bạ</t>
  </si>
  <si>
    <t>Pa Ủ, Nậm Khao</t>
  </si>
  <si>
    <t>xã Mường Tè</t>
  </si>
  <si>
    <t>Thu Lũm, Can Hồ, Pa Ủ</t>
  </si>
  <si>
    <t>1717-12/8/2022</t>
  </si>
  <si>
    <t>1684-05/8/2022</t>
  </si>
  <si>
    <t>1718-12/8/2022</t>
  </si>
  <si>
    <t>1666-05/8/2022</t>
  </si>
  <si>
    <t>1678-05/8/2022</t>
  </si>
  <si>
    <t>1671-05/8/2022</t>
  </si>
  <si>
    <t>1673-05/8/2022</t>
  </si>
  <si>
    <t>1686-05/8/2022</t>
  </si>
  <si>
    <t>1683-05/8/2022</t>
  </si>
  <si>
    <t>1670-05/8/2022</t>
  </si>
  <si>
    <t>1672-05/8/2022</t>
  </si>
  <si>
    <t>Chương trình MTQG phát triển KTXH vùng ĐBDTTS&amp;MN</t>
  </si>
  <si>
    <t>Dự án 1- nội dung 4: Giải quyết tình trạng thiếu đất ở, nhà ở, đất sản xuất, nước sinh hoạt</t>
  </si>
  <si>
    <t>Nước sinh hoạt bản Huổi Han, xã Bum Tở, huyện Mường Tè</t>
  </si>
  <si>
    <t>Nâng cấp, sửa chữa NSH các bản Nậm Cấu, Tả Phìn, xã Bum Tở, huyện Mường Tè</t>
  </si>
  <si>
    <t>1680-05/8/2022</t>
  </si>
  <si>
    <t>1681-05/8/2022</t>
  </si>
  <si>
    <t>Dự án 2 - Quy hoạch sắp xếp bố trí ổn định dân cư ở những nơi cần thiết</t>
  </si>
  <si>
    <t>1696-08/8/2022</t>
  </si>
  <si>
    <t>1716-12/8/2022</t>
  </si>
  <si>
    <t>Sắp xếp ổn định dân cư vùng biên giới bản A Chè, xã Thu Lũm, huyện Mường Tè</t>
  </si>
  <si>
    <t>Sắp xếp ổn định dân cư vùng thiên tai bản Chà Dì, xã Bum Tở huyện Mường Tè</t>
  </si>
  <si>
    <t>Dự án 3: Tiểu dự án 2 - Nội dung số 02: Đầu tư, hôc trợ vùng trồng dược liệu quý</t>
  </si>
  <si>
    <t>(Dự kiến thực hiện trồng 32 ha Sâm Lai Châu (04 dự án) tại các xã Pa Vệ Sủ, Tá Pạ, Thu Lũm, Ka Lăng)</t>
  </si>
  <si>
    <t>Dự án 4 - Tiểu dự án 1; Nội dung 1: Đầu tư cơ sở hạ tầng cho các xã, thôn đặc biệt khó khăn</t>
  </si>
  <si>
    <t>Nâng cấp, sửa chữa các công trình thủy lợi nhỏ các bản Còong Khà, Ló Na, Gò Khà, U Ma xã Thu Lũm</t>
  </si>
  <si>
    <t>Nâng cấp, sửa chữa các công trình thủy lợi nhỏ, xã Mù Cả</t>
  </si>
  <si>
    <t>Nâng cấp, sửa chữa các công trình thủy lợi nhỏ, xã Pa Ủ</t>
  </si>
  <si>
    <t>Nâng cấp, sửa chữa các công trình thủy lợi nhỏ, xã Pa Vệ Sủ</t>
  </si>
  <si>
    <t>Đường giao thông đến bản A Mé</t>
  </si>
  <si>
    <t>Nâng cấp, sửa chữa các công trình thủy lợi nhỏ, xã Bum Tở</t>
  </si>
  <si>
    <t>Đường đến điểm ĐCĐC Suối Voi</t>
  </si>
  <si>
    <t>Nâng cấp, sửa chữa các công trình thủy lợi nhỏ, xã Vàng San</t>
  </si>
  <si>
    <t>1677-05/8/2022</t>
  </si>
  <si>
    <t>1676-05/8/2022</t>
  </si>
  <si>
    <t>1674-05/8/2022</t>
  </si>
  <si>
    <t>1679-05/8/2022</t>
  </si>
  <si>
    <t>1697-08/8/2022</t>
  </si>
  <si>
    <t>1675-05/8/2022</t>
  </si>
  <si>
    <t>1695-08/8/2022</t>
  </si>
  <si>
    <t>1669-05/8/2022</t>
  </si>
  <si>
    <t>Pa Vệ Sủ</t>
  </si>
  <si>
    <t>Vàng San</t>
  </si>
  <si>
    <t>Dự án 5 - Tiểu dự án 1; Đổi mới hoạt động củng cố phát trển các trường phổ thôn dân tộc nội trú, trường phổ thông dân tộc bán trú, trường PTDT có học sinh ở bán trú và xóa mù chữ cho người dân tộc vùng đồng bào thiểu số và miền núi.</t>
  </si>
  <si>
    <t>Trường Phổ thông dân tộc bán trú TH&amp; THCS Bum Tở</t>
  </si>
  <si>
    <t>Trường Phổ thông dân tộc bán trú TH&amp;THCS Tà Tổng</t>
  </si>
  <si>
    <t>1690-05/8/2022</t>
  </si>
  <si>
    <t>1661-05/8/2022</t>
  </si>
  <si>
    <t>Dự án 6 -  Bảo tồn, phát huy giá trị văn hóa truyền thống tốt đẹp của các dân tộc thiểu số gắn với phát triển du lịch</t>
  </si>
  <si>
    <t>Xây dựng các thiết chế văn hóa, thể thao và trang thiết bị tại các bản (34 nhà văn hóa thôn, bản)</t>
  </si>
  <si>
    <t>Dự án 9 - Tiểu dự án 1: Đầu tư xây dựng nâng cấp, cải tạo cơ sở hạ tầng các thôn tập trung đông đồng bào dân tộc thiểu số có khó khăn đặc thù</t>
  </si>
  <si>
    <t>Nâng cấp đường giao thông đến bản A Mại xã Pa Vệ Sủ</t>
  </si>
  <si>
    <t>Sửa chữa thủy lợi Huổi Ngô, xã Can Hồ</t>
  </si>
  <si>
    <t>Sửa chữa thủy lợi Huổi Cởm, xã Can Hồ</t>
  </si>
  <si>
    <t>Kè bảo vệ khu dân cư bản Nậm Củm</t>
  </si>
  <si>
    <t xml:space="preserve">Kè bảo vệ mặt bằng cho khu dân cư, trường học bản Lắng Phiếu </t>
  </si>
  <si>
    <t>1668-05/8/2022</t>
  </si>
  <si>
    <t>1667-05/8/2022</t>
  </si>
  <si>
    <t>1665-05/8/2022</t>
  </si>
  <si>
    <t>1689-05/8/2022</t>
  </si>
  <si>
    <t>Đường giao thông các xã Bum Tở, Can hồ, huyện Mường Tè( Vùng Quế đã trồng, nhân dân trồng)</t>
  </si>
  <si>
    <t>Đường giao thông các xã Bum Tở, Can Hồ, huyện Mường Tè (Vùng Quế trồng mới, nhân dân trồng)</t>
  </si>
  <si>
    <t>Nâng cấp, sửa chữa hệ thống thủy lợi xã Bum Nưa, Vàng San</t>
  </si>
  <si>
    <t>GTNT C</t>
  </si>
  <si>
    <t>Nâng cấp, sửa chữa</t>
  </si>
  <si>
    <t>1693-08/08/2022</t>
  </si>
  <si>
    <t>1694-08/08/2022</t>
  </si>
  <si>
    <t>1685-05/08/2022</t>
  </si>
  <si>
    <t>Xây dựng sân thể thao trung tâm xã Can Hồ</t>
  </si>
  <si>
    <t>Đường giao thông nông thôn phục vụ sản xuất Nậm Lọ xã Can Hồ</t>
  </si>
  <si>
    <t>Đường giao thông trục bản, nội bản, rãnh thoát nước môi trường các bản xã Thu Lũm</t>
  </si>
  <si>
    <t>Xã Can Hồ</t>
  </si>
  <si>
    <t>Xã Tá Bạ</t>
  </si>
  <si>
    <t>xã Pa Ủ</t>
  </si>
  <si>
    <t>xã Mù Cả</t>
  </si>
  <si>
    <t>Xã Thu Lũm</t>
  </si>
  <si>
    <t>Xã Mường Tè</t>
  </si>
  <si>
    <t>Xã Vàng San</t>
  </si>
  <si>
    <t>0,26 ha</t>
  </si>
  <si>
    <t>2,8 km</t>
  </si>
  <si>
    <t>2,64km đường; rãnh thoát nước</t>
  </si>
  <si>
    <t>1993-19/9/2022</t>
  </si>
  <si>
    <t>277-29/9/2022</t>
  </si>
  <si>
    <t>157-29/9/2022</t>
  </si>
  <si>
    <t>Ban QLCT DA PT KT-XH huyện</t>
  </si>
  <si>
    <t>UBND xã Tá Bạ</t>
  </si>
  <si>
    <t>UBND xã Can Hồ</t>
  </si>
  <si>
    <t>UBND xã Pa Ủ</t>
  </si>
  <si>
    <t>UBND xã Mù Cả</t>
  </si>
  <si>
    <t>UBND xã Thu Lũm</t>
  </si>
  <si>
    <t>UBND xã Bum Nưa</t>
  </si>
  <si>
    <t>UBND xã Ka Lăng</t>
  </si>
  <si>
    <t>UBND xã Bum Tở</t>
  </si>
  <si>
    <t>UBND xã Pa Vệ Sủ</t>
  </si>
  <si>
    <t>UBND xã Mường Tè</t>
  </si>
  <si>
    <t>UBND xã Vàng San</t>
  </si>
  <si>
    <t>UBND xã Tà Tổng</t>
  </si>
  <si>
    <t>Trường PTDT bán trú THCS Thu Lũm</t>
  </si>
  <si>
    <t>Trường PTDT bán trú Tiểu học Thu Lũm</t>
  </si>
  <si>
    <t>Nâng cấp hệ thống phòng học + phụ trợ các Trường mầm non trên địa bàn các xã Mường Tè, Bum Nưa, Thu Lũm, huyện Mường Tè</t>
  </si>
  <si>
    <t>Bổ sung các phòng học mầm non trên địa bàn huyện Mường Tè</t>
  </si>
  <si>
    <t>Nâng cấp hệ thống phòng học và phụ trợ các trường Tiểu học trên địa bàn các xã Mường Tè, Bum Nưa, Thu Lũm, huyện Mường Tè</t>
  </si>
  <si>
    <t>Hệ thống đường giao thông nội đồng các bản xã Bum Nưa, huyện Mường Tè</t>
  </si>
  <si>
    <t>Xây dựng sân thể thao xã Bum Nưa</t>
  </si>
  <si>
    <t>Nâng cấp nước sinh hoạt trung tâm xã Mường Tè</t>
  </si>
  <si>
    <t>Hệ thống đường giao thông ra khu sản xuất bản Nậm Hản, Nậm Củm xã Mường Tè</t>
  </si>
  <si>
    <t>Hệ thống đường giao thông nội đồng các bản xã Thu Lũm, huyện Mường Tè</t>
  </si>
  <si>
    <t>Xây dựng sân thể thao xã Thu Lũm</t>
  </si>
  <si>
    <t>xã Thu Lũm</t>
  </si>
  <si>
    <t>xã Bum Nưa</t>
  </si>
  <si>
    <t>Xã Bum Nưa</t>
  </si>
  <si>
    <t>12 P bán trú</t>
  </si>
  <si>
    <t>05 P học, 04 P CVGV, các HMPT</t>
  </si>
  <si>
    <t>Sửa chữa, nâng cấp, bổ sung các HMPT</t>
  </si>
  <si>
    <t>07 Phòng lớp học + phụ trợ</t>
  </si>
  <si>
    <t>Nâng cấp, bổ sung phòng học và các HMPT</t>
  </si>
  <si>
    <t>2,07km</t>
  </si>
  <si>
    <t>Đường; 0,9ha MB; thoát nước; đường chạy</t>
  </si>
  <si>
    <t xml:space="preserve"> 515 hộ; các công trình công cộng  </t>
  </si>
  <si>
    <t>Mở mới 1,1 km; nâng cấp 7,6km</t>
  </si>
  <si>
    <t>3 km</t>
  </si>
  <si>
    <t>Xây dựng bổ sung các HM</t>
  </si>
  <si>
    <t>2026-22/9/2022</t>
  </si>
  <si>
    <t>2025-22/9/2022</t>
  </si>
  <si>
    <t>2045-28/9/2022</t>
  </si>
  <si>
    <t>2036-26/9/2022</t>
  </si>
  <si>
    <t>2037-26/9/2022</t>
  </si>
  <si>
    <t>126a-26/9/2022</t>
  </si>
  <si>
    <t>126-26/9/2022</t>
  </si>
  <si>
    <t>256-28/9/2022</t>
  </si>
  <si>
    <t>255-28/9/2022</t>
  </si>
  <si>
    <t>155-29/9/2022</t>
  </si>
  <si>
    <t>153-26/9/2022</t>
  </si>
  <si>
    <t>2022-2024</t>
  </si>
  <si>
    <t>LG NSĐP</t>
  </si>
  <si>
    <t>Đường giao thông nông thôn phục vụ sản xuất các bản xã Thu Lũm</t>
  </si>
  <si>
    <t>Đường giao thông nông thôn phục vụ sản xuất các bản xã Ka Lăng</t>
  </si>
  <si>
    <t>Đường giao thông nội bản các bản ( Ló Mé, Lè Giằng, Vạ Pù, Nhóm Pố) xã Tá Bạ</t>
  </si>
  <si>
    <t>Đường giao thông nông thôn phục vụ sản xuất các bản xã Mù Cả</t>
  </si>
  <si>
    <t>Đường giao thông nội bản các bản ( Xà Hồ, Pha Bu, Cờ Lò) xã Pa Ủ</t>
  </si>
  <si>
    <t>Đường giao thông nông thôn phục vụ sản xuất các bản (Dèn Thàng, Khoang Thèn, Sín Chải A+C) xã Pa Vệ Sủ</t>
  </si>
  <si>
    <t>Đường giao thông nông thôn phục vụ sản xuất xã Nậm Khao</t>
  </si>
  <si>
    <t>Đường vào khu sản xuất điểm dân cư Suối Voi</t>
  </si>
  <si>
    <t>Đường giao thông nội bản các bản (Vàng San, Pắc Pạ, Sang Sui) xã Vàng San</t>
  </si>
  <si>
    <t>Nâng cấp, sửa chữa nước sinh hoạt Khu phố 11, Thị trấn Mường Tè, huyện Mường Tè</t>
  </si>
  <si>
    <t>Xã Ka Lăng</t>
  </si>
  <si>
    <t>Xã Mù Cả</t>
  </si>
  <si>
    <t>Xã Pa Ủ</t>
  </si>
  <si>
    <t>Xã Pa Vệ Sủ</t>
  </si>
  <si>
    <t>Xã Nậm Khao</t>
  </si>
  <si>
    <t>Thị trấn Mường Tè</t>
  </si>
  <si>
    <t>3,21km</t>
  </si>
  <si>
    <t>2,5 km</t>
  </si>
  <si>
    <t>1,29 km</t>
  </si>
  <si>
    <t>2,5km</t>
  </si>
  <si>
    <t>0,65km</t>
  </si>
  <si>
    <t>3,25km</t>
  </si>
  <si>
    <t>2,27 km</t>
  </si>
  <si>
    <t>3,88km</t>
  </si>
  <si>
    <t>1,2km</t>
  </si>
  <si>
    <t>Sửa chữa, bổ sung</t>
  </si>
  <si>
    <t>2022-2023</t>
  </si>
  <si>
    <t>156-29/9/2022</t>
  </si>
  <si>
    <t>109-28/9/2022</t>
  </si>
  <si>
    <t>311-26/9/2022</t>
  </si>
  <si>
    <t>299-28/9/2022</t>
  </si>
  <si>
    <t>201-29/9/2022</t>
  </si>
  <si>
    <t>329-26/9/2022</t>
  </si>
  <si>
    <t>321-28/9/2022</t>
  </si>
  <si>
    <t>286-29/9/2022</t>
  </si>
  <si>
    <t>266-28/9/2022</t>
  </si>
  <si>
    <t>98-29/9/2022</t>
  </si>
  <si>
    <t>UBND xã Nậm Khao</t>
  </si>
  <si>
    <t>UBND Thị Trấn Mường Tè</t>
  </si>
  <si>
    <t>Nhà văn hóa bản Vạ Pù xã Tá Bạ</t>
  </si>
  <si>
    <t>Nhà văn hóa bản Nhóm Pố xã Tá Bạ</t>
  </si>
  <si>
    <t>Nhà văn hóa bản Là Si xã Tá Bạ</t>
  </si>
  <si>
    <t>Nhà văn hóa bản Pà Khà xã Tà Tổng</t>
  </si>
  <si>
    <t>Nhà văn hóa bản Nậm Dính xã Tà Tổng</t>
  </si>
  <si>
    <t>Nhà văn hóa bản Nhú Ma xã Pa Ủ</t>
  </si>
  <si>
    <t>Nhà văn hóa bản Hà Xi xã Pa Ủ</t>
  </si>
  <si>
    <t>Nhà văn hóa bản Chà Kế xã Pa Ủ</t>
  </si>
  <si>
    <t>Nhà văn hóa bản Khoang Thèn xã Pa Vệ Sủ</t>
  </si>
  <si>
    <t>Nhà văn hóa bản Pá Hạ xã Pa Vệ Sủ</t>
  </si>
  <si>
    <t>Nhà văn hóa bản Xà Phìn xã Pa Vệ Sủ</t>
  </si>
  <si>
    <t>Nhà văn hóa bản Mù Cả xã Mù Cả</t>
  </si>
  <si>
    <t>Nhà văn hóa bản Sì Thâu Chải xã Can Hồ</t>
  </si>
  <si>
    <t>-</t>
  </si>
  <si>
    <t>xã Tá Bạ</t>
  </si>
  <si>
    <t>xã Tà Tổng</t>
  </si>
  <si>
    <t>xã Pa Vệ Sủ</t>
  </si>
  <si>
    <t>xã Can Hồ</t>
  </si>
  <si>
    <t>81m2</t>
  </si>
  <si>
    <t>120m2</t>
  </si>
  <si>
    <t>313-26/9/2022</t>
  </si>
  <si>
    <t>314-26/9/2022</t>
  </si>
  <si>
    <t>315-26/9/2022</t>
  </si>
  <si>
    <t>429-30/9/2022</t>
  </si>
  <si>
    <t>431-30/9/2022</t>
  </si>
  <si>
    <t>198-20/9/2022</t>
  </si>
  <si>
    <t>199-21/9/2022</t>
  </si>
  <si>
    <t>199a-27/9/2022</t>
  </si>
  <si>
    <t>338-27/9/2022</t>
  </si>
  <si>
    <t>340-27/9/2022</t>
  </si>
  <si>
    <t>339-27/9/2022</t>
  </si>
  <si>
    <t>300a-28/9/2022</t>
  </si>
  <si>
    <t>287-29/9/2022</t>
  </si>
  <si>
    <t>Đầu tư cơ sở hạ tầng bản Nậm Xuổng, xã Vàng San, huyện Mường Tè</t>
  </si>
  <si>
    <t>Sửa chữa, nâng cấp TL Pu Khen 1 Bản Nậm Sẻ</t>
  </si>
  <si>
    <t>Sửa chữa, nâng cấp TL Nậm Khum bản Nậm Xuổng</t>
  </si>
  <si>
    <t xml:space="preserve">Thủy lợi Ty Tông 1 bản A Mại </t>
  </si>
  <si>
    <t>Sửa chữa, nâng cấp đường giao thông nội bản Seo Hai + Sì thâu Chải xã Can Hồ</t>
  </si>
  <si>
    <t>Đường GT; điện; nhà lớp học</t>
  </si>
  <si>
    <t>07 ha</t>
  </si>
  <si>
    <t>3,5Ha</t>
  </si>
  <si>
    <t>06 ha</t>
  </si>
  <si>
    <t>1,51km</t>
  </si>
  <si>
    <t>2077a-30/9/2022</t>
  </si>
  <si>
    <t>262b-26/9/2022</t>
  </si>
  <si>
    <t>265-28/9/2022</t>
  </si>
  <si>
    <t>328-27/9/2022</t>
  </si>
  <si>
    <t>278-29/9/2022</t>
  </si>
  <si>
    <t>Chương trinh MTQG giảm nghèo bền vững</t>
  </si>
  <si>
    <t>Giải ngân từ khởi công đến hết năm 2021</t>
  </si>
  <si>
    <t>Dự toán sau đấu thầu, chỉ thầu, QT</t>
  </si>
  <si>
    <t>Phòng GD&amp;ĐT</t>
  </si>
  <si>
    <t>Phòng Kinh tế &amp; Hạ tầng</t>
  </si>
  <si>
    <t>Thống kê theo chủ đầu tư</t>
  </si>
  <si>
    <t>Nâng cấp bổ sung, các hạng mục phụ trợ trường MN Pa Ủ (trung tâm và các điểm bản)</t>
  </si>
  <si>
    <t>2004-22/9/2022</t>
  </si>
  <si>
    <t>20 ha</t>
  </si>
  <si>
    <t>L = 341,64 m</t>
  </si>
  <si>
    <t>1698-08/8/2022</t>
  </si>
  <si>
    <t>Chưa giải ngân</t>
  </si>
  <si>
    <t>SL anh tâm</t>
  </si>
  <si>
    <t>KL TH năm 2022</t>
  </si>
  <si>
    <t>Kế hoạch giao năm 2023</t>
  </si>
  <si>
    <t>Riêng năm 2023</t>
  </si>
  <si>
    <t>Lũy kế vốn đã bố trí từ KC đến hết năm 2022</t>
  </si>
  <si>
    <t>Các dự án dự kiến hoàn thành năm 2023</t>
  </si>
  <si>
    <t>Các dự án chuyển tiếp hoàn thành sau năm 2023</t>
  </si>
  <si>
    <t>Tu sửa, nâng cấp các trạm y tế xã, huyện Mường Tè</t>
  </si>
  <si>
    <t>133-28/10/2016</t>
  </si>
  <si>
    <t>Thủy lợi Coòng Khà, xã Thu Lũm, huyện Mường Tè</t>
  </si>
  <si>
    <t>289-09/03/2011</t>
  </si>
  <si>
    <t xml:space="preserve">Tuyến kè chống xói, lở bảo vệ bờ suối khu vực cột mốc 16 (2), Mù Cả, huyện Mường Tè </t>
  </si>
  <si>
    <t>1513-09/11/2010</t>
  </si>
  <si>
    <t>Đường giao thông đến bản Nậm Phìn, xã Nậm Khao, huyện Mường Tè</t>
  </si>
  <si>
    <t>1262-25/10/2012</t>
  </si>
  <si>
    <t>San gạt mặt bằng nhà ở + thoát nước môi trường điểm trường ĐCĐC Xé Ma xã Tà Tổng, huyện Mường Tè</t>
  </si>
  <si>
    <t>1331-27/10/2014</t>
  </si>
  <si>
    <t>Dự án chuyển tiếp, hoàn thành sau năm 2023</t>
  </si>
  <si>
    <t>Bum Nưa, Vàng San</t>
  </si>
  <si>
    <t>Đề án phát triển hạ tầng vùng sản xuất nông nghiệp hàng hóa tập trung</t>
  </si>
  <si>
    <t>Đề án phát triển rừng bền vững giai đoạn 2021-2025, định hướng đến năm 2030</t>
  </si>
  <si>
    <t>Bố trí cho các dự án sau quyết toán</t>
  </si>
  <si>
    <t>Trường THCS xã Vàng San</t>
  </si>
  <si>
    <t>Đường Pắc Ma - U Ma Tu Khòong (đoạn Pắc Ma - Thu Lũm ), huyện Mường Tè.</t>
  </si>
  <si>
    <t>Đường giao thông tuyến Pa Ủ - Hà Si</t>
  </si>
  <si>
    <t>Hạng mục phụ trợ bán trú trường THCS xã Mù Cả</t>
  </si>
  <si>
    <t>08 P.học</t>
  </si>
  <si>
    <t>35 km</t>
  </si>
  <si>
    <t>2014</t>
  </si>
  <si>
    <t xml:space="preserve"> 09-11</t>
  </si>
  <si>
    <t>1113-21/10/2013</t>
  </si>
  <si>
    <t>359-01/04/2009</t>
  </si>
  <si>
    <t>1944-06/11/2008</t>
  </si>
  <si>
    <t>155-21/01/2019</t>
  </si>
  <si>
    <t>Ước giải ngân kế hoạch năm 2023 đến 31/01/2024</t>
  </si>
  <si>
    <t>Dự án hoàn thành bàn giao trước 31/12 năm 2022</t>
  </si>
  <si>
    <t>San gạt mặt bằng, cấp nước sinh hoạt điểm sắp xếp dân cư Nậm Suổng, xã Vàng San, huyện Mường Tè</t>
  </si>
  <si>
    <t>Bổ sung HMPT điểm trường bản Nà Phầy, trường PTDT bán trú Tiểu học, Trung học cơ sở xã Vàng San, huyện Mường Tè</t>
  </si>
  <si>
    <t>2110-07/10/2022</t>
  </si>
  <si>
    <t>MB, NSH cho 78 hộ</t>
  </si>
  <si>
    <t>Phụ trợ</t>
  </si>
  <si>
    <t>2028-22/9/2022</t>
  </si>
  <si>
    <t>I.1</t>
  </si>
  <si>
    <t>I.2</t>
  </si>
  <si>
    <t>Các nhiệm vụ, chương trình, đề án trọng điểm</t>
  </si>
  <si>
    <t>Chi đầu tư hạ tầng các khu, điểm quy hoạch bán đấu giá quyền SDĐ</t>
  </si>
  <si>
    <t>Dự án dự kiến hoàn thành năm 2023</t>
  </si>
  <si>
    <t>Chi đầu tư chương trình xây dựng NTM</t>
  </si>
  <si>
    <t>Dự án đã quyết toán</t>
  </si>
  <si>
    <t>1</t>
  </si>
  <si>
    <t>Đường vào cầu Văng Thẳm bản Nậm Củm, xã Mường Tè</t>
  </si>
  <si>
    <t>289-24/10/2019</t>
  </si>
  <si>
    <t>Chi xây dựng cơ bản tập trung</t>
  </si>
  <si>
    <t>Các dự án chuyển tiếp</t>
  </si>
  <si>
    <t>Dự án khởi công mới năm 2023</t>
  </si>
  <si>
    <t xml:space="preserve">Sửa chữa, nâng cấp nhà văn hóa các bản xã Thu Lũm </t>
  </si>
  <si>
    <t>Nhà văn hóa các bản 600m2</t>
  </si>
  <si>
    <t>23-25</t>
  </si>
  <si>
    <t>180B-25/11/2022</t>
  </si>
  <si>
    <t>2</t>
  </si>
  <si>
    <t>Sửa chữa trụ sở làm việc, nhà văn hóa trung tâm xã Bum Nưa</t>
  </si>
  <si>
    <t>Sửa chữa, nâng cấp</t>
  </si>
  <si>
    <t>2623-28/11/2022</t>
  </si>
  <si>
    <t>3</t>
  </si>
  <si>
    <t>Đường giao thông nông thôn phục vụ sản xuất các bản xã Mường Tè</t>
  </si>
  <si>
    <t>2,3km</t>
  </si>
  <si>
    <t>341-29/11/2022</t>
  </si>
  <si>
    <t>Sửa chưa, nâng cấp nhà văn hóa bản Thu Lũm 1 xã Thu Lũm</t>
  </si>
  <si>
    <t>Nâng cấp; bổ sung các HMPT</t>
  </si>
  <si>
    <t>23-24</t>
  </si>
  <si>
    <t>180C-25/11/2022</t>
  </si>
  <si>
    <t>Nước sinh hoạt bản A Chè, xã Thu Lũm, huyện Mường Tè</t>
  </si>
  <si>
    <t>20 hộ</t>
  </si>
  <si>
    <t>2621-28/11/2022</t>
  </si>
  <si>
    <t>Nước sinh hoạt bản A Mé, U Na xã Tà Tổng, huyện Mường Tè</t>
  </si>
  <si>
    <t>109 hộ</t>
  </si>
  <si>
    <t>2622-28/11/2022</t>
  </si>
  <si>
    <t>Đường giao thông nông thôn phục vụ sản xuất các bản (Xà Hồ, Ứ Ma) xã Pa Ủ</t>
  </si>
  <si>
    <t>Đường giao thông nội bản các bản ( Phìn Khò, Tả Phìn, Đầu Nậm Xả, Huổi Han) xã Bum Tở</t>
  </si>
  <si>
    <t>Chợ xã Ka Lăng</t>
  </si>
  <si>
    <t>Cứng hóa đường từ các bản Sín Chải A + B, Chà Gá đến trung tâm xã Pa Vệ Sủ</t>
  </si>
  <si>
    <t>Cứng hóa đường từ các bản Xà Hồ, Pa Ủ, Hà Xi đến trung tâm xã Pa Ủ</t>
  </si>
  <si>
    <t>Cứng hóa đường giao thông Km 13 - bản Pa Thắng - TT xã Thu Lũm</t>
  </si>
  <si>
    <t>1,96km</t>
  </si>
  <si>
    <t>242-26/11/2022</t>
  </si>
  <si>
    <t>3,0 km</t>
  </si>
  <si>
    <t>572a-28/11/2022</t>
  </si>
  <si>
    <t>1,0 ha</t>
  </si>
  <si>
    <t>2629- 30/11/2022</t>
  </si>
  <si>
    <t>17,6km</t>
  </si>
  <si>
    <t>2616- 28/11/2022</t>
  </si>
  <si>
    <t>9,4km</t>
  </si>
  <si>
    <t>2617- 28/11/2022</t>
  </si>
  <si>
    <t>19km</t>
  </si>
  <si>
    <t>2618-28/11/2022</t>
  </si>
  <si>
    <t>4</t>
  </si>
  <si>
    <t>5</t>
  </si>
  <si>
    <t>6</t>
  </si>
  <si>
    <t>Trường Phổ thông dân tộc bán trú TH&amp;THCS Nậm Khao</t>
  </si>
  <si>
    <t>Nhà bếp, nhà ăn; 01 NVS, NS; 01 Công trình phụ trợ khác</t>
  </si>
  <si>
    <t>2624-28/11/2022</t>
  </si>
  <si>
    <t>Trường Phổ thông dân tộc bán trú THCS Pa Vệ Sủ</t>
  </si>
  <si>
    <t>12 P. hs; 01 NVS, NS+PT</t>
  </si>
  <si>
    <t>2627-30/11/2022</t>
  </si>
  <si>
    <t>Nhà văn hóa A Chè, xã Thu Lũm</t>
  </si>
  <si>
    <t>180D-25/11/2022</t>
  </si>
  <si>
    <t>Nhà văn hóa bản Phìn Khò, xã Bum Tở</t>
  </si>
  <si>
    <t>572b-28/11/2022</t>
  </si>
  <si>
    <t>Nhà văn hóa Bản Xà Hồ, xã Pa Ủ</t>
  </si>
  <si>
    <t>250A-28/11/2022</t>
  </si>
  <si>
    <t>Nhà văn hóa Bản Pha Bu, xã Pa Ủ</t>
  </si>
  <si>
    <t>250B-28/11/2022</t>
  </si>
  <si>
    <t>Nhà văn hóa Bản Sín Chải B, xã Pa Vệ Sủ</t>
  </si>
  <si>
    <t>439a/26/11/2022</t>
  </si>
  <si>
    <t>Nhà văn hóa Bản Sín Chải A, xã Pa Vệ Sủ</t>
  </si>
  <si>
    <t>439b/26/11/2022</t>
  </si>
  <si>
    <t>Phòng công vụ giáo viên, bán trú học sinh trường PTDTBT TH&amp;THCS Nậm Khao (điểm bản Lắng Phiếu)</t>
  </si>
  <si>
    <t>10 phòng</t>
  </si>
  <si>
    <t>2631-30/11/2022</t>
  </si>
  <si>
    <t>Ước khối lượng thực hiện đến 31/12/2023</t>
  </si>
  <si>
    <t>Ngân sách địa phương</t>
  </si>
  <si>
    <t>I.1.1</t>
  </si>
  <si>
    <t>I.1.2</t>
  </si>
  <si>
    <t>I.2.1</t>
  </si>
  <si>
    <t>I.2.2</t>
  </si>
  <si>
    <t>II.3</t>
  </si>
  <si>
    <t>Chưa đủ điều kiện phân bổ chi tiết</t>
  </si>
  <si>
    <t>(Kèm theo Báo cáo số:             /BC-UBND ngày      tháng 02 năm 2023 của UBND huyện Mường Tè)</t>
  </si>
  <si>
    <t>Chủ đầu tư</t>
  </si>
  <si>
    <t>Giải ngân kế hoạch năm 2023 đến thời điểm báo cáo (10/02/2023)</t>
  </si>
  <si>
    <t>BIỂU TỔNG HỢP TÌNH HÌNH THỰC HIỆN VÀ GIẢI NGÂN HOẠCH VỐN ĐẦU TƯ CÔNG NĂM 2023 - HUYỆN MƯỜNG TÈ</t>
  </si>
  <si>
    <t xml:space="preserve">Phụ biểu 02 </t>
  </si>
  <si>
    <t>Chưa phân bổ chi tiết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</si>
</sst>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_(* \(#,##0.00\);_(* &quot;-&quot;??_);_(@_)"/>
    <numFmt numFmtId="164" formatCode="_-* #,##0.00\ _₫_-;\-* #,##0.00\ _₫_-;_-* &quot;-&quot;??\ _₫_-;_-@_-"/>
    <numFmt numFmtId="165" formatCode="_(* #,##0_);_(* \(#,##0\);_(* &quot;-&quot;??_);_(@_)"/>
    <numFmt numFmtId="166" formatCode="_-* #,##0\ _₫_-;\-* #,##0\ _₫_-;_-* &quot;-&quot;??\ _₫_-;_-@_-"/>
    <numFmt numFmtId="167" formatCode="_(* #,##0.000_);_(* \(#,##0.000\);_(* &quot;-&quot;??_);_(@_)"/>
    <numFmt numFmtId="168" formatCode="_(* #,##0.0_);_(* \(#,##0.0\);_(* &quot;-&quot;??_);_(@_)"/>
    <numFmt numFmtId="169" formatCode="_(* #,##0.000_);_(* \(#,##0.000\);_(* &quot;-&quot;???_);_(@_)"/>
    <numFmt numFmtId="170" formatCode="_(* #,##0.0000_);_(* \(#,##0.0000\);_(* &quot;-&quot;??_);_(@_)"/>
    <numFmt numFmtId="171" formatCode="#,##0.0"/>
  </numFmts>
  <fonts count="51"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0"/>
      <name val="Times New Roman"/>
      <family val="1"/>
    </font>
    <font>
      <b/>
      <i/>
      <sz val="10"/>
      <name val="Times New Roman"/>
      <family val="1"/>
    </font>
    <font>
      <b/>
      <sz val="10"/>
      <name val="Times New Roman"/>
      <family val="1"/>
    </font>
    <font>
      <sz val="10"/>
      <color rgb="FF000000"/>
      <name val="Times New Roman"/>
      <family val="1"/>
    </font>
    <font>
      <sz val="10"/>
      <name val="Arial"/>
      <family val="2"/>
    </font>
    <font>
      <sz val="8"/>
      <color theme="1"/>
      <name val="Times New Roman"/>
      <family val="1"/>
    </font>
    <font>
      <sz val="12"/>
      <name val=".VnTime"/>
      <family val="2"/>
    </font>
    <font>
      <sz val="12"/>
      <name val="Times New Roman"/>
      <family val="1"/>
    </font>
    <font>
      <b/>
      <sz val="9"/>
      <color indexed="81"/>
      <name val="Tahoma"/>
      <family val="2"/>
    </font>
    <font>
      <sz val="9"/>
      <color indexed="81"/>
      <name val="Tahoma"/>
      <family val="2"/>
    </font>
    <font>
      <b/>
      <i/>
      <sz val="10"/>
      <color rgb="FF000000"/>
      <name val="Times New Roman"/>
      <family val="1"/>
    </font>
    <font>
      <b/>
      <sz val="10"/>
      <color rgb="FF000000"/>
      <name val="Times New Roman"/>
      <family val="1"/>
    </font>
    <font>
      <b/>
      <i/>
      <sz val="10"/>
      <color theme="1"/>
      <name val="Times New Roman"/>
      <family val="1"/>
    </font>
    <font>
      <sz val="10"/>
      <color theme="1"/>
      <name val="Times New Roman"/>
      <family val="1"/>
    </font>
    <font>
      <b/>
      <sz val="10"/>
      <color theme="1"/>
      <name val="Times New Roman"/>
      <family val="1"/>
    </font>
    <font>
      <sz val="8"/>
      <color rgb="FF000000"/>
      <name val="Times New Roman"/>
      <family val="1"/>
    </font>
    <font>
      <sz val="12"/>
      <color rgb="FF000000"/>
      <name val="Times New Roman"/>
      <family val="1"/>
    </font>
    <font>
      <b/>
      <sz val="12"/>
      <name val="Times New Roman"/>
      <family val="1"/>
    </font>
    <font>
      <i/>
      <sz val="12"/>
      <name val="Times New Roman"/>
      <family val="1"/>
    </font>
    <font>
      <b/>
      <i/>
      <sz val="12"/>
      <name val="Times New Roman"/>
      <family val="1"/>
    </font>
    <font>
      <sz val="9"/>
      <name val="Times New Roman"/>
      <family val="1"/>
    </font>
    <font>
      <b/>
      <sz val="12"/>
      <color theme="1"/>
      <name val="Times New Roman"/>
      <family val="1"/>
    </font>
    <font>
      <i/>
      <sz val="12"/>
      <color theme="1"/>
      <name val="Times New Roman"/>
      <family val="1"/>
    </font>
    <font>
      <b/>
      <i/>
      <sz val="12"/>
      <color theme="1"/>
      <name val="Times New Roman"/>
      <family val="1"/>
    </font>
    <font>
      <b/>
      <sz val="9"/>
      <name val="Times New Roman"/>
      <family val="1"/>
    </font>
    <font>
      <sz val="10"/>
      <color rgb="FFFF0000"/>
      <name val="Times New Roman"/>
      <family val="1"/>
    </font>
    <font>
      <b/>
      <i/>
      <sz val="12"/>
      <color rgb="FFFF0000"/>
      <name val="Times New Roman"/>
      <family val="1"/>
    </font>
    <font>
      <i/>
      <sz val="10"/>
      <name val="Times New Roman"/>
      <family val="1"/>
    </font>
    <font>
      <i/>
      <sz val="9"/>
      <name val="Times New Roman"/>
      <family val="1"/>
    </font>
    <font>
      <sz val="10"/>
      <name val="Arial"/>
      <family val="2"/>
      <charset val="1"/>
    </font>
    <font>
      <sz val="11"/>
      <color indexed="8"/>
      <name val="Calibri"/>
      <family val="2"/>
      <charset val="163"/>
    </font>
    <font>
      <b/>
      <i/>
      <sz val="9"/>
      <name val="Times New Roman"/>
      <family val="1"/>
    </font>
    <font>
      <sz val="8"/>
      <name val="Times New Roman"/>
      <family val="1"/>
    </font>
    <font>
      <b/>
      <sz val="8"/>
      <name val="Times New Roman"/>
      <family val="1"/>
    </font>
    <font>
      <b/>
      <i/>
      <sz val="8"/>
      <name val="Times New Roman"/>
      <family val="1"/>
    </font>
    <font>
      <i/>
      <sz val="8"/>
      <name val="Times New Roman"/>
      <family val="1"/>
    </font>
    <font>
      <sz val="11"/>
      <name val="Times New Roman"/>
      <family val="1"/>
    </font>
    <font>
      <sz val="10"/>
      <color theme="0"/>
      <name val="Times New Roman"/>
      <family val="1"/>
    </font>
    <font>
      <i/>
      <sz val="10"/>
      <color theme="0"/>
      <name val="Times New Roman"/>
      <family val="1"/>
    </font>
    <font>
      <b/>
      <i/>
      <sz val="10"/>
      <color theme="0"/>
      <name val="Times New Roman"/>
      <family val="1"/>
    </font>
    <font>
      <b/>
      <sz val="10"/>
      <color theme="0"/>
      <name val="Times New Roman"/>
      <family val="1"/>
    </font>
    <font>
      <sz val="8"/>
      <color rgb="FFFF0000"/>
      <name val="Times New Roman"/>
      <family val="1"/>
    </font>
    <font>
      <sz val="9"/>
      <color rgb="FFFF0000"/>
      <name val="Times New Roman"/>
      <family val="1"/>
    </font>
    <font>
      <sz val="9"/>
      <color theme="0"/>
      <name val="Times New Roman"/>
      <family val="1"/>
    </font>
    <font>
      <i/>
      <sz val="9"/>
      <color theme="0"/>
      <name val="Times New Roman"/>
      <family val="1"/>
    </font>
    <font>
      <b/>
      <i/>
      <sz val="9"/>
      <color theme="0"/>
      <name val="Times New Roman"/>
      <family val="1"/>
    </font>
    <font>
      <b/>
      <sz val="9"/>
      <color theme="0"/>
      <name val="Times New Roman"/>
      <family val="1"/>
    </font>
  </fonts>
  <fills count="12">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rgb="FFFF0000"/>
        <bgColor indexed="64"/>
      </patternFill>
    </fill>
    <fill>
      <patternFill patternType="solid">
        <fgColor rgb="FF92D050"/>
        <bgColor indexed="64"/>
      </patternFill>
    </fill>
    <fill>
      <patternFill patternType="solid">
        <fgColor rgb="FF00B0F0"/>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9" tint="0.79998168889431442"/>
        <bgColor indexed="64"/>
      </patternFill>
    </fill>
  </fills>
  <borders count="26">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thin">
        <color rgb="FF000000"/>
      </bottom>
      <diagonal/>
    </border>
    <border>
      <left style="thin">
        <color rgb="FF000000"/>
      </left>
      <right style="thin">
        <color rgb="FF000000"/>
      </right>
      <top/>
      <bottom style="hair">
        <color rgb="FF000000"/>
      </bottom>
      <diagonal/>
    </border>
    <border>
      <left/>
      <right/>
      <top/>
      <bottom style="hair">
        <color rgb="FF000000"/>
      </bottom>
      <diagonal/>
    </border>
    <border>
      <left/>
      <right/>
      <top style="hair">
        <color rgb="FF000000"/>
      </top>
      <bottom style="hair">
        <color rgb="FF000000"/>
      </bottom>
      <diagonal/>
    </border>
    <border>
      <left/>
      <right/>
      <top style="hair">
        <color rgb="FF000000"/>
      </top>
      <bottom/>
      <diagonal/>
    </border>
    <border>
      <left style="thin">
        <color indexed="64"/>
      </left>
      <right style="thin">
        <color indexed="64"/>
      </right>
      <top style="hair">
        <color indexed="64"/>
      </top>
      <bottom style="hair">
        <color indexed="64"/>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hair">
        <color rgb="FF000000"/>
      </bottom>
      <diagonal/>
    </border>
    <border>
      <left style="thin">
        <color indexed="64"/>
      </left>
      <right style="thin">
        <color indexed="64"/>
      </right>
      <top style="hair">
        <color rgb="FF000000"/>
      </top>
      <bottom style="hair">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auto="1"/>
      </right>
      <top style="thin">
        <color auto="1"/>
      </top>
      <bottom style="hair">
        <color auto="1"/>
      </bottom>
      <diagonal/>
    </border>
    <border>
      <left/>
      <right style="medium">
        <color auto="1"/>
      </right>
      <top style="hair">
        <color auto="1"/>
      </top>
      <bottom style="hair">
        <color auto="1"/>
      </bottom>
      <diagonal/>
    </border>
    <border>
      <left/>
      <right style="medium">
        <color auto="1"/>
      </right>
      <top style="hair">
        <color auto="1"/>
      </top>
      <bottom style="thin">
        <color auto="1"/>
      </bottom>
      <diagonal/>
    </border>
    <border>
      <left style="thin">
        <color rgb="FF000000"/>
      </left>
      <right style="thin">
        <color rgb="FF000000"/>
      </right>
      <top style="thin">
        <color rgb="FF000000"/>
      </top>
      <bottom/>
      <diagonal/>
    </border>
    <border>
      <left style="thin">
        <color rgb="FF000000"/>
      </left>
      <right style="thin">
        <color indexed="64"/>
      </right>
      <top style="hair">
        <color rgb="FF000000"/>
      </top>
      <bottom style="hair">
        <color rgb="FF000000"/>
      </bottom>
      <diagonal/>
    </border>
    <border>
      <left style="thin">
        <color rgb="FF000000"/>
      </left>
      <right/>
      <top style="hair">
        <color rgb="FF000000"/>
      </top>
      <bottom style="hair">
        <color rgb="FF000000"/>
      </bottom>
      <diagonal/>
    </border>
    <border>
      <left style="thin">
        <color rgb="FF000000"/>
      </left>
      <right style="thin">
        <color indexed="64"/>
      </right>
      <top style="hair">
        <color rgb="FF000000"/>
      </top>
      <bottom style="thin">
        <color rgb="FF000000"/>
      </bottom>
      <diagonal/>
    </border>
    <border>
      <left style="thin">
        <color indexed="64"/>
      </left>
      <right style="thin">
        <color indexed="64"/>
      </right>
      <top style="hair">
        <color rgb="FF000000"/>
      </top>
      <bottom style="thin">
        <color rgb="FF000000"/>
      </bottom>
      <diagonal/>
    </border>
    <border>
      <left/>
      <right/>
      <top style="hair">
        <color rgb="FF000000"/>
      </top>
      <bottom style="thin">
        <color rgb="FF000000"/>
      </bottom>
      <diagonal/>
    </border>
  </borders>
  <cellStyleXfs count="19">
    <xf numFmtId="0" fontId="0" fillId="0" borderId="0"/>
    <xf numFmtId="43" fontId="7" fillId="0" borderId="0" applyFont="0" applyFill="0" applyBorder="0" applyAlignment="0" applyProtection="0"/>
    <xf numFmtId="0" fontId="8" fillId="0" borderId="0"/>
    <xf numFmtId="43" fontId="10" fillId="0" borderId="0" applyFont="0" applyFill="0" applyBorder="0" applyAlignment="0" applyProtection="0"/>
    <xf numFmtId="0" fontId="8" fillId="0" borderId="0"/>
    <xf numFmtId="43" fontId="11" fillId="0" borderId="0" applyFont="0" applyFill="0" applyBorder="0" applyAlignment="0" applyProtection="0"/>
    <xf numFmtId="0" fontId="11" fillId="0" borderId="0"/>
    <xf numFmtId="43" fontId="8" fillId="0" borderId="0" applyFont="0" applyFill="0" applyBorder="0" applyAlignment="0" applyProtection="0"/>
    <xf numFmtId="0" fontId="8" fillId="0" borderId="0"/>
    <xf numFmtId="0" fontId="3" fillId="0" borderId="0"/>
    <xf numFmtId="164" fontId="2" fillId="0" borderId="0" applyFont="0" applyFill="0" applyBorder="0" applyAlignment="0" applyProtection="0"/>
    <xf numFmtId="0" fontId="33" fillId="0" borderId="0"/>
    <xf numFmtId="0" fontId="34"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1" fillId="0" borderId="0"/>
    <xf numFmtId="43" fontId="10" fillId="0" borderId="0" applyFont="0" applyFill="0" applyBorder="0" applyAlignment="0" applyProtection="0"/>
  </cellStyleXfs>
  <cellXfs count="376">
    <xf numFmtId="0" fontId="0" fillId="0" borderId="0" xfId="0" applyFill="1" applyBorder="1" applyAlignment="1">
      <alignment horizontal="left" vertical="top"/>
    </xf>
    <xf numFmtId="0" fontId="9" fillId="2" borderId="3" xfId="4" applyFont="1" applyFill="1" applyBorder="1" applyAlignment="1">
      <alignment horizontal="center" vertical="center" wrapText="1"/>
    </xf>
    <xf numFmtId="166" fontId="9" fillId="2" borderId="3" xfId="1" applyNumberFormat="1" applyFont="1" applyFill="1" applyBorder="1" applyAlignment="1">
      <alignment horizontal="center" vertical="center" wrapText="1"/>
    </xf>
    <xf numFmtId="0" fontId="9" fillId="2" borderId="3" xfId="0" applyFont="1" applyFill="1" applyBorder="1" applyAlignment="1">
      <alignment horizontal="center" vertical="center" wrapText="1"/>
    </xf>
    <xf numFmtId="166" fontId="9" fillId="2" borderId="3" xfId="5" applyNumberFormat="1" applyFont="1" applyFill="1" applyBorder="1" applyAlignment="1">
      <alignment horizontal="center" vertical="center" wrapText="1"/>
    </xf>
    <xf numFmtId="0" fontId="9" fillId="2" borderId="4" xfId="0" applyFont="1" applyFill="1" applyBorder="1" applyAlignment="1">
      <alignment horizontal="center" vertical="center" wrapText="1"/>
    </xf>
    <xf numFmtId="0" fontId="0" fillId="0" borderId="0" xfId="0" applyFill="1" applyBorder="1" applyAlignment="1">
      <alignment horizontal="left" vertical="center" wrapText="1"/>
    </xf>
    <xf numFmtId="3" fontId="0" fillId="0" borderId="0" xfId="0" applyNumberFormat="1" applyFill="1" applyBorder="1" applyAlignment="1">
      <alignment horizontal="right" vertical="center" wrapText="1"/>
    </xf>
    <xf numFmtId="165" fontId="14" fillId="0" borderId="3" xfId="1" applyNumberFormat="1" applyFont="1" applyFill="1" applyBorder="1" applyAlignment="1">
      <alignment horizontal="left" vertical="center" wrapText="1"/>
    </xf>
    <xf numFmtId="165" fontId="14" fillId="4" borderId="3" xfId="1" applyNumberFormat="1" applyFont="1" applyFill="1" applyBorder="1" applyAlignment="1">
      <alignment horizontal="left" vertical="center" wrapText="1"/>
    </xf>
    <xf numFmtId="0" fontId="6" fillId="0" borderId="2" xfId="0" applyFont="1" applyFill="1" applyBorder="1" applyAlignment="1">
      <alignment horizontal="center" vertical="center" wrapText="1"/>
    </xf>
    <xf numFmtId="3" fontId="6" fillId="0" borderId="2" xfId="0" applyNumberFormat="1" applyFont="1" applyFill="1" applyBorder="1" applyAlignment="1">
      <alignment horizontal="center" vertical="center" wrapText="1"/>
    </xf>
    <xf numFmtId="0" fontId="15" fillId="6" borderId="5" xfId="0" applyFont="1" applyFill="1" applyBorder="1" applyAlignment="1">
      <alignment horizontal="left" vertical="center" wrapText="1"/>
    </xf>
    <xf numFmtId="0" fontId="6" fillId="6" borderId="5"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3" xfId="0" applyFont="1" applyFill="1" applyBorder="1" applyAlignment="1">
      <alignment horizontal="left" vertical="center" wrapText="1"/>
    </xf>
    <xf numFmtId="165" fontId="15" fillId="3" borderId="3" xfId="1" applyNumberFormat="1" applyFont="1" applyFill="1" applyBorder="1" applyAlignment="1">
      <alignment horizontal="left" vertical="center" wrapText="1"/>
    </xf>
    <xf numFmtId="0" fontId="6" fillId="5" borderId="3" xfId="0" applyFont="1" applyFill="1" applyBorder="1" applyAlignment="1">
      <alignment horizontal="center" vertical="center" wrapText="1"/>
    </xf>
    <xf numFmtId="0" fontId="6" fillId="5" borderId="3" xfId="0" applyFont="1" applyFill="1" applyBorder="1" applyAlignment="1">
      <alignment horizontal="left" vertical="center" wrapText="1"/>
    </xf>
    <xf numFmtId="0" fontId="16" fillId="2" borderId="3" xfId="0" applyFont="1" applyFill="1" applyBorder="1" applyAlignment="1">
      <alignment horizontal="center" vertical="center" wrapText="1"/>
    </xf>
    <xf numFmtId="1" fontId="16" fillId="2" borderId="3" xfId="2" applyNumberFormat="1" applyFont="1" applyFill="1" applyBorder="1" applyAlignment="1">
      <alignment vertical="center" wrapText="1"/>
    </xf>
    <xf numFmtId="0" fontId="16" fillId="0" borderId="3" xfId="0" applyFont="1" applyBorder="1" applyAlignment="1">
      <alignment horizontal="center" vertical="center" wrapText="1"/>
    </xf>
    <xf numFmtId="1" fontId="16" fillId="0" borderId="3" xfId="2" applyNumberFormat="1" applyFont="1" applyFill="1" applyBorder="1" applyAlignment="1">
      <alignment vertical="center" wrapText="1"/>
    </xf>
    <xf numFmtId="1" fontId="7" fillId="0" borderId="3" xfId="0" applyNumberFormat="1" applyFont="1" applyFill="1" applyBorder="1" applyAlignment="1">
      <alignment horizontal="center" vertical="center" wrapText="1" shrinkToFit="1"/>
    </xf>
    <xf numFmtId="1" fontId="17" fillId="0" borderId="3" xfId="2" applyNumberFormat="1" applyFont="1" applyFill="1" applyBorder="1" applyAlignment="1">
      <alignment vertical="center" wrapText="1"/>
    </xf>
    <xf numFmtId="165" fontId="7" fillId="0" borderId="3" xfId="1" applyNumberFormat="1" applyFont="1" applyFill="1" applyBorder="1" applyAlignment="1">
      <alignment horizontal="left" vertical="center" wrapText="1"/>
    </xf>
    <xf numFmtId="165" fontId="17" fillId="0" borderId="3" xfId="1" quotePrefix="1" applyNumberFormat="1" applyFont="1" applyFill="1" applyBorder="1" applyAlignment="1">
      <alignment horizontal="right" vertical="center" wrapText="1"/>
    </xf>
    <xf numFmtId="165" fontId="17" fillId="0" borderId="3" xfId="1" applyNumberFormat="1" applyFont="1" applyBorder="1" applyAlignment="1">
      <alignment vertical="center" wrapText="1"/>
    </xf>
    <xf numFmtId="0" fontId="16" fillId="2" borderId="3" xfId="0" applyFont="1" applyFill="1" applyBorder="1" applyAlignment="1">
      <alignment vertical="center" wrapText="1"/>
    </xf>
    <xf numFmtId="0" fontId="17" fillId="2" borderId="3" xfId="0" applyFont="1" applyFill="1" applyBorder="1" applyAlignment="1">
      <alignment horizontal="left" vertical="center" wrapText="1"/>
    </xf>
    <xf numFmtId="165" fontId="17" fillId="2" borderId="3" xfId="3" applyNumberFormat="1" applyFont="1" applyFill="1" applyBorder="1" applyAlignment="1">
      <alignment vertical="center" wrapText="1"/>
    </xf>
    <xf numFmtId="165" fontId="17" fillId="2" borderId="3" xfId="1" applyNumberFormat="1" applyFont="1" applyFill="1" applyBorder="1" applyAlignment="1">
      <alignment horizontal="right" vertical="center" wrapText="1"/>
    </xf>
    <xf numFmtId="0" fontId="6" fillId="4" borderId="3" xfId="0" applyFont="1" applyFill="1" applyBorder="1" applyAlignment="1">
      <alignment horizontal="center" vertical="center" wrapText="1"/>
    </xf>
    <xf numFmtId="0" fontId="18" fillId="4" borderId="3" xfId="0" applyFont="1" applyFill="1" applyBorder="1" applyAlignment="1">
      <alignment horizontal="left" vertical="center" wrapText="1"/>
    </xf>
    <xf numFmtId="0" fontId="7" fillId="4" borderId="3" xfId="0" applyFont="1" applyFill="1" applyBorder="1" applyAlignment="1">
      <alignment horizontal="left" vertical="center" wrapText="1"/>
    </xf>
    <xf numFmtId="165" fontId="14" fillId="0" borderId="3" xfId="1" applyNumberFormat="1" applyFont="1" applyFill="1" applyBorder="1" applyAlignment="1">
      <alignment horizontal="right" vertical="center" wrapText="1"/>
    </xf>
    <xf numFmtId="0" fontId="4" fillId="0" borderId="3" xfId="0" applyFont="1" applyFill="1" applyBorder="1" applyAlignment="1">
      <alignment horizontal="center" vertical="center" wrapText="1"/>
    </xf>
    <xf numFmtId="0" fontId="17" fillId="2" borderId="3" xfId="0" applyFont="1" applyFill="1" applyBorder="1" applyAlignment="1">
      <alignment horizontal="center" vertical="center" wrapText="1"/>
    </xf>
    <xf numFmtId="1" fontId="17" fillId="2" borderId="3" xfId="2" applyNumberFormat="1" applyFont="1" applyFill="1" applyBorder="1" applyAlignment="1">
      <alignment vertical="center" wrapText="1"/>
    </xf>
    <xf numFmtId="165" fontId="7" fillId="0" borderId="3" xfId="1" applyNumberFormat="1" applyFont="1" applyFill="1" applyBorder="1" applyAlignment="1">
      <alignment vertical="center" wrapText="1"/>
    </xf>
    <xf numFmtId="0" fontId="7" fillId="0" borderId="3" xfId="0" applyFont="1" applyFill="1" applyBorder="1" applyAlignment="1">
      <alignment horizontal="center" vertical="center" wrapText="1"/>
    </xf>
    <xf numFmtId="0" fontId="17" fillId="2" borderId="3" xfId="0" applyFont="1" applyFill="1" applyBorder="1" applyAlignment="1">
      <alignment vertical="center" wrapText="1"/>
    </xf>
    <xf numFmtId="0" fontId="18" fillId="4" borderId="3" xfId="0" applyFont="1" applyFill="1" applyBorder="1" applyAlignment="1">
      <alignment horizontal="center" vertical="center" wrapText="1"/>
    </xf>
    <xf numFmtId="0" fontId="18" fillId="4" borderId="3" xfId="0" applyFont="1" applyFill="1" applyBorder="1" applyAlignment="1">
      <alignment vertical="center" wrapText="1"/>
    </xf>
    <xf numFmtId="3" fontId="7" fillId="4" borderId="3" xfId="0" applyNumberFormat="1" applyFont="1" applyFill="1" applyBorder="1" applyAlignment="1">
      <alignment horizontal="right" vertical="center" wrapText="1"/>
    </xf>
    <xf numFmtId="165" fontId="17" fillId="2" borderId="3" xfId="1" applyNumberFormat="1" applyFont="1" applyFill="1" applyBorder="1" applyAlignment="1">
      <alignment vertical="center" wrapText="1"/>
    </xf>
    <xf numFmtId="165" fontId="16" fillId="2" borderId="3" xfId="1" applyNumberFormat="1" applyFont="1" applyFill="1" applyBorder="1" applyAlignment="1">
      <alignment vertical="center" wrapText="1"/>
    </xf>
    <xf numFmtId="0" fontId="7" fillId="0" borderId="4" xfId="0" applyFont="1" applyFill="1" applyBorder="1" applyAlignment="1">
      <alignment horizontal="center" vertical="center" wrapText="1"/>
    </xf>
    <xf numFmtId="0" fontId="17" fillId="2" borderId="4" xfId="0" applyFont="1" applyFill="1" applyBorder="1" applyAlignment="1">
      <alignment vertical="center" wrapText="1"/>
    </xf>
    <xf numFmtId="165" fontId="17" fillId="2" borderId="4" xfId="1" applyNumberFormat="1" applyFont="1" applyFill="1" applyBorder="1" applyAlignment="1">
      <alignment vertical="center" wrapText="1"/>
    </xf>
    <xf numFmtId="165" fontId="14" fillId="0" borderId="3" xfId="1" applyNumberFormat="1" applyFont="1" applyFill="1" applyBorder="1" applyAlignment="1">
      <alignment horizontal="center" vertical="center" wrapText="1"/>
    </xf>
    <xf numFmtId="165" fontId="7" fillId="0" borderId="3" xfId="1" applyNumberFormat="1" applyFont="1" applyFill="1" applyBorder="1" applyAlignment="1">
      <alignment horizontal="right" vertical="center" wrapText="1"/>
    </xf>
    <xf numFmtId="165" fontId="16" fillId="2" borderId="3" xfId="1" applyNumberFormat="1" applyFont="1" applyFill="1" applyBorder="1" applyAlignment="1">
      <alignment horizontal="right" vertical="center" wrapText="1"/>
    </xf>
    <xf numFmtId="165" fontId="7" fillId="0" borderId="4" xfId="1" applyNumberFormat="1" applyFont="1" applyFill="1" applyBorder="1" applyAlignment="1">
      <alignment horizontal="right" vertical="center" wrapText="1"/>
    </xf>
    <xf numFmtId="165" fontId="7" fillId="0" borderId="4" xfId="1" applyNumberFormat="1" applyFont="1" applyFill="1" applyBorder="1" applyAlignment="1">
      <alignment horizontal="left" vertical="center" wrapText="1"/>
    </xf>
    <xf numFmtId="165" fontId="15" fillId="6" borderId="5" xfId="1" applyNumberFormat="1" applyFont="1" applyFill="1" applyBorder="1" applyAlignment="1">
      <alignment horizontal="left" vertical="center" wrapText="1"/>
    </xf>
    <xf numFmtId="165" fontId="15" fillId="6" borderId="5" xfId="1" applyNumberFormat="1" applyFont="1" applyFill="1" applyBorder="1" applyAlignment="1">
      <alignment horizontal="right" vertical="center" wrapText="1"/>
    </xf>
    <xf numFmtId="165" fontId="7" fillId="3" borderId="3" xfId="1" applyNumberFormat="1" applyFont="1" applyFill="1" applyBorder="1" applyAlignment="1">
      <alignment horizontal="left" vertical="center" wrapText="1"/>
    </xf>
    <xf numFmtId="165" fontId="15" fillId="5" borderId="3" xfId="1" applyNumberFormat="1" applyFont="1" applyFill="1" applyBorder="1" applyAlignment="1">
      <alignment horizontal="left" vertical="center" wrapText="1"/>
    </xf>
    <xf numFmtId="165" fontId="7" fillId="5" borderId="3" xfId="1" applyNumberFormat="1" applyFont="1" applyFill="1" applyBorder="1" applyAlignment="1">
      <alignment horizontal="left" vertical="center" wrapText="1"/>
    </xf>
    <xf numFmtId="165" fontId="15" fillId="5" borderId="3" xfId="1" applyNumberFormat="1" applyFont="1" applyFill="1" applyBorder="1" applyAlignment="1">
      <alignment horizontal="right" vertical="center" wrapText="1"/>
    </xf>
    <xf numFmtId="165" fontId="7" fillId="2" borderId="3" xfId="1" applyNumberFormat="1" applyFont="1" applyFill="1" applyBorder="1" applyAlignment="1">
      <alignment horizontal="right" vertical="center" wrapText="1"/>
    </xf>
    <xf numFmtId="165" fontId="15" fillId="3" borderId="3" xfId="1" applyNumberFormat="1" applyFont="1" applyFill="1" applyBorder="1" applyAlignment="1">
      <alignment horizontal="right" vertical="center" wrapText="1"/>
    </xf>
    <xf numFmtId="165" fontId="15" fillId="4" borderId="3" xfId="1" applyNumberFormat="1" applyFont="1" applyFill="1" applyBorder="1" applyAlignment="1">
      <alignment horizontal="left" vertical="center" wrapText="1"/>
    </xf>
    <xf numFmtId="165" fontId="15" fillId="4" borderId="3" xfId="1" applyNumberFormat="1" applyFont="1" applyFill="1" applyBorder="1" applyAlignment="1">
      <alignment horizontal="right" vertical="center" wrapText="1"/>
    </xf>
    <xf numFmtId="165" fontId="7" fillId="4" borderId="3" xfId="1" applyNumberFormat="1" applyFont="1" applyFill="1" applyBorder="1" applyAlignment="1">
      <alignment horizontal="left" vertical="center" wrapText="1"/>
    </xf>
    <xf numFmtId="165" fontId="17" fillId="2" borderId="3" xfId="1" quotePrefix="1" applyNumberFormat="1" applyFont="1" applyFill="1" applyBorder="1" applyAlignment="1">
      <alignment horizontal="right" vertical="center" wrapText="1"/>
    </xf>
    <xf numFmtId="0" fontId="19" fillId="3" borderId="3" xfId="0" applyFont="1" applyFill="1" applyBorder="1" applyAlignment="1">
      <alignment horizontal="left" vertical="center" wrapText="1"/>
    </xf>
    <xf numFmtId="0" fontId="19" fillId="5" borderId="3" xfId="0" applyFont="1" applyFill="1" applyBorder="1" applyAlignment="1">
      <alignment horizontal="left" vertical="center" wrapText="1"/>
    </xf>
    <xf numFmtId="0" fontId="19" fillId="0" borderId="3" xfId="0" applyFont="1" applyFill="1" applyBorder="1" applyAlignment="1">
      <alignment horizontal="left" vertical="center" wrapText="1"/>
    </xf>
    <xf numFmtId="1" fontId="9" fillId="0" borderId="3" xfId="2" applyNumberFormat="1" applyFont="1" applyFill="1" applyBorder="1" applyAlignment="1">
      <alignment horizontal="center" vertical="center" wrapText="1"/>
    </xf>
    <xf numFmtId="0" fontId="19" fillId="4" borderId="3"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19" fillId="0" borderId="3"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6" fillId="0" borderId="0" xfId="0" applyFont="1" applyFill="1" applyBorder="1" applyAlignment="1">
      <alignment horizontal="left" vertical="center" wrapText="1"/>
    </xf>
    <xf numFmtId="3" fontId="4" fillId="0" borderId="0" xfId="0" applyNumberFormat="1" applyFont="1" applyFill="1" applyBorder="1" applyAlignment="1">
      <alignment horizontal="right" vertical="center" wrapText="1"/>
    </xf>
    <xf numFmtId="165" fontId="4" fillId="0" borderId="0" xfId="0" applyNumberFormat="1" applyFont="1" applyFill="1" applyBorder="1" applyAlignment="1">
      <alignment horizontal="left" vertical="center" wrapText="1"/>
    </xf>
    <xf numFmtId="0" fontId="27" fillId="2" borderId="0" xfId="0" applyFont="1" applyFill="1" applyBorder="1" applyAlignment="1">
      <alignment vertical="center" wrapText="1"/>
    </xf>
    <xf numFmtId="167" fontId="4" fillId="0" borderId="0" xfId="1" applyNumberFormat="1" applyFont="1" applyFill="1" applyBorder="1" applyAlignment="1">
      <alignment horizontal="left" vertical="center" wrapText="1"/>
    </xf>
    <xf numFmtId="167" fontId="4" fillId="0" borderId="0" xfId="0" applyNumberFormat="1" applyFont="1" applyFill="1" applyBorder="1" applyAlignment="1">
      <alignment horizontal="left" vertical="center" wrapText="1"/>
    </xf>
    <xf numFmtId="43" fontId="4" fillId="0" borderId="0" xfId="1" applyFont="1" applyFill="1" applyBorder="1" applyAlignment="1">
      <alignment horizontal="left" vertical="center" wrapText="1"/>
    </xf>
    <xf numFmtId="0" fontId="4" fillId="2" borderId="3" xfId="0" applyFont="1" applyFill="1" applyBorder="1" applyAlignment="1">
      <alignment horizontal="left" vertical="center" wrapText="1"/>
    </xf>
    <xf numFmtId="165" fontId="4" fillId="2" borderId="3" xfId="1" applyNumberFormat="1" applyFont="1" applyFill="1" applyBorder="1" applyAlignment="1">
      <alignment horizontal="left" vertical="center" wrapText="1"/>
    </xf>
    <xf numFmtId="165" fontId="4" fillId="2" borderId="3" xfId="1" applyNumberFormat="1" applyFont="1" applyFill="1" applyBorder="1" applyAlignment="1">
      <alignment horizontal="right" vertical="center" wrapText="1"/>
    </xf>
    <xf numFmtId="0" fontId="4" fillId="2" borderId="0" xfId="0" applyFont="1" applyFill="1" applyBorder="1" applyAlignment="1">
      <alignment horizontal="left" vertical="center" wrapText="1"/>
    </xf>
    <xf numFmtId="165" fontId="4" fillId="2" borderId="0" xfId="0" applyNumberFormat="1" applyFont="1" applyFill="1" applyBorder="1" applyAlignment="1">
      <alignment horizontal="left" vertical="center" wrapText="1"/>
    </xf>
    <xf numFmtId="43" fontId="4" fillId="2" borderId="3" xfId="1" applyFont="1" applyFill="1" applyBorder="1" applyAlignment="1">
      <alignment horizontal="right" vertical="center" wrapText="1"/>
    </xf>
    <xf numFmtId="43" fontId="4" fillId="0" borderId="0" xfId="0" applyNumberFormat="1" applyFont="1" applyFill="1" applyBorder="1" applyAlignment="1">
      <alignment horizontal="left" vertical="center" wrapText="1"/>
    </xf>
    <xf numFmtId="0" fontId="23" fillId="0" borderId="0" xfId="0" applyFont="1" applyFill="1" applyBorder="1" applyAlignment="1">
      <alignment vertical="center" wrapText="1"/>
    </xf>
    <xf numFmtId="0" fontId="4" fillId="3" borderId="0" xfId="0" applyFont="1" applyFill="1" applyBorder="1" applyAlignment="1">
      <alignment horizontal="left" vertical="center" wrapText="1"/>
    </xf>
    <xf numFmtId="165" fontId="4" fillId="0" borderId="0" xfId="1" applyNumberFormat="1" applyFont="1" applyFill="1" applyBorder="1" applyAlignment="1">
      <alignment horizontal="center" vertical="center" wrapText="1"/>
    </xf>
    <xf numFmtId="165" fontId="6" fillId="0" borderId="0" xfId="0" applyNumberFormat="1" applyFont="1" applyFill="1" applyBorder="1" applyAlignment="1">
      <alignment horizontal="left" vertical="center" wrapText="1"/>
    </xf>
    <xf numFmtId="3" fontId="29" fillId="0" borderId="0" xfId="0" applyNumberFormat="1" applyFont="1" applyFill="1" applyBorder="1" applyAlignment="1">
      <alignment horizontal="right" vertical="center" wrapText="1"/>
    </xf>
    <xf numFmtId="165" fontId="4" fillId="2" borderId="3" xfId="1" applyNumberFormat="1" applyFont="1" applyFill="1" applyBorder="1" applyAlignment="1">
      <alignment horizontal="center" vertical="center" wrapText="1"/>
    </xf>
    <xf numFmtId="0" fontId="31" fillId="0" borderId="0" xfId="0" applyFont="1" applyFill="1" applyBorder="1" applyAlignment="1">
      <alignment horizontal="left" vertical="center" wrapText="1"/>
    </xf>
    <xf numFmtId="170" fontId="4" fillId="0" borderId="0" xfId="1" applyNumberFormat="1" applyFont="1" applyFill="1" applyBorder="1" applyAlignment="1">
      <alignment horizontal="left" vertical="center" wrapText="1"/>
    </xf>
    <xf numFmtId="0" fontId="24" fillId="2" borderId="3" xfId="0" applyFont="1" applyFill="1" applyBorder="1" applyAlignment="1">
      <alignment horizontal="left" vertical="center" wrapText="1"/>
    </xf>
    <xf numFmtId="0" fontId="24" fillId="0" borderId="0" xfId="0" applyFont="1" applyFill="1" applyBorder="1" applyAlignment="1">
      <alignment horizontal="left" vertical="center" wrapText="1"/>
    </xf>
    <xf numFmtId="165" fontId="4" fillId="0" borderId="0" xfId="1" applyNumberFormat="1" applyFont="1" applyFill="1" applyBorder="1" applyAlignment="1">
      <alignment horizontal="left" vertical="center" wrapText="1"/>
    </xf>
    <xf numFmtId="165" fontId="4" fillId="2" borderId="0" xfId="1" applyNumberFormat="1" applyFont="1" applyFill="1" applyBorder="1" applyAlignment="1">
      <alignment horizontal="left" vertical="center" wrapText="1"/>
    </xf>
    <xf numFmtId="0" fontId="31" fillId="2" borderId="0" xfId="0" applyFont="1" applyFill="1" applyBorder="1" applyAlignment="1">
      <alignment horizontal="left" vertical="center" wrapText="1"/>
    </xf>
    <xf numFmtId="165" fontId="24" fillId="2" borderId="3" xfId="0" applyNumberFormat="1" applyFont="1" applyFill="1" applyBorder="1" applyAlignment="1">
      <alignment horizontal="left" vertical="center" wrapText="1"/>
    </xf>
    <xf numFmtId="165" fontId="31" fillId="0" borderId="0" xfId="0" applyNumberFormat="1" applyFont="1" applyFill="1" applyBorder="1" applyAlignment="1">
      <alignment horizontal="left" vertical="center" wrapText="1"/>
    </xf>
    <xf numFmtId="43" fontId="31" fillId="0" borderId="0" xfId="1" applyFont="1" applyFill="1" applyBorder="1" applyAlignment="1">
      <alignment horizontal="left" vertical="center" wrapText="1"/>
    </xf>
    <xf numFmtId="0" fontId="36" fillId="2" borderId="3" xfId="0" applyFont="1" applyFill="1" applyBorder="1" applyAlignment="1">
      <alignment horizontal="center" vertical="center" wrapText="1"/>
    </xf>
    <xf numFmtId="0" fontId="36" fillId="2" borderId="3" xfId="0" applyFont="1" applyFill="1" applyBorder="1" applyAlignment="1">
      <alignment horizontal="left" vertical="center" wrapText="1"/>
    </xf>
    <xf numFmtId="0" fontId="5" fillId="0" borderId="0" xfId="0" applyFont="1" applyFill="1" applyBorder="1" applyAlignment="1">
      <alignment horizontal="left" vertical="center" wrapText="1"/>
    </xf>
    <xf numFmtId="0" fontId="4" fillId="0" borderId="0" xfId="0" applyFont="1" applyFill="1" applyBorder="1" applyAlignment="1">
      <alignment horizontal="center" vertical="center" wrapText="1"/>
    </xf>
    <xf numFmtId="3" fontId="24" fillId="0" borderId="0" xfId="14" applyNumberFormat="1" applyFont="1" applyFill="1" applyBorder="1" applyAlignment="1">
      <alignment horizontal="center" vertical="center" wrapText="1"/>
    </xf>
    <xf numFmtId="165" fontId="4" fillId="2" borderId="12" xfId="18" applyNumberFormat="1" applyFont="1" applyFill="1" applyBorder="1" applyAlignment="1">
      <alignment horizontal="right" vertical="center" wrapText="1"/>
    </xf>
    <xf numFmtId="0" fontId="4" fillId="0" borderId="12" xfId="0" applyFont="1" applyFill="1" applyBorder="1" applyAlignment="1">
      <alignment horizontal="left" vertical="center" wrapText="1"/>
    </xf>
    <xf numFmtId="0" fontId="4" fillId="0" borderId="12" xfId="0" applyFont="1" applyFill="1" applyBorder="1" applyAlignment="1">
      <alignment horizontal="center" vertical="center" wrapText="1"/>
    </xf>
    <xf numFmtId="49" fontId="24" fillId="0" borderId="12" xfId="12" applyNumberFormat="1" applyFont="1" applyFill="1" applyBorder="1" applyAlignment="1">
      <alignment horizontal="left" vertical="center" wrapText="1"/>
    </xf>
    <xf numFmtId="3" fontId="4" fillId="0" borderId="12" xfId="0" applyNumberFormat="1" applyFont="1" applyFill="1" applyBorder="1" applyAlignment="1">
      <alignment horizontal="right" vertical="center" wrapText="1"/>
    </xf>
    <xf numFmtId="3" fontId="24" fillId="0" borderId="12" xfId="14" applyNumberFormat="1" applyFont="1" applyFill="1" applyBorder="1" applyAlignment="1">
      <alignment horizontal="left" vertical="center" wrapText="1"/>
    </xf>
    <xf numFmtId="3" fontId="24" fillId="2" borderId="12" xfId="14" applyNumberFormat="1" applyFont="1" applyFill="1" applyBorder="1" applyAlignment="1">
      <alignment horizontal="left" vertical="center" wrapText="1"/>
    </xf>
    <xf numFmtId="3" fontId="24" fillId="0" borderId="12" xfId="13" applyNumberFormat="1" applyFont="1" applyFill="1" applyBorder="1" applyAlignment="1">
      <alignment horizontal="left" vertical="center" wrapText="1"/>
    </xf>
    <xf numFmtId="0" fontId="6" fillId="3" borderId="12" xfId="0" applyFont="1" applyFill="1" applyBorder="1" applyAlignment="1">
      <alignment horizontal="left" vertical="center" wrapText="1"/>
    </xf>
    <xf numFmtId="4" fontId="4" fillId="0" borderId="12" xfId="0" applyNumberFormat="1" applyFont="1" applyFill="1" applyBorder="1" applyAlignment="1">
      <alignment horizontal="right" vertical="center" wrapText="1"/>
    </xf>
    <xf numFmtId="165" fontId="40" fillId="0" borderId="12" xfId="1" applyNumberFormat="1" applyFont="1" applyFill="1" applyBorder="1" applyAlignment="1">
      <alignment horizontal="right" vertical="center" wrapText="1"/>
    </xf>
    <xf numFmtId="165" fontId="6" fillId="3" borderId="12" xfId="0" applyNumberFormat="1" applyFont="1" applyFill="1" applyBorder="1" applyAlignment="1">
      <alignment vertical="center" wrapText="1"/>
    </xf>
    <xf numFmtId="0" fontId="6" fillId="3" borderId="12" xfId="0" applyFont="1" applyFill="1" applyBorder="1" applyAlignment="1">
      <alignment vertical="center" wrapText="1"/>
    </xf>
    <xf numFmtId="43" fontId="6" fillId="3" borderId="12" xfId="1" applyNumberFormat="1" applyFont="1" applyFill="1" applyBorder="1" applyAlignment="1">
      <alignment vertical="center" wrapText="1"/>
    </xf>
    <xf numFmtId="0" fontId="5" fillId="0" borderId="0" xfId="0" applyFont="1" applyFill="1" applyBorder="1" applyAlignment="1">
      <alignment horizontal="center" vertical="center" wrapText="1"/>
    </xf>
    <xf numFmtId="165" fontId="29" fillId="0" borderId="0" xfId="0" applyNumberFormat="1" applyFont="1" applyFill="1" applyBorder="1" applyAlignment="1">
      <alignment horizontal="left" vertical="center" wrapText="1"/>
    </xf>
    <xf numFmtId="0" fontId="23" fillId="2" borderId="0" xfId="0" applyFont="1" applyFill="1" applyBorder="1" applyAlignment="1">
      <alignment vertical="center" wrapText="1"/>
    </xf>
    <xf numFmtId="165" fontId="4" fillId="0" borderId="12" xfId="18" applyNumberFormat="1" applyFont="1" applyFill="1" applyBorder="1" applyAlignment="1">
      <alignment horizontal="right" vertical="center" wrapText="1"/>
    </xf>
    <xf numFmtId="0" fontId="41" fillId="0" borderId="0" xfId="0" applyFont="1" applyFill="1" applyBorder="1" applyAlignment="1">
      <alignment horizontal="left" vertical="center" wrapText="1"/>
    </xf>
    <xf numFmtId="0" fontId="41" fillId="2" borderId="0" xfId="0" applyFont="1" applyFill="1" applyBorder="1" applyAlignment="1">
      <alignment horizontal="left" vertical="center" wrapText="1"/>
    </xf>
    <xf numFmtId="0" fontId="42" fillId="0" borderId="0" xfId="0" applyFont="1" applyFill="1" applyBorder="1" applyAlignment="1">
      <alignment horizontal="left" vertical="center" wrapText="1"/>
    </xf>
    <xf numFmtId="0" fontId="43" fillId="0" borderId="0" xfId="0" applyFont="1" applyFill="1" applyBorder="1" applyAlignment="1">
      <alignment horizontal="center" vertical="center" wrapText="1"/>
    </xf>
    <xf numFmtId="0" fontId="43" fillId="0" borderId="0" xfId="0" applyFont="1" applyFill="1" applyBorder="1" applyAlignment="1">
      <alignment horizontal="left" vertical="center" wrapText="1"/>
    </xf>
    <xf numFmtId="165" fontId="41" fillId="0" borderId="0" xfId="0" applyNumberFormat="1" applyFont="1" applyFill="1" applyBorder="1" applyAlignment="1">
      <alignment horizontal="left" vertical="center" wrapText="1"/>
    </xf>
    <xf numFmtId="165" fontId="41" fillId="0" borderId="0" xfId="1" applyNumberFormat="1" applyFont="1" applyFill="1" applyBorder="1" applyAlignment="1">
      <alignment horizontal="left" vertical="center" wrapText="1"/>
    </xf>
    <xf numFmtId="0" fontId="44" fillId="0" borderId="0" xfId="0" applyFont="1" applyFill="1" applyBorder="1" applyAlignment="1">
      <alignment horizontal="left" vertical="center" wrapText="1"/>
    </xf>
    <xf numFmtId="0" fontId="45" fillId="2" borderId="3" xfId="0" applyFont="1" applyFill="1" applyBorder="1" applyAlignment="1">
      <alignment horizontal="center" vertical="center" wrapText="1"/>
    </xf>
    <xf numFmtId="165" fontId="29" fillId="2" borderId="3" xfId="1" applyNumberFormat="1" applyFont="1" applyFill="1" applyBorder="1" applyAlignment="1">
      <alignment horizontal="right" vertical="center" wrapText="1"/>
    </xf>
    <xf numFmtId="43" fontId="29" fillId="2" borderId="0" xfId="1" applyFont="1" applyFill="1" applyBorder="1" applyAlignment="1">
      <alignment horizontal="center" vertical="center" wrapText="1"/>
    </xf>
    <xf numFmtId="0" fontId="29" fillId="2" borderId="0" xfId="0" applyFont="1" applyFill="1" applyBorder="1" applyAlignment="1">
      <alignment horizontal="left" vertical="center" wrapText="1"/>
    </xf>
    <xf numFmtId="43" fontId="29" fillId="2" borderId="0" xfId="0" applyNumberFormat="1" applyFont="1" applyFill="1" applyBorder="1" applyAlignment="1">
      <alignment horizontal="left" vertical="center" wrapText="1"/>
    </xf>
    <xf numFmtId="0" fontId="45" fillId="2" borderId="3" xfId="0" applyFont="1" applyFill="1" applyBorder="1" applyAlignment="1">
      <alignment horizontal="left" vertical="center" wrapText="1"/>
    </xf>
    <xf numFmtId="0" fontId="29" fillId="0" borderId="0" xfId="0" applyFont="1" applyFill="1" applyBorder="1" applyAlignment="1">
      <alignment horizontal="left" vertical="center" wrapText="1"/>
    </xf>
    <xf numFmtId="167" fontId="29" fillId="0" borderId="0" xfId="1" applyNumberFormat="1" applyFont="1" applyFill="1" applyBorder="1" applyAlignment="1">
      <alignment horizontal="left" vertical="center" wrapText="1"/>
    </xf>
    <xf numFmtId="43" fontId="29" fillId="0" borderId="0" xfId="0" applyNumberFormat="1" applyFont="1" applyFill="1" applyBorder="1" applyAlignment="1">
      <alignment horizontal="left" vertical="center" wrapText="1"/>
    </xf>
    <xf numFmtId="43" fontId="29" fillId="0" borderId="0" xfId="1" applyFont="1" applyFill="1" applyBorder="1" applyAlignment="1">
      <alignment horizontal="center" vertical="center" wrapText="1"/>
    </xf>
    <xf numFmtId="165" fontId="31" fillId="2" borderId="0" xfId="0" applyNumberFormat="1"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8" xfId="0" applyFont="1" applyFill="1" applyBorder="1" applyAlignment="1">
      <alignment horizontal="left" vertical="center" wrapText="1"/>
    </xf>
    <xf numFmtId="169" fontId="4" fillId="0" borderId="0" xfId="0" applyNumberFormat="1" applyFont="1" applyFill="1" applyBorder="1" applyAlignment="1">
      <alignment horizontal="left" vertical="center" wrapText="1"/>
    </xf>
    <xf numFmtId="0" fontId="5" fillId="2" borderId="3" xfId="0" applyFont="1" applyFill="1" applyBorder="1" applyAlignment="1">
      <alignment horizontal="left" vertical="center" wrapText="1"/>
    </xf>
    <xf numFmtId="0" fontId="38" fillId="2" borderId="3" xfId="0" applyFont="1" applyFill="1" applyBorder="1" applyAlignment="1">
      <alignment horizontal="center" vertical="center" wrapText="1"/>
    </xf>
    <xf numFmtId="0" fontId="38" fillId="2" borderId="3" xfId="0" applyFont="1" applyFill="1" applyBorder="1" applyAlignment="1">
      <alignment horizontal="left" vertical="center" wrapText="1"/>
    </xf>
    <xf numFmtId="165" fontId="5" fillId="2" borderId="3" xfId="1" applyNumberFormat="1" applyFont="1" applyFill="1" applyBorder="1" applyAlignment="1">
      <alignment horizontal="left" vertical="center" wrapText="1"/>
    </xf>
    <xf numFmtId="165" fontId="5" fillId="2" borderId="3" xfId="1" applyNumberFormat="1" applyFont="1" applyFill="1" applyBorder="1" applyAlignment="1">
      <alignment horizontal="right" vertical="center" wrapText="1"/>
    </xf>
    <xf numFmtId="167" fontId="4" fillId="2" borderId="3" xfId="1" applyNumberFormat="1" applyFont="1" applyFill="1" applyBorder="1" applyAlignment="1">
      <alignment horizontal="left" vertical="center" wrapText="1"/>
    </xf>
    <xf numFmtId="43" fontId="4" fillId="2" borderId="0" xfId="1" applyFont="1" applyFill="1" applyBorder="1" applyAlignment="1">
      <alignment horizontal="center" vertical="center" wrapText="1"/>
    </xf>
    <xf numFmtId="43" fontId="4" fillId="2" borderId="0" xfId="0" applyNumberFormat="1" applyFont="1" applyFill="1" applyBorder="1" applyAlignment="1">
      <alignment horizontal="left" vertical="center" wrapText="1"/>
    </xf>
    <xf numFmtId="0" fontId="6" fillId="2" borderId="3" xfId="0" applyFont="1" applyFill="1" applyBorder="1" applyAlignment="1">
      <alignment horizontal="left" vertical="center" wrapText="1"/>
    </xf>
    <xf numFmtId="167" fontId="5" fillId="2" borderId="3" xfId="1" applyNumberFormat="1" applyFont="1" applyFill="1" applyBorder="1" applyAlignment="1">
      <alignment horizontal="left" vertical="center" wrapText="1"/>
    </xf>
    <xf numFmtId="165" fontId="6" fillId="2" borderId="3" xfId="1" applyNumberFormat="1" applyFont="1" applyFill="1" applyBorder="1" applyAlignment="1">
      <alignment horizontal="left" vertical="center" wrapText="1"/>
    </xf>
    <xf numFmtId="43" fontId="6" fillId="2" borderId="3" xfId="1" applyNumberFormat="1" applyFont="1" applyFill="1" applyBorder="1" applyAlignment="1">
      <alignment horizontal="left" vertical="center" wrapText="1"/>
    </xf>
    <xf numFmtId="0" fontId="37" fillId="2" borderId="3" xfId="0" applyFont="1" applyFill="1" applyBorder="1" applyAlignment="1">
      <alignment horizontal="left" vertical="center" wrapText="1"/>
    </xf>
    <xf numFmtId="0" fontId="37" fillId="2" borderId="3" xfId="0" applyFont="1" applyFill="1" applyBorder="1" applyAlignment="1">
      <alignment horizontal="center" vertical="center" wrapText="1"/>
    </xf>
    <xf numFmtId="168" fontId="6" fillId="2" borderId="3" xfId="1" applyNumberFormat="1" applyFont="1" applyFill="1" applyBorder="1" applyAlignment="1">
      <alignment horizontal="right" vertical="center" wrapText="1"/>
    </xf>
    <xf numFmtId="43" fontId="31" fillId="2" borderId="0" xfId="1" applyFont="1" applyFill="1" applyBorder="1" applyAlignment="1">
      <alignment horizontal="center" vertical="center" wrapText="1"/>
    </xf>
    <xf numFmtId="43" fontId="31" fillId="2" borderId="0" xfId="0" applyNumberFormat="1" applyFont="1" applyFill="1" applyBorder="1" applyAlignment="1">
      <alignment horizontal="left" vertical="center" wrapText="1"/>
    </xf>
    <xf numFmtId="165" fontId="31" fillId="2" borderId="3" xfId="1" applyNumberFormat="1" applyFont="1" applyFill="1" applyBorder="1" applyAlignment="1">
      <alignment horizontal="left" vertical="center" wrapText="1"/>
    </xf>
    <xf numFmtId="165" fontId="31" fillId="2" borderId="3" xfId="1" applyNumberFormat="1" applyFont="1" applyFill="1" applyBorder="1" applyAlignment="1">
      <alignment horizontal="right" vertical="center" wrapText="1"/>
    </xf>
    <xf numFmtId="43" fontId="5" fillId="2" borderId="0" xfId="1" applyFont="1" applyFill="1" applyBorder="1" applyAlignment="1">
      <alignment horizontal="center" vertical="center" wrapText="1"/>
    </xf>
    <xf numFmtId="0" fontId="5" fillId="2" borderId="0" xfId="0" applyFont="1" applyFill="1" applyBorder="1" applyAlignment="1">
      <alignment horizontal="left" vertical="center" wrapText="1"/>
    </xf>
    <xf numFmtId="43" fontId="5" fillId="2" borderId="0" xfId="0" applyNumberFormat="1" applyFont="1" applyFill="1" applyBorder="1" applyAlignment="1">
      <alignment horizontal="left" vertical="center" wrapText="1"/>
    </xf>
    <xf numFmtId="165" fontId="5" fillId="0" borderId="0" xfId="0" applyNumberFormat="1" applyFont="1" applyFill="1" applyBorder="1" applyAlignment="1">
      <alignment horizontal="left" vertical="center" wrapText="1"/>
    </xf>
    <xf numFmtId="168" fontId="5" fillId="2" borderId="3" xfId="1" applyNumberFormat="1" applyFont="1" applyFill="1" applyBorder="1" applyAlignment="1">
      <alignment horizontal="left" vertical="center" wrapText="1"/>
    </xf>
    <xf numFmtId="0" fontId="24" fillId="0" borderId="0" xfId="15" applyFont="1" applyFill="1" applyBorder="1" applyAlignment="1">
      <alignment horizontal="center" vertical="center"/>
    </xf>
    <xf numFmtId="49" fontId="36" fillId="2" borderId="3" xfId="0" applyNumberFormat="1" applyFont="1" applyFill="1" applyBorder="1" applyAlignment="1">
      <alignment horizontal="center" vertical="center" wrapText="1"/>
    </xf>
    <xf numFmtId="49" fontId="4" fillId="2" borderId="3" xfId="0" applyNumberFormat="1" applyFont="1" applyFill="1" applyBorder="1" applyAlignment="1">
      <alignment horizontal="left" vertical="center" wrapText="1"/>
    </xf>
    <xf numFmtId="0" fontId="39" fillId="2" borderId="3" xfId="0" applyFont="1" applyFill="1" applyBorder="1" applyAlignment="1">
      <alignment horizontal="left" vertical="center" wrapText="1"/>
    </xf>
    <xf numFmtId="0" fontId="39" fillId="2" borderId="3" xfId="0" applyFont="1" applyFill="1" applyBorder="1" applyAlignment="1">
      <alignment horizontal="center" vertical="center" wrapText="1"/>
    </xf>
    <xf numFmtId="43" fontId="31" fillId="0" borderId="0" xfId="1" applyFont="1" applyFill="1" applyBorder="1" applyAlignment="1">
      <alignment horizontal="center" vertical="center" wrapText="1"/>
    </xf>
    <xf numFmtId="43" fontId="31" fillId="0" borderId="0" xfId="0" applyNumberFormat="1" applyFont="1" applyFill="1" applyBorder="1" applyAlignment="1">
      <alignment horizontal="left" vertical="center" wrapText="1"/>
    </xf>
    <xf numFmtId="168" fontId="4" fillId="2" borderId="3" xfId="1" applyNumberFormat="1" applyFont="1" applyFill="1" applyBorder="1" applyAlignment="1">
      <alignment horizontal="right" vertical="center" wrapText="1"/>
    </xf>
    <xf numFmtId="165" fontId="5" fillId="2" borderId="3" xfId="1" applyNumberFormat="1" applyFont="1" applyFill="1" applyBorder="1" applyAlignment="1">
      <alignment horizontal="center" vertical="center" wrapText="1"/>
    </xf>
    <xf numFmtId="3" fontId="36" fillId="2" borderId="3" xfId="0" quotePrefix="1" applyNumberFormat="1" applyFont="1" applyFill="1" applyBorder="1" applyAlignment="1">
      <alignment horizontal="center" vertical="center" wrapText="1"/>
    </xf>
    <xf numFmtId="167" fontId="4" fillId="2" borderId="3" xfId="1" applyNumberFormat="1" applyFont="1" applyFill="1" applyBorder="1" applyAlignment="1">
      <alignment horizontal="right" vertical="center" wrapText="1"/>
    </xf>
    <xf numFmtId="43" fontId="4" fillId="2" borderId="3" xfId="1" applyNumberFormat="1" applyFont="1" applyFill="1" applyBorder="1" applyAlignment="1">
      <alignment horizontal="right" vertical="center" wrapText="1"/>
    </xf>
    <xf numFmtId="165" fontId="4" fillId="2" borderId="14" xfId="1" applyNumberFormat="1" applyFont="1" applyFill="1" applyBorder="1" applyAlignment="1">
      <alignment horizontal="right" vertical="center"/>
    </xf>
    <xf numFmtId="165" fontId="4" fillId="2" borderId="14" xfId="1" applyNumberFormat="1" applyFont="1" applyFill="1" applyBorder="1" applyAlignment="1">
      <alignment vertical="center"/>
    </xf>
    <xf numFmtId="1" fontId="5" fillId="2" borderId="14" xfId="2" applyNumberFormat="1" applyFont="1" applyFill="1" applyBorder="1" applyAlignment="1">
      <alignment vertical="center" wrapText="1"/>
    </xf>
    <xf numFmtId="0" fontId="5" fillId="2" borderId="14" xfId="0" applyFont="1" applyFill="1" applyBorder="1" applyAlignment="1">
      <alignment horizontal="left" vertical="center" wrapText="1"/>
    </xf>
    <xf numFmtId="0" fontId="4" fillId="2" borderId="14" xfId="12" applyFont="1" applyFill="1" applyBorder="1" applyAlignment="1">
      <alignment horizontal="left" vertical="center" wrapText="1"/>
    </xf>
    <xf numFmtId="2" fontId="4" fillId="2" borderId="14" xfId="0" applyNumberFormat="1" applyFont="1" applyFill="1" applyBorder="1" applyAlignment="1">
      <alignment horizontal="left" vertical="center" wrapText="1"/>
    </xf>
    <xf numFmtId="0" fontId="25" fillId="2" borderId="0" xfId="0" applyFont="1" applyFill="1" applyBorder="1" applyAlignment="1">
      <alignment horizontal="right" vertical="center" wrapText="1"/>
    </xf>
    <xf numFmtId="0" fontId="25" fillId="2" borderId="0" xfId="0" applyFont="1" applyFill="1" applyBorder="1" applyAlignment="1">
      <alignment horizontal="center" vertical="center" wrapText="1"/>
    </xf>
    <xf numFmtId="0" fontId="26"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43" fontId="4" fillId="2" borderId="3" xfId="1" applyFont="1" applyFill="1" applyBorder="1" applyAlignment="1">
      <alignment horizontal="center" vertical="center" wrapText="1"/>
    </xf>
    <xf numFmtId="43" fontId="4" fillId="2" borderId="3" xfId="1" applyNumberFormat="1" applyFont="1" applyFill="1" applyBorder="1" applyAlignment="1">
      <alignment horizontal="center" vertical="center" wrapText="1"/>
    </xf>
    <xf numFmtId="0" fontId="27" fillId="2" borderId="0" xfId="0" applyFont="1" applyFill="1" applyBorder="1" applyAlignment="1">
      <alignment horizontal="center" vertical="center" wrapText="1"/>
    </xf>
    <xf numFmtId="165" fontId="28" fillId="3" borderId="0" xfId="0" applyNumberFormat="1" applyFont="1" applyFill="1" applyBorder="1" applyAlignment="1">
      <alignment horizontal="left" vertical="center" wrapText="1"/>
    </xf>
    <xf numFmtId="165" fontId="24" fillId="0" borderId="0" xfId="5" applyNumberFormat="1" applyFont="1" applyFill="1" applyBorder="1" applyAlignment="1">
      <alignment horizontal="center" vertical="center"/>
    </xf>
    <xf numFmtId="0" fontId="24" fillId="7" borderId="0" xfId="0" applyFont="1" applyFill="1" applyBorder="1" applyAlignment="1">
      <alignment horizontal="left" vertical="center" wrapText="1"/>
    </xf>
    <xf numFmtId="0" fontId="24" fillId="8" borderId="0"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5" fillId="0" borderId="0" xfId="0" applyFont="1" applyFill="1" applyBorder="1" applyAlignment="1">
      <alignment horizontal="left" vertical="center" wrapText="1"/>
    </xf>
    <xf numFmtId="0" fontId="36" fillId="0" borderId="0" xfId="0" applyFont="1" applyFill="1" applyBorder="1" applyAlignment="1">
      <alignment horizontal="center" vertical="center" wrapText="1"/>
    </xf>
    <xf numFmtId="0" fontId="36" fillId="0" borderId="0" xfId="0" applyFont="1" applyFill="1" applyBorder="1" applyAlignment="1">
      <alignment horizontal="left" vertical="center" wrapText="1"/>
    </xf>
    <xf numFmtId="0" fontId="24" fillId="2" borderId="0" xfId="0" applyFont="1" applyFill="1" applyBorder="1" applyAlignment="1">
      <alignment horizontal="left" vertical="center" wrapText="1"/>
    </xf>
    <xf numFmtId="0" fontId="24" fillId="9" borderId="0" xfId="0" applyFont="1" applyFill="1" applyBorder="1" applyAlignment="1">
      <alignment horizontal="left" vertical="center" wrapText="1"/>
    </xf>
    <xf numFmtId="0" fontId="24" fillId="10" borderId="0" xfId="0" applyFont="1" applyFill="1" applyBorder="1" applyAlignment="1">
      <alignment horizontal="left" vertical="center" wrapText="1"/>
    </xf>
    <xf numFmtId="165" fontId="24" fillId="0" borderId="0" xfId="0" applyNumberFormat="1" applyFont="1" applyFill="1" applyBorder="1" applyAlignment="1">
      <alignment horizontal="center" vertical="center" wrapText="1"/>
    </xf>
    <xf numFmtId="0" fontId="46" fillId="10" borderId="0" xfId="0" applyFont="1" applyFill="1" applyBorder="1" applyAlignment="1">
      <alignment horizontal="left" vertical="center" wrapText="1"/>
    </xf>
    <xf numFmtId="0" fontId="35" fillId="2" borderId="0" xfId="0" applyFont="1" applyFill="1" applyBorder="1" applyAlignment="1">
      <alignment horizontal="left" vertical="center" wrapText="1"/>
    </xf>
    <xf numFmtId="0" fontId="46" fillId="2" borderId="0" xfId="0" applyFont="1" applyFill="1" applyBorder="1" applyAlignment="1">
      <alignment horizontal="left" vertical="center" wrapText="1"/>
    </xf>
    <xf numFmtId="0" fontId="28" fillId="2" borderId="0" xfId="0" applyFont="1" applyFill="1" applyBorder="1" applyAlignment="1">
      <alignment horizontal="left" vertical="center" wrapText="1"/>
    </xf>
    <xf numFmtId="0" fontId="32" fillId="11" borderId="0" xfId="0" applyFont="1" applyFill="1" applyBorder="1" applyAlignment="1">
      <alignment horizontal="left" vertical="center" wrapText="1"/>
    </xf>
    <xf numFmtId="0" fontId="24" fillId="11" borderId="0" xfId="0" applyFont="1" applyFill="1" applyBorder="1" applyAlignment="1">
      <alignment horizontal="left" vertical="center" wrapText="1"/>
    </xf>
    <xf numFmtId="0" fontId="32" fillId="2" borderId="0" xfId="0" applyFont="1" applyFill="1" applyBorder="1" applyAlignment="1">
      <alignment horizontal="left" vertical="center" wrapText="1"/>
    </xf>
    <xf numFmtId="0" fontId="6" fillId="3" borderId="15" xfId="0" applyFont="1" applyFill="1" applyBorder="1" applyAlignment="1">
      <alignment vertical="center" wrapText="1"/>
    </xf>
    <xf numFmtId="0" fontId="4" fillId="0" borderId="15" xfId="0" applyFont="1" applyFill="1" applyBorder="1" applyAlignment="1">
      <alignment horizontal="left" vertical="center" wrapText="1"/>
    </xf>
    <xf numFmtId="0" fontId="6" fillId="3" borderId="0" xfId="0" applyFont="1" applyFill="1" applyBorder="1" applyAlignment="1">
      <alignment vertical="center" wrapText="1"/>
    </xf>
    <xf numFmtId="3" fontId="36" fillId="2" borderId="14" xfId="11" applyNumberFormat="1" applyFont="1" applyFill="1" applyBorder="1" applyAlignment="1">
      <alignment horizontal="center" vertical="center" wrapText="1"/>
    </xf>
    <xf numFmtId="0" fontId="36" fillId="2" borderId="14" xfId="0" applyFont="1" applyFill="1" applyBorder="1" applyAlignment="1">
      <alignment horizontal="center" vertical="center" wrapText="1"/>
    </xf>
    <xf numFmtId="3" fontId="6" fillId="2" borderId="2" xfId="0" applyNumberFormat="1" applyFont="1" applyFill="1" applyBorder="1" applyAlignment="1">
      <alignment horizontal="center" vertical="center" wrapText="1"/>
    </xf>
    <xf numFmtId="0" fontId="47" fillId="2" borderId="0" xfId="0" applyFont="1" applyFill="1" applyBorder="1" applyAlignment="1">
      <alignment horizontal="center" vertical="center" wrapText="1"/>
    </xf>
    <xf numFmtId="0" fontId="48" fillId="2" borderId="0" xfId="0" applyFont="1" applyFill="1" applyBorder="1" applyAlignment="1">
      <alignment horizontal="center" vertical="center" wrapText="1"/>
    </xf>
    <xf numFmtId="165" fontId="47" fillId="2" borderId="0" xfId="0" applyNumberFormat="1" applyFont="1" applyFill="1" applyBorder="1" applyAlignment="1">
      <alignment horizontal="center" vertical="center" wrapText="1"/>
    </xf>
    <xf numFmtId="0" fontId="41" fillId="0" borderId="18" xfId="0" applyFont="1" applyFill="1" applyBorder="1" applyAlignment="1">
      <alignment horizontal="left" vertical="center" wrapText="1"/>
    </xf>
    <xf numFmtId="0" fontId="41" fillId="2" borderId="18" xfId="0" applyFont="1" applyFill="1" applyBorder="1" applyAlignment="1">
      <alignment horizontal="left" vertical="center" wrapText="1"/>
    </xf>
    <xf numFmtId="0" fontId="42" fillId="0" borderId="18" xfId="0" applyFont="1" applyFill="1" applyBorder="1" applyAlignment="1">
      <alignment horizontal="left" vertical="center" wrapText="1"/>
    </xf>
    <xf numFmtId="0" fontId="43" fillId="0" borderId="18" xfId="0" applyFont="1" applyFill="1" applyBorder="1" applyAlignment="1">
      <alignment horizontal="left" vertical="center" wrapText="1"/>
    </xf>
    <xf numFmtId="49" fontId="47" fillId="0" borderId="18" xfId="12" applyNumberFormat="1" applyFont="1" applyFill="1" applyBorder="1" applyAlignment="1">
      <alignment horizontal="center" vertical="center" wrapText="1"/>
    </xf>
    <xf numFmtId="165" fontId="41" fillId="0" borderId="18" xfId="0" applyNumberFormat="1" applyFont="1" applyFill="1" applyBorder="1" applyAlignment="1">
      <alignment horizontal="left" vertical="center" wrapText="1"/>
    </xf>
    <xf numFmtId="165" fontId="48" fillId="2" borderId="0" xfId="0" applyNumberFormat="1" applyFont="1" applyFill="1" applyBorder="1" applyAlignment="1">
      <alignment horizontal="center" vertical="center" wrapText="1"/>
    </xf>
    <xf numFmtId="165" fontId="42" fillId="0" borderId="18" xfId="0" applyNumberFormat="1" applyFont="1" applyFill="1" applyBorder="1" applyAlignment="1">
      <alignment horizontal="left" vertical="center" wrapText="1"/>
    </xf>
    <xf numFmtId="0" fontId="47" fillId="0" borderId="0" xfId="0" applyFont="1" applyFill="1" applyBorder="1" applyAlignment="1">
      <alignment horizontal="center" vertical="center" wrapText="1"/>
    </xf>
    <xf numFmtId="0" fontId="41" fillId="0" borderId="18" xfId="0" applyFont="1" applyFill="1" applyBorder="1" applyAlignment="1">
      <alignment horizontal="center" vertical="center" wrapText="1"/>
    </xf>
    <xf numFmtId="49" fontId="48" fillId="0" borderId="18" xfId="12" applyNumberFormat="1" applyFont="1" applyFill="1" applyBorder="1" applyAlignment="1">
      <alignment horizontal="center" vertical="center" wrapText="1"/>
    </xf>
    <xf numFmtId="3" fontId="47" fillId="0" borderId="18" xfId="13" applyNumberFormat="1" applyFont="1" applyFill="1" applyBorder="1" applyAlignment="1">
      <alignment horizontal="center" vertical="center" wrapText="1"/>
    </xf>
    <xf numFmtId="165" fontId="47" fillId="0" borderId="0" xfId="0" applyNumberFormat="1" applyFont="1" applyFill="1" applyBorder="1" applyAlignment="1">
      <alignment horizontal="center" vertical="center" wrapText="1"/>
    </xf>
    <xf numFmtId="0" fontId="42" fillId="2" borderId="18" xfId="0" applyFont="1" applyFill="1" applyBorder="1" applyAlignment="1">
      <alignment horizontal="left" vertical="center" wrapText="1"/>
    </xf>
    <xf numFmtId="3" fontId="47" fillId="0" borderId="18" xfId="14" applyNumberFormat="1" applyFont="1" applyFill="1" applyBorder="1" applyAlignment="1">
      <alignment horizontal="center" vertical="center" wrapText="1"/>
    </xf>
    <xf numFmtId="3" fontId="47" fillId="2" borderId="18" xfId="14" applyNumberFormat="1" applyFont="1" applyFill="1" applyBorder="1" applyAlignment="1">
      <alignment horizontal="center" vertical="center" wrapText="1"/>
    </xf>
    <xf numFmtId="0" fontId="49" fillId="2" borderId="0" xfId="0" applyFont="1" applyFill="1" applyBorder="1" applyAlignment="1">
      <alignment horizontal="center" vertical="center" wrapText="1"/>
    </xf>
    <xf numFmtId="3" fontId="49" fillId="0" borderId="18" xfId="14" applyNumberFormat="1" applyFont="1" applyFill="1" applyBorder="1" applyAlignment="1">
      <alignment horizontal="center" vertical="center" wrapText="1"/>
    </xf>
    <xf numFmtId="0" fontId="48" fillId="0" borderId="0" xfId="0" applyFont="1" applyFill="1" applyBorder="1" applyAlignment="1">
      <alignment horizontal="center" vertical="center" wrapText="1"/>
    </xf>
    <xf numFmtId="165" fontId="47" fillId="0" borderId="18" xfId="1" quotePrefix="1" applyNumberFormat="1" applyFont="1" applyFill="1" applyBorder="1" applyAlignment="1">
      <alignment horizontal="center" vertical="center" wrapText="1"/>
    </xf>
    <xf numFmtId="3" fontId="47" fillId="0" borderId="18" xfId="2" quotePrefix="1" applyNumberFormat="1" applyFont="1" applyFill="1" applyBorder="1" applyAlignment="1">
      <alignment horizontal="center" vertical="center" wrapText="1"/>
    </xf>
    <xf numFmtId="49" fontId="47" fillId="0" borderId="19" xfId="12" applyNumberFormat="1" applyFont="1" applyFill="1" applyBorder="1" applyAlignment="1">
      <alignment horizontal="center" vertical="center" wrapText="1"/>
    </xf>
    <xf numFmtId="0" fontId="50" fillId="3" borderId="16" xfId="0" applyFont="1" applyFill="1" applyBorder="1" applyAlignment="1">
      <alignment horizontal="center" vertical="center" wrapText="1"/>
    </xf>
    <xf numFmtId="165" fontId="44" fillId="3" borderId="12" xfId="0" applyNumberFormat="1" applyFont="1" applyFill="1" applyBorder="1" applyAlignment="1">
      <alignment vertical="center" wrapText="1"/>
    </xf>
    <xf numFmtId="0" fontId="47" fillId="2" borderId="16" xfId="0" applyFont="1" applyFill="1" applyBorder="1" applyAlignment="1">
      <alignment horizontal="center" vertical="center" wrapText="1"/>
    </xf>
    <xf numFmtId="165" fontId="41" fillId="0" borderId="12" xfId="5" applyNumberFormat="1" applyFont="1" applyFill="1" applyBorder="1" applyAlignment="1">
      <alignment horizontal="center" vertical="center"/>
    </xf>
    <xf numFmtId="0" fontId="11" fillId="0" borderId="0" xfId="0" applyFont="1" applyFill="1" applyBorder="1" applyAlignment="1">
      <alignment horizontal="left" vertical="center" wrapText="1"/>
    </xf>
    <xf numFmtId="0" fontId="21"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3" fillId="0" borderId="1" xfId="0" applyFont="1" applyFill="1" applyBorder="1" applyAlignment="1">
      <alignment horizontal="right" vertical="center" wrapText="1"/>
    </xf>
    <xf numFmtId="0" fontId="6" fillId="0" borderId="2" xfId="0" applyFont="1" applyFill="1" applyBorder="1" applyAlignment="1">
      <alignment horizontal="center" vertical="center" wrapText="1"/>
    </xf>
    <xf numFmtId="3" fontId="6" fillId="0" borderId="2" xfId="0" applyNumberFormat="1" applyFont="1" applyFill="1" applyBorder="1" applyAlignment="1">
      <alignment horizontal="center" vertical="center" wrapText="1"/>
    </xf>
    <xf numFmtId="0" fontId="6" fillId="2" borderId="0" xfId="0" applyFont="1" applyFill="1" applyBorder="1" applyAlignment="1">
      <alignment horizontal="center" vertical="center" wrapText="1"/>
    </xf>
    <xf numFmtId="3" fontId="6" fillId="2" borderId="2" xfId="0" applyNumberFormat="1"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44" fillId="0" borderId="17" xfId="0" applyFont="1" applyFill="1" applyBorder="1" applyAlignment="1">
      <alignment horizontal="center" vertical="center" wrapText="1"/>
    </xf>
    <xf numFmtId="0" fontId="44" fillId="0" borderId="18" xfId="0" applyFont="1" applyFill="1" applyBorder="1" applyAlignment="1">
      <alignment horizontal="center" vertical="center" wrapText="1"/>
    </xf>
    <xf numFmtId="0" fontId="25" fillId="2" borderId="0" xfId="0" applyFont="1" applyFill="1" applyBorder="1" applyAlignment="1">
      <alignment horizontal="right" vertical="center" wrapText="1"/>
    </xf>
    <xf numFmtId="0" fontId="25" fillId="2" borderId="0" xfId="0" applyFont="1" applyFill="1" applyBorder="1" applyAlignment="1">
      <alignment horizontal="center" vertical="center" wrapText="1"/>
    </xf>
    <xf numFmtId="0" fontId="26" fillId="2" borderId="0"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3" fontId="6" fillId="2" borderId="10" xfId="0" applyNumberFormat="1" applyFont="1" applyFill="1" applyBorder="1" applyAlignment="1">
      <alignment horizontal="center" vertical="center" wrapText="1"/>
    </xf>
    <xf numFmtId="3" fontId="6" fillId="2" borderId="11" xfId="0" applyNumberFormat="1" applyFont="1" applyFill="1" applyBorder="1" applyAlignment="1">
      <alignment horizontal="center" vertical="center" wrapText="1"/>
    </xf>
    <xf numFmtId="0" fontId="6" fillId="2" borderId="13" xfId="0" applyFont="1" applyFill="1" applyBorder="1" applyAlignment="1">
      <alignment horizontal="center" vertical="center" wrapText="1"/>
    </xf>
    <xf numFmtId="0" fontId="4" fillId="2" borderId="13" xfId="0" applyFont="1" applyFill="1" applyBorder="1" applyAlignment="1">
      <alignment horizontal="left" vertical="center" wrapText="1"/>
    </xf>
    <xf numFmtId="165" fontId="6" fillId="2" borderId="13" xfId="1" applyNumberFormat="1" applyFont="1" applyFill="1" applyBorder="1" applyAlignment="1">
      <alignment horizontal="left" vertical="center" wrapText="1"/>
    </xf>
    <xf numFmtId="43" fontId="6" fillId="2" borderId="13" xfId="1" applyFont="1" applyFill="1" applyBorder="1" applyAlignment="1">
      <alignment horizontal="right" vertical="center" wrapText="1"/>
    </xf>
    <xf numFmtId="0" fontId="28" fillId="2" borderId="3" xfId="0" applyFont="1" applyFill="1" applyBorder="1" applyAlignment="1">
      <alignment horizontal="left" vertical="center" wrapText="1"/>
    </xf>
    <xf numFmtId="0" fontId="24" fillId="2" borderId="3" xfId="0" applyFont="1" applyFill="1" applyBorder="1" applyAlignment="1">
      <alignment horizontal="center" vertical="center" wrapText="1"/>
    </xf>
    <xf numFmtId="165" fontId="28" fillId="2" borderId="3" xfId="1" applyNumberFormat="1" applyFont="1" applyFill="1" applyBorder="1" applyAlignment="1">
      <alignment horizontal="center" vertical="center" wrapText="1"/>
    </xf>
    <xf numFmtId="165" fontId="6" fillId="2" borderId="3" xfId="1" applyNumberFormat="1" applyFont="1" applyFill="1" applyBorder="1" applyAlignment="1">
      <alignment horizontal="right" vertical="center" wrapText="1"/>
    </xf>
    <xf numFmtId="43" fontId="6" fillId="2" borderId="3" xfId="1" applyFont="1" applyFill="1" applyBorder="1" applyAlignment="1">
      <alignment horizontal="right" vertical="center" wrapText="1"/>
    </xf>
    <xf numFmtId="0" fontId="35" fillId="2" borderId="3" xfId="0" applyFont="1" applyFill="1" applyBorder="1" applyAlignment="1">
      <alignment horizontal="left" vertical="center" wrapText="1"/>
    </xf>
    <xf numFmtId="0" fontId="32" fillId="2" borderId="3" xfId="0" applyFont="1" applyFill="1" applyBorder="1" applyAlignment="1">
      <alignment horizontal="center" vertical="center" wrapText="1"/>
    </xf>
    <xf numFmtId="0" fontId="35" fillId="2" borderId="3" xfId="0" applyFont="1" applyFill="1" applyBorder="1" applyAlignment="1">
      <alignment horizontal="center" vertical="center" wrapText="1"/>
    </xf>
    <xf numFmtId="43" fontId="5" fillId="2" borderId="3" xfId="1" applyFont="1" applyFill="1" applyBorder="1" applyAlignment="1">
      <alignment horizontal="right" vertical="center" wrapText="1"/>
    </xf>
    <xf numFmtId="0" fontId="36" fillId="2" borderId="3" xfId="4" applyFont="1" applyFill="1" applyBorder="1" applyAlignment="1">
      <alignment horizontal="center" vertical="center" wrapText="1"/>
    </xf>
    <xf numFmtId="0" fontId="36" fillId="2" borderId="3" xfId="4" quotePrefix="1" applyNumberFormat="1" applyFont="1" applyFill="1" applyBorder="1" applyAlignment="1">
      <alignment horizontal="center" vertical="center" wrapText="1"/>
    </xf>
    <xf numFmtId="43" fontId="5" fillId="2" borderId="3" xfId="1" applyFont="1" applyFill="1" applyBorder="1" applyAlignment="1">
      <alignment horizontal="left" vertical="center" wrapText="1"/>
    </xf>
    <xf numFmtId="43" fontId="5" fillId="2" borderId="3" xfId="1" applyNumberFormat="1" applyFont="1" applyFill="1" applyBorder="1" applyAlignment="1">
      <alignment horizontal="left" vertical="center" wrapText="1"/>
    </xf>
    <xf numFmtId="0" fontId="36" fillId="2" borderId="3" xfId="0" quotePrefix="1" applyFont="1" applyFill="1" applyBorder="1" applyAlignment="1">
      <alignment horizontal="center" vertical="center" wrapText="1"/>
    </xf>
    <xf numFmtId="168" fontId="4" fillId="2" borderId="3" xfId="1" applyNumberFormat="1" applyFont="1" applyFill="1" applyBorder="1" applyAlignment="1">
      <alignment horizontal="left" vertical="center" wrapText="1"/>
    </xf>
    <xf numFmtId="3" fontId="36" fillId="2" borderId="14" xfId="2" quotePrefix="1" applyNumberFormat="1" applyFont="1" applyFill="1" applyBorder="1" applyAlignment="1">
      <alignment horizontal="center" vertical="center" wrapText="1"/>
    </xf>
    <xf numFmtId="0" fontId="36" fillId="2" borderId="14" xfId="0" applyNumberFormat="1" applyFont="1" applyFill="1" applyBorder="1" applyAlignment="1">
      <alignment horizontal="center" vertical="center"/>
    </xf>
    <xf numFmtId="49" fontId="36" fillId="2" borderId="14" xfId="0" applyNumberFormat="1" applyFont="1" applyFill="1" applyBorder="1" applyAlignment="1">
      <alignment horizontal="center" vertical="center"/>
    </xf>
    <xf numFmtId="167" fontId="4" fillId="2" borderId="3" xfId="1" applyNumberFormat="1" applyFont="1" applyFill="1" applyBorder="1" applyAlignment="1">
      <alignment horizontal="center" vertical="center" wrapText="1"/>
    </xf>
    <xf numFmtId="0" fontId="36" fillId="2" borderId="14" xfId="0" applyNumberFormat="1" applyFont="1" applyFill="1" applyBorder="1" applyAlignment="1">
      <alignment horizontal="center" vertical="center" wrapText="1"/>
    </xf>
    <xf numFmtId="165" fontId="4" fillId="2" borderId="3" xfId="1" applyNumberFormat="1" applyFont="1" applyFill="1" applyBorder="1" applyAlignment="1">
      <alignment horizontal="right" vertical="center"/>
    </xf>
    <xf numFmtId="3" fontId="4" fillId="2" borderId="3" xfId="6" applyNumberFormat="1" applyFont="1" applyFill="1" applyBorder="1" applyAlignment="1">
      <alignment horizontal="right" vertical="center" wrapText="1"/>
    </xf>
    <xf numFmtId="3" fontId="4" fillId="2" borderId="3" xfId="7" applyNumberFormat="1" applyFont="1" applyFill="1" applyBorder="1" applyAlignment="1">
      <alignment horizontal="right" vertical="center" wrapText="1"/>
    </xf>
    <xf numFmtId="165" fontId="4" fillId="2" borderId="14" xfId="3" applyNumberFormat="1" applyFont="1" applyFill="1" applyBorder="1" applyAlignment="1">
      <alignment horizontal="left" vertical="center" wrapText="1"/>
    </xf>
    <xf numFmtId="0" fontId="36" fillId="2" borderId="14" xfId="4" applyFont="1" applyFill="1" applyBorder="1" applyAlignment="1">
      <alignment horizontal="center" vertical="center" wrapText="1"/>
    </xf>
    <xf numFmtId="1" fontId="36" fillId="2" borderId="14" xfId="2" applyNumberFormat="1" applyFont="1" applyFill="1" applyBorder="1" applyAlignment="1">
      <alignment horizontal="center" vertical="center" wrapText="1"/>
    </xf>
    <xf numFmtId="0" fontId="45" fillId="2" borderId="3" xfId="4" applyFont="1" applyFill="1" applyBorder="1" applyAlignment="1">
      <alignment horizontal="center" vertical="center" wrapText="1"/>
    </xf>
    <xf numFmtId="1" fontId="6" fillId="2" borderId="14" xfId="2" applyNumberFormat="1" applyFont="1" applyFill="1" applyBorder="1" applyAlignment="1">
      <alignment horizontal="left" vertical="center" wrapText="1"/>
    </xf>
    <xf numFmtId="1" fontId="5" fillId="2" borderId="14" xfId="2" applyNumberFormat="1" applyFont="1" applyFill="1" applyBorder="1" applyAlignment="1">
      <alignment horizontal="left" vertical="center" wrapText="1"/>
    </xf>
    <xf numFmtId="1" fontId="4" fillId="2" borderId="14" xfId="2" applyNumberFormat="1" applyFont="1" applyFill="1" applyBorder="1" applyAlignment="1">
      <alignment horizontal="left" vertical="center" wrapText="1"/>
    </xf>
    <xf numFmtId="165" fontId="4" fillId="2" borderId="7" xfId="1" applyNumberFormat="1" applyFont="1" applyFill="1" applyBorder="1" applyAlignment="1">
      <alignment horizontal="right" vertical="center"/>
    </xf>
    <xf numFmtId="49" fontId="4" fillId="2" borderId="14" xfId="8" applyNumberFormat="1" applyFont="1" applyFill="1" applyBorder="1" applyAlignment="1">
      <alignment horizontal="left" vertical="center" wrapText="1"/>
    </xf>
    <xf numFmtId="49" fontId="36" fillId="2" borderId="14" xfId="0" applyNumberFormat="1" applyFont="1" applyFill="1" applyBorder="1" applyAlignment="1">
      <alignment horizontal="center" vertical="center" wrapText="1"/>
    </xf>
    <xf numFmtId="165" fontId="4" fillId="2" borderId="3" xfId="1" applyNumberFormat="1" applyFont="1" applyFill="1" applyBorder="1" applyAlignment="1">
      <alignment horizontal="center" vertical="center"/>
    </xf>
    <xf numFmtId="0" fontId="37" fillId="2" borderId="3" xfId="4" applyFont="1" applyFill="1" applyBorder="1" applyAlignment="1">
      <alignment horizontal="center" vertical="center" wrapText="1"/>
    </xf>
    <xf numFmtId="0" fontId="38" fillId="2" borderId="3" xfId="4" applyFont="1" applyFill="1" applyBorder="1" applyAlignment="1">
      <alignment horizontal="center" vertical="center" wrapText="1"/>
    </xf>
    <xf numFmtId="49" fontId="4" fillId="2" borderId="3" xfId="8" applyNumberFormat="1" applyFont="1" applyFill="1" applyBorder="1" applyAlignment="1">
      <alignment horizontal="left" vertical="center" wrapText="1"/>
    </xf>
    <xf numFmtId="165" fontId="4" fillId="2" borderId="3" xfId="0" applyNumberFormat="1" applyFont="1" applyFill="1" applyBorder="1" applyAlignment="1">
      <alignment horizontal="center" vertical="center"/>
    </xf>
    <xf numFmtId="3" fontId="24" fillId="2" borderId="14" xfId="2" quotePrefix="1" applyNumberFormat="1" applyFont="1" applyFill="1" applyBorder="1" applyAlignment="1">
      <alignment vertical="center" wrapText="1"/>
    </xf>
    <xf numFmtId="0" fontId="5" fillId="2" borderId="14" xfId="0" applyFont="1" applyFill="1" applyBorder="1" applyAlignment="1">
      <alignment vertical="center" wrapText="1"/>
    </xf>
    <xf numFmtId="165" fontId="5" fillId="2" borderId="3" xfId="0" applyNumberFormat="1" applyFont="1" applyFill="1" applyBorder="1" applyAlignment="1">
      <alignment horizontal="center" vertical="center"/>
    </xf>
    <xf numFmtId="165" fontId="24" fillId="2" borderId="14" xfId="1" quotePrefix="1" applyNumberFormat="1" applyFont="1" applyFill="1" applyBorder="1" applyAlignment="1">
      <alignment vertical="center" wrapText="1"/>
    </xf>
    <xf numFmtId="49" fontId="4" fillId="2" borderId="3" xfId="12" applyNumberFormat="1" applyFont="1" applyFill="1" applyBorder="1" applyAlignment="1">
      <alignment horizontal="left" vertical="center" wrapText="1"/>
    </xf>
    <xf numFmtId="49" fontId="36" fillId="2" borderId="3" xfId="12" applyNumberFormat="1" applyFont="1" applyFill="1" applyBorder="1" applyAlignment="1">
      <alignment horizontal="center" vertical="center" wrapText="1"/>
    </xf>
    <xf numFmtId="49" fontId="38" fillId="2" borderId="3" xfId="0" applyNumberFormat="1" applyFont="1" applyFill="1" applyBorder="1" applyAlignment="1">
      <alignment horizontal="center" vertical="center" wrapText="1"/>
    </xf>
    <xf numFmtId="49" fontId="38" fillId="2" borderId="3" xfId="12" applyNumberFormat="1" applyFont="1" applyFill="1" applyBorder="1" applyAlignment="1">
      <alignment horizontal="center" vertical="center" wrapText="1"/>
    </xf>
    <xf numFmtId="49" fontId="4" fillId="2" borderId="14" xfId="12" applyNumberFormat="1" applyFont="1" applyFill="1" applyBorder="1" applyAlignment="1">
      <alignment horizontal="left" vertical="center" wrapText="1"/>
    </xf>
    <xf numFmtId="49" fontId="36" fillId="2" borderId="14" xfId="12" applyNumberFormat="1" applyFont="1" applyFill="1" applyBorder="1" applyAlignment="1">
      <alignment horizontal="center" vertical="center" wrapText="1"/>
    </xf>
    <xf numFmtId="165" fontId="24" fillId="2" borderId="7" xfId="1" quotePrefix="1" applyNumberFormat="1" applyFont="1" applyFill="1" applyBorder="1" applyAlignment="1">
      <alignment vertical="center" wrapText="1"/>
    </xf>
    <xf numFmtId="49" fontId="31" fillId="2" borderId="3" xfId="8" applyNumberFormat="1" applyFont="1" applyFill="1" applyBorder="1" applyAlignment="1">
      <alignment horizontal="left" vertical="center" wrapText="1"/>
    </xf>
    <xf numFmtId="0" fontId="39" fillId="2" borderId="3" xfId="4" applyFont="1" applyFill="1" applyBorder="1" applyAlignment="1">
      <alignment horizontal="center" vertical="center" wrapText="1"/>
    </xf>
    <xf numFmtId="168" fontId="31" fillId="2" borderId="3" xfId="1" applyNumberFormat="1" applyFont="1" applyFill="1" applyBorder="1" applyAlignment="1">
      <alignment horizontal="right" vertical="center" wrapText="1"/>
    </xf>
    <xf numFmtId="49" fontId="36" fillId="2" borderId="3" xfId="0" quotePrefix="1" applyNumberFormat="1" applyFont="1" applyFill="1" applyBorder="1" applyAlignment="1">
      <alignment horizontal="center" vertical="center" wrapText="1"/>
    </xf>
    <xf numFmtId="49" fontId="4" fillId="2" borderId="14" xfId="0" applyNumberFormat="1" applyFont="1" applyFill="1" applyBorder="1" applyAlignment="1">
      <alignment horizontal="left" vertical="center" wrapText="1"/>
    </xf>
    <xf numFmtId="3" fontId="36" fillId="2" borderId="14" xfId="1" applyNumberFormat="1" applyFont="1" applyFill="1" applyBorder="1" applyAlignment="1">
      <alignment horizontal="center" vertical="center" wrapText="1"/>
    </xf>
    <xf numFmtId="2" fontId="4" fillId="2" borderId="3" xfId="0" applyNumberFormat="1" applyFont="1" applyFill="1" applyBorder="1" applyAlignment="1">
      <alignment horizontal="left" vertical="center" wrapText="1"/>
    </xf>
    <xf numFmtId="3" fontId="36" fillId="2" borderId="3" xfId="0" applyNumberFormat="1" applyFont="1" applyFill="1" applyBorder="1" applyAlignment="1">
      <alignment horizontal="center" vertical="center" wrapText="1"/>
    </xf>
    <xf numFmtId="171" fontId="36" fillId="2" borderId="3" xfId="0" quotePrefix="1" applyNumberFormat="1" applyFont="1" applyFill="1" applyBorder="1" applyAlignment="1">
      <alignment horizontal="center" vertical="center" wrapText="1"/>
    </xf>
    <xf numFmtId="3" fontId="4" fillId="2" borderId="3" xfId="0" quotePrefix="1" applyNumberFormat="1" applyFont="1" applyFill="1" applyBorder="1" applyAlignment="1">
      <alignment horizontal="right" vertical="center" wrapText="1"/>
    </xf>
    <xf numFmtId="165" fontId="5" fillId="2" borderId="3" xfId="1" quotePrefix="1" applyNumberFormat="1" applyFont="1" applyFill="1" applyBorder="1" applyAlignment="1">
      <alignment horizontal="center" vertical="center" wrapText="1"/>
    </xf>
    <xf numFmtId="0" fontId="4" fillId="2" borderId="14" xfId="0" applyFont="1" applyFill="1" applyBorder="1" applyAlignment="1">
      <alignment horizontal="left" vertical="center" wrapText="1"/>
    </xf>
    <xf numFmtId="3" fontId="24" fillId="2" borderId="7" xfId="2" quotePrefix="1" applyNumberFormat="1" applyFont="1" applyFill="1" applyBorder="1" applyAlignment="1">
      <alignment vertical="center" wrapText="1"/>
    </xf>
    <xf numFmtId="3" fontId="36" fillId="2" borderId="14" xfId="0" quotePrefix="1" applyNumberFormat="1" applyFont="1" applyFill="1" applyBorder="1" applyAlignment="1">
      <alignment horizontal="center" vertical="center" wrapText="1"/>
    </xf>
    <xf numFmtId="49" fontId="36" fillId="2" borderId="3" xfId="16" applyNumberFormat="1" applyFont="1" applyFill="1" applyBorder="1" applyAlignment="1">
      <alignment horizontal="center" vertical="center" wrapText="1"/>
    </xf>
    <xf numFmtId="3" fontId="36" fillId="2" borderId="7" xfId="2" quotePrefix="1" applyNumberFormat="1" applyFont="1" applyFill="1" applyBorder="1" applyAlignment="1">
      <alignment horizontal="center" vertical="center" wrapText="1"/>
    </xf>
    <xf numFmtId="165" fontId="24" fillId="2" borderId="14" xfId="1" applyNumberFormat="1" applyFont="1" applyFill="1" applyBorder="1" applyAlignment="1">
      <alignment horizontal="right" vertical="center" wrapText="1"/>
    </xf>
    <xf numFmtId="0" fontId="30" fillId="2" borderId="0" xfId="0" applyFont="1" applyFill="1" applyBorder="1" applyAlignment="1">
      <alignment vertical="center" wrapText="1"/>
    </xf>
    <xf numFmtId="0" fontId="27" fillId="2" borderId="0" xfId="0" applyFont="1" applyFill="1" applyBorder="1" applyAlignment="1">
      <alignment horizontal="center" vertical="center" wrapText="1"/>
    </xf>
    <xf numFmtId="0" fontId="6" fillId="2" borderId="20" xfId="0" applyFont="1" applyFill="1" applyBorder="1" applyAlignment="1">
      <alignment horizontal="center" vertical="center" wrapText="1"/>
    </xf>
    <xf numFmtId="3" fontId="6" fillId="2" borderId="2" xfId="0" applyNumberFormat="1" applyFont="1" applyFill="1" applyBorder="1" applyAlignment="1">
      <alignment vertical="center" wrapText="1"/>
    </xf>
    <xf numFmtId="3" fontId="6" fillId="2" borderId="20" xfId="0" applyNumberFormat="1" applyFont="1" applyFill="1" applyBorder="1" applyAlignment="1">
      <alignment horizontal="center" vertical="center" wrapText="1"/>
    </xf>
    <xf numFmtId="165" fontId="28" fillId="2" borderId="13" xfId="0" applyNumberFormat="1" applyFont="1" applyFill="1" applyBorder="1" applyAlignment="1">
      <alignment horizontal="left" vertical="center" wrapText="1"/>
    </xf>
    <xf numFmtId="0" fontId="4" fillId="2" borderId="3" xfId="0" applyFont="1" applyFill="1" applyBorder="1" applyAlignment="1">
      <alignment horizontal="center" vertical="center" wrapText="1"/>
    </xf>
    <xf numFmtId="165" fontId="24" fillId="2" borderId="3" xfId="5" applyNumberFormat="1" applyFont="1" applyFill="1" applyBorder="1" applyAlignment="1">
      <alignment horizontal="center" vertical="center"/>
    </xf>
    <xf numFmtId="0" fontId="6" fillId="2"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32" fillId="2" borderId="3" xfId="0" applyFont="1" applyFill="1" applyBorder="1" applyAlignment="1">
      <alignment horizontal="left" vertical="center" wrapText="1"/>
    </xf>
    <xf numFmtId="165" fontId="24" fillId="2" borderId="3" xfId="0" applyNumberFormat="1" applyFont="1" applyFill="1" applyBorder="1" applyAlignment="1">
      <alignment horizontal="center" vertical="center" wrapText="1"/>
    </xf>
    <xf numFmtId="0" fontId="46" fillId="2" borderId="3" xfId="0" applyFont="1" applyFill="1" applyBorder="1" applyAlignment="1">
      <alignment horizontal="left" vertical="center" wrapText="1"/>
    </xf>
    <xf numFmtId="49" fontId="5" fillId="2" borderId="21" xfId="2" quotePrefix="1" applyNumberFormat="1" applyFont="1" applyFill="1" applyBorder="1" applyAlignment="1">
      <alignment horizontal="center" vertical="center" wrapText="1"/>
    </xf>
    <xf numFmtId="49" fontId="4" fillId="2" borderId="21" xfId="2" applyNumberFormat="1" applyFont="1" applyFill="1" applyBorder="1" applyAlignment="1">
      <alignment horizontal="center" vertical="center" wrapText="1"/>
    </xf>
    <xf numFmtId="49" fontId="5" fillId="2" borderId="21" xfId="2" applyNumberFormat="1" applyFont="1" applyFill="1" applyBorder="1" applyAlignment="1">
      <alignment horizontal="center" vertical="center" wrapText="1"/>
    </xf>
    <xf numFmtId="0" fontId="31" fillId="2" borderId="3" xfId="0" applyFont="1" applyFill="1" applyBorder="1" applyAlignment="1">
      <alignment horizontal="center" vertical="center" wrapText="1"/>
    </xf>
    <xf numFmtId="0" fontId="4" fillId="2" borderId="3" xfId="0" quotePrefix="1" applyFont="1" applyFill="1" applyBorder="1" applyAlignment="1">
      <alignment horizontal="center" vertical="center" wrapText="1"/>
    </xf>
    <xf numFmtId="49" fontId="4" fillId="2" borderId="22" xfId="2" applyNumberFormat="1" applyFont="1" applyFill="1" applyBorder="1" applyAlignment="1">
      <alignment horizontal="center" vertical="center" wrapText="1"/>
    </xf>
    <xf numFmtId="49" fontId="4" fillId="2" borderId="23" xfId="2" applyNumberFormat="1" applyFont="1" applyFill="1" applyBorder="1" applyAlignment="1">
      <alignment horizontal="center" vertical="center" wrapText="1"/>
    </xf>
    <xf numFmtId="0" fontId="4" fillId="2" borderId="24" xfId="0" applyFont="1" applyFill="1" applyBorder="1" applyAlignment="1">
      <alignment horizontal="left" vertical="center" wrapText="1"/>
    </xf>
    <xf numFmtId="3" fontId="36" fillId="2" borderId="24" xfId="2" quotePrefix="1" applyNumberFormat="1" applyFont="1" applyFill="1" applyBorder="1" applyAlignment="1">
      <alignment horizontal="center" vertical="center" wrapText="1"/>
    </xf>
    <xf numFmtId="165" fontId="4" fillId="2" borderId="4" xfId="1" applyNumberFormat="1" applyFont="1" applyFill="1" applyBorder="1" applyAlignment="1">
      <alignment horizontal="left" vertical="center" wrapText="1"/>
    </xf>
    <xf numFmtId="165" fontId="4" fillId="2" borderId="4" xfId="1" applyNumberFormat="1" applyFont="1" applyFill="1" applyBorder="1" applyAlignment="1">
      <alignment horizontal="center" vertical="center"/>
    </xf>
    <xf numFmtId="165" fontId="4" fillId="2" borderId="4" xfId="1" applyNumberFormat="1" applyFont="1" applyFill="1" applyBorder="1" applyAlignment="1">
      <alignment horizontal="right" vertical="center" wrapText="1"/>
    </xf>
    <xf numFmtId="165" fontId="24" fillId="2" borderId="25" xfId="1" applyNumberFormat="1" applyFont="1" applyFill="1" applyBorder="1" applyAlignment="1">
      <alignment horizontal="right" vertical="center" wrapText="1"/>
    </xf>
    <xf numFmtId="165" fontId="4" fillId="2" borderId="4" xfId="1" applyNumberFormat="1" applyFont="1" applyFill="1" applyBorder="1" applyAlignment="1">
      <alignment horizontal="center" vertical="center" wrapText="1"/>
    </xf>
    <xf numFmtId="0" fontId="24" fillId="2" borderId="4" xfId="0" applyFont="1" applyFill="1" applyBorder="1" applyAlignment="1">
      <alignment horizontal="left" vertical="center" wrapText="1"/>
    </xf>
    <xf numFmtId="49" fontId="5" fillId="2" borderId="9" xfId="0" applyNumberFormat="1" applyFont="1" applyFill="1" applyBorder="1" applyAlignment="1">
      <alignment horizontal="left" vertical="center" wrapText="1"/>
    </xf>
    <xf numFmtId="165" fontId="5" fillId="2" borderId="9" xfId="1" quotePrefix="1" applyNumberFormat="1" applyFont="1" applyFill="1" applyBorder="1" applyAlignment="1">
      <alignment vertical="center" wrapText="1"/>
    </xf>
    <xf numFmtId="0" fontId="24" fillId="2" borderId="0" xfId="0" applyFont="1" applyFill="1" applyBorder="1" applyAlignment="1">
      <alignment horizontal="center" vertical="center" wrapText="1"/>
    </xf>
    <xf numFmtId="3" fontId="24" fillId="0" borderId="18" xfId="14" applyNumberFormat="1" applyFont="1" applyFill="1" applyBorder="1" applyAlignment="1">
      <alignment horizontal="center" vertical="center" wrapText="1"/>
    </xf>
  </cellXfs>
  <cellStyles count="19">
    <cellStyle name="?_x005f_x001d_??%U©÷u&amp;H©÷9_x005f_x0008_? s_x005f_x000a__x005f_x0007__x005f_x0001__x005f_x0001_?_x005f_x0002_??????" xfId="4"/>
    <cellStyle name="Comma" xfId="1" builtinId="3"/>
    <cellStyle name="Comma 10" xfId="7"/>
    <cellStyle name="Comma 10 2" xfId="3"/>
    <cellStyle name="Comma 105" xfId="13"/>
    <cellStyle name="Comma 117" xfId="14"/>
    <cellStyle name="Comma 13" xfId="10"/>
    <cellStyle name="Comma 2_bao cao cua UBND tinh quy II - 2011" xfId="18"/>
    <cellStyle name="Comma 21" xfId="5"/>
    <cellStyle name="Normal" xfId="0" builtinId="0"/>
    <cellStyle name="Normal 10" xfId="6"/>
    <cellStyle name="Normal 10 2 2" xfId="17"/>
    <cellStyle name="Normal 4" xfId="15"/>
    <cellStyle name="Normal 66" xfId="9"/>
    <cellStyle name="Normal 81" xfId="16"/>
    <cellStyle name="Normal_Bieu mau (CV )" xfId="2"/>
    <cellStyle name="Normal_Bieu mau (CV ) 2" xfId="8"/>
    <cellStyle name="Normal_Bieu mau (CV ) 3" xfId="11"/>
    <cellStyle name="Normal_Sheet1 2" xfId="1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200024</xdr:colOff>
      <xdr:row>3</xdr:row>
      <xdr:rowOff>9525</xdr:rowOff>
    </xdr:from>
    <xdr:to>
      <xdr:col>7</xdr:col>
      <xdr:colOff>529589</xdr:colOff>
      <xdr:row>3</xdr:row>
      <xdr:rowOff>9525</xdr:rowOff>
    </xdr:to>
    <xdr:sp macro="" textlink="">
      <xdr:nvSpPr>
        <xdr:cNvPr id="2049" name="Line 1"/>
        <xdr:cNvSpPr>
          <a:spLocks noChangeShapeType="1"/>
        </xdr:cNvSpPr>
      </xdr:nvSpPr>
      <xdr:spPr bwMode="auto">
        <a:xfrm>
          <a:off x="4181474" y="657225"/>
          <a:ext cx="237744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T63"/>
  <sheetViews>
    <sheetView workbookViewId="0">
      <selection activeCell="F10" sqref="F10"/>
    </sheetView>
  </sheetViews>
  <sheetFormatPr defaultColWidth="9.33203125" defaultRowHeight="12.75" x14ac:dyDescent="0.2"/>
  <cols>
    <col min="1" max="1" width="4.83203125" style="6" customWidth="1"/>
    <col min="2" max="2" width="47.1640625" style="6" customWidth="1"/>
    <col min="3" max="3" width="11.1640625" style="6" customWidth="1"/>
    <col min="4" max="4" width="9.83203125" style="6" customWidth="1"/>
    <col min="5" max="5" width="10.83203125" style="6" customWidth="1"/>
    <col min="6" max="6" width="9.33203125" style="7" customWidth="1"/>
    <col min="7" max="7" width="8.5" style="7" customWidth="1"/>
    <col min="8" max="8" width="8.83203125" style="7" customWidth="1"/>
    <col min="9" max="17" width="8.5" style="7" customWidth="1"/>
    <col min="18" max="18" width="10.1640625" style="7" customWidth="1"/>
    <col min="19" max="19" width="5.83203125" style="6" customWidth="1"/>
    <col min="20" max="20" width="3.1640625" style="6" customWidth="1"/>
    <col min="21" max="21" width="11.6640625" style="6" bestFit="1" customWidth="1"/>
    <col min="22" max="16384" width="9.33203125" style="6"/>
  </cols>
  <sheetData>
    <row r="1" spans="1:20" s="72" customFormat="1" ht="14.25" customHeight="1" x14ac:dyDescent="0.2">
      <c r="A1" s="255"/>
      <c r="B1" s="255"/>
      <c r="C1" s="255"/>
      <c r="D1" s="255"/>
      <c r="E1" s="255"/>
      <c r="F1" s="255"/>
      <c r="G1" s="255"/>
      <c r="H1" s="255"/>
      <c r="I1" s="255"/>
      <c r="J1" s="255"/>
      <c r="K1" s="255"/>
      <c r="L1" s="255"/>
      <c r="M1" s="255"/>
      <c r="N1" s="255"/>
      <c r="O1" s="255"/>
      <c r="P1" s="255"/>
      <c r="Q1" s="255"/>
      <c r="R1" s="255"/>
      <c r="S1" s="255"/>
      <c r="T1" s="255"/>
    </row>
    <row r="2" spans="1:20" s="72" customFormat="1" ht="18.600000000000001" customHeight="1" x14ac:dyDescent="0.2">
      <c r="A2" s="256" t="s">
        <v>83</v>
      </c>
      <c r="B2" s="256"/>
      <c r="C2" s="256"/>
      <c r="D2" s="256"/>
      <c r="E2" s="256"/>
      <c r="F2" s="256"/>
      <c r="G2" s="256"/>
      <c r="H2" s="256"/>
      <c r="I2" s="256"/>
      <c r="J2" s="256"/>
      <c r="K2" s="256"/>
      <c r="L2" s="256"/>
      <c r="M2" s="256"/>
      <c r="N2" s="256"/>
      <c r="O2" s="256"/>
      <c r="P2" s="256"/>
      <c r="Q2" s="256"/>
      <c r="R2" s="256"/>
      <c r="S2" s="256"/>
    </row>
    <row r="3" spans="1:20" s="72" customFormat="1" ht="24" customHeight="1" x14ac:dyDescent="0.2">
      <c r="A3" s="257" t="s">
        <v>82</v>
      </c>
      <c r="B3" s="257"/>
      <c r="C3" s="257"/>
      <c r="D3" s="257"/>
      <c r="E3" s="257"/>
      <c r="F3" s="257"/>
      <c r="G3" s="257"/>
      <c r="H3" s="257"/>
      <c r="I3" s="257"/>
      <c r="J3" s="257"/>
      <c r="K3" s="257"/>
      <c r="L3" s="257"/>
      <c r="M3" s="257"/>
      <c r="N3" s="257"/>
      <c r="O3" s="257"/>
      <c r="P3" s="257"/>
      <c r="Q3" s="257"/>
      <c r="R3" s="257"/>
      <c r="S3" s="257"/>
    </row>
    <row r="4" spans="1:20" s="72" customFormat="1" ht="21.95" customHeight="1" x14ac:dyDescent="0.2">
      <c r="A4" s="258" t="s">
        <v>104</v>
      </c>
      <c r="B4" s="258"/>
      <c r="C4" s="258"/>
      <c r="D4" s="258"/>
      <c r="E4" s="258"/>
      <c r="F4" s="258"/>
      <c r="G4" s="258"/>
      <c r="H4" s="258"/>
      <c r="I4" s="258"/>
      <c r="J4" s="258"/>
      <c r="K4" s="258"/>
      <c r="L4" s="258"/>
      <c r="M4" s="258"/>
      <c r="N4" s="258"/>
      <c r="O4" s="258"/>
      <c r="P4" s="258"/>
      <c r="Q4" s="258"/>
      <c r="R4" s="258"/>
      <c r="S4" s="258"/>
    </row>
    <row r="5" spans="1:20" ht="22.9" customHeight="1" x14ac:dyDescent="0.2">
      <c r="A5" s="259" t="s">
        <v>84</v>
      </c>
      <c r="B5" s="259" t="s">
        <v>85</v>
      </c>
      <c r="C5" s="259" t="s">
        <v>86</v>
      </c>
      <c r="D5" s="259"/>
      <c r="E5" s="259" t="s">
        <v>87</v>
      </c>
      <c r="F5" s="260" t="s">
        <v>105</v>
      </c>
      <c r="G5" s="260"/>
      <c r="H5" s="260"/>
      <c r="I5" s="260"/>
      <c r="J5" s="260"/>
      <c r="K5" s="260"/>
      <c r="L5" s="260"/>
      <c r="M5" s="260"/>
      <c r="N5" s="260"/>
      <c r="O5" s="260"/>
      <c r="P5" s="260"/>
      <c r="Q5" s="260"/>
      <c r="R5" s="260"/>
      <c r="S5" s="259" t="s">
        <v>88</v>
      </c>
    </row>
    <row r="6" spans="1:20" ht="51" x14ac:dyDescent="0.2">
      <c r="A6" s="259"/>
      <c r="B6" s="259"/>
      <c r="C6" s="10" t="s">
        <v>89</v>
      </c>
      <c r="D6" s="10" t="s">
        <v>90</v>
      </c>
      <c r="E6" s="259"/>
      <c r="F6" s="11" t="s">
        <v>91</v>
      </c>
      <c r="G6" s="11" t="s">
        <v>92</v>
      </c>
      <c r="H6" s="11" t="s">
        <v>93</v>
      </c>
      <c r="I6" s="11" t="s">
        <v>94</v>
      </c>
      <c r="J6" s="11" t="s">
        <v>95</v>
      </c>
      <c r="K6" s="11" t="s">
        <v>96</v>
      </c>
      <c r="L6" s="11" t="s">
        <v>97</v>
      </c>
      <c r="M6" s="11" t="s">
        <v>98</v>
      </c>
      <c r="N6" s="11" t="s">
        <v>99</v>
      </c>
      <c r="O6" s="11" t="s">
        <v>100</v>
      </c>
      <c r="P6" s="11" t="s">
        <v>101</v>
      </c>
      <c r="Q6" s="11" t="s">
        <v>102</v>
      </c>
      <c r="R6" s="11" t="s">
        <v>103</v>
      </c>
      <c r="S6" s="259"/>
    </row>
    <row r="7" spans="1:20" ht="19.5" customHeight="1" x14ac:dyDescent="0.2">
      <c r="A7" s="12"/>
      <c r="B7" s="13" t="s">
        <v>23</v>
      </c>
      <c r="C7" s="12"/>
      <c r="D7" s="55">
        <f>D8+D26</f>
        <v>679937.16800000006</v>
      </c>
      <c r="E7" s="55">
        <f t="shared" ref="E7:R7" si="0">E8+E26</f>
        <v>253682.5</v>
      </c>
      <c r="F7" s="56">
        <f t="shared" si="0"/>
        <v>59554.968000000001</v>
      </c>
      <c r="G7" s="56">
        <f t="shared" si="0"/>
        <v>0</v>
      </c>
      <c r="H7" s="56">
        <f t="shared" si="0"/>
        <v>47682.531999999999</v>
      </c>
      <c r="I7" s="56">
        <f t="shared" si="0"/>
        <v>0</v>
      </c>
      <c r="J7" s="56">
        <f t="shared" si="0"/>
        <v>10000</v>
      </c>
      <c r="K7" s="56">
        <f t="shared" si="0"/>
        <v>0</v>
      </c>
      <c r="L7" s="56">
        <f t="shared" si="0"/>
        <v>10850</v>
      </c>
      <c r="M7" s="56">
        <f t="shared" si="0"/>
        <v>20000</v>
      </c>
      <c r="N7" s="56">
        <f t="shared" si="0"/>
        <v>11550</v>
      </c>
      <c r="O7" s="56">
        <f t="shared" si="0"/>
        <v>860</v>
      </c>
      <c r="P7" s="56">
        <f t="shared" si="0"/>
        <v>6500</v>
      </c>
      <c r="Q7" s="56">
        <f t="shared" si="0"/>
        <v>71685</v>
      </c>
      <c r="R7" s="56">
        <f t="shared" si="0"/>
        <v>238682.5</v>
      </c>
      <c r="S7" s="55"/>
    </row>
    <row r="8" spans="1:20" ht="19.5" customHeight="1" x14ac:dyDescent="0.2">
      <c r="A8" s="14" t="s">
        <v>24</v>
      </c>
      <c r="B8" s="15" t="s">
        <v>0</v>
      </c>
      <c r="C8" s="67"/>
      <c r="D8" s="16">
        <f>D9+D16</f>
        <v>497000</v>
      </c>
      <c r="E8" s="16">
        <f t="shared" ref="E8:R8" si="1">E9+E16</f>
        <v>212617.5</v>
      </c>
      <c r="F8" s="16">
        <f t="shared" si="1"/>
        <v>44187.161</v>
      </c>
      <c r="G8" s="16">
        <f t="shared" si="1"/>
        <v>0</v>
      </c>
      <c r="H8" s="16">
        <f t="shared" si="1"/>
        <v>41745.339</v>
      </c>
      <c r="I8" s="16">
        <f t="shared" si="1"/>
        <v>0</v>
      </c>
      <c r="J8" s="16">
        <f t="shared" si="1"/>
        <v>10000</v>
      </c>
      <c r="K8" s="16">
        <f t="shared" si="1"/>
        <v>0</v>
      </c>
      <c r="L8" s="16">
        <f t="shared" si="1"/>
        <v>10000</v>
      </c>
      <c r="M8" s="16">
        <f t="shared" si="1"/>
        <v>20000</v>
      </c>
      <c r="N8" s="16">
        <f t="shared" si="1"/>
        <v>10000</v>
      </c>
      <c r="O8" s="16">
        <f t="shared" si="1"/>
        <v>0</v>
      </c>
      <c r="P8" s="16">
        <f t="shared" si="1"/>
        <v>5000</v>
      </c>
      <c r="Q8" s="16">
        <f t="shared" si="1"/>
        <v>71685</v>
      </c>
      <c r="R8" s="16">
        <f t="shared" si="1"/>
        <v>212617.5</v>
      </c>
      <c r="S8" s="57"/>
    </row>
    <row r="9" spans="1:20" ht="19.5" customHeight="1" x14ac:dyDescent="0.2">
      <c r="A9" s="17" t="s">
        <v>15</v>
      </c>
      <c r="B9" s="18" t="s">
        <v>1</v>
      </c>
      <c r="C9" s="68"/>
      <c r="D9" s="58">
        <f>D10+D11+D12</f>
        <v>434000</v>
      </c>
      <c r="E9" s="58">
        <f t="shared" ref="E9:R9" si="2">E10+E11+E12</f>
        <v>206685</v>
      </c>
      <c r="F9" s="58">
        <f t="shared" si="2"/>
        <v>40000</v>
      </c>
      <c r="G9" s="58">
        <f t="shared" si="2"/>
        <v>0</v>
      </c>
      <c r="H9" s="58">
        <f t="shared" si="2"/>
        <v>40000</v>
      </c>
      <c r="I9" s="58">
        <f t="shared" si="2"/>
        <v>0</v>
      </c>
      <c r="J9" s="58">
        <f t="shared" si="2"/>
        <v>10000</v>
      </c>
      <c r="K9" s="58">
        <f t="shared" si="2"/>
        <v>0</v>
      </c>
      <c r="L9" s="58">
        <f t="shared" si="2"/>
        <v>10000</v>
      </c>
      <c r="M9" s="58">
        <f t="shared" si="2"/>
        <v>20000</v>
      </c>
      <c r="N9" s="58">
        <f t="shared" si="2"/>
        <v>10000</v>
      </c>
      <c r="O9" s="58">
        <f t="shared" si="2"/>
        <v>0</v>
      </c>
      <c r="P9" s="58">
        <f t="shared" si="2"/>
        <v>5000</v>
      </c>
      <c r="Q9" s="58">
        <f t="shared" si="2"/>
        <v>71685</v>
      </c>
      <c r="R9" s="58">
        <f t="shared" si="2"/>
        <v>206685</v>
      </c>
      <c r="S9" s="59"/>
    </row>
    <row r="10" spans="1:20" ht="27" x14ac:dyDescent="0.2">
      <c r="A10" s="19" t="s">
        <v>28</v>
      </c>
      <c r="B10" s="20" t="s">
        <v>29</v>
      </c>
      <c r="C10" s="69"/>
      <c r="D10" s="25"/>
      <c r="E10" s="25"/>
      <c r="F10" s="51"/>
      <c r="G10" s="51"/>
      <c r="H10" s="51"/>
      <c r="I10" s="51"/>
      <c r="J10" s="51"/>
      <c r="K10" s="51"/>
      <c r="L10" s="51"/>
      <c r="M10" s="51"/>
      <c r="N10" s="51"/>
      <c r="O10" s="51"/>
      <c r="P10" s="51"/>
      <c r="Q10" s="51"/>
      <c r="R10" s="51"/>
      <c r="S10" s="25"/>
    </row>
    <row r="11" spans="1:20" ht="22.15" customHeight="1" x14ac:dyDescent="0.2">
      <c r="A11" s="19" t="s">
        <v>30</v>
      </c>
      <c r="B11" s="20" t="s">
        <v>31</v>
      </c>
      <c r="C11" s="69"/>
      <c r="D11" s="25"/>
      <c r="E11" s="25"/>
      <c r="F11" s="51"/>
      <c r="G11" s="51"/>
      <c r="H11" s="51"/>
      <c r="I11" s="51"/>
      <c r="J11" s="51"/>
      <c r="K11" s="51"/>
      <c r="L11" s="51"/>
      <c r="M11" s="51"/>
      <c r="N11" s="51"/>
      <c r="O11" s="51"/>
      <c r="P11" s="51"/>
      <c r="Q11" s="51"/>
      <c r="R11" s="51"/>
      <c r="S11" s="25"/>
    </row>
    <row r="12" spans="1:20" ht="22.15" customHeight="1" x14ac:dyDescent="0.2">
      <c r="A12" s="21" t="s">
        <v>32</v>
      </c>
      <c r="B12" s="22" t="s">
        <v>33</v>
      </c>
      <c r="C12" s="69"/>
      <c r="D12" s="8">
        <f>SUM(D13:D15)</f>
        <v>434000</v>
      </c>
      <c r="E12" s="8">
        <f>SUM(E13:E15)</f>
        <v>206685</v>
      </c>
      <c r="F12" s="8">
        <f>SUM(F13:F15)</f>
        <v>40000</v>
      </c>
      <c r="G12" s="8">
        <f t="shared" ref="G12:O12" si="3">SUM(G13:G15)</f>
        <v>0</v>
      </c>
      <c r="H12" s="8">
        <f t="shared" si="3"/>
        <v>40000</v>
      </c>
      <c r="I12" s="8">
        <f t="shared" si="3"/>
        <v>0</v>
      </c>
      <c r="J12" s="8">
        <f>SUM(J13:J15)</f>
        <v>10000</v>
      </c>
      <c r="K12" s="8">
        <f t="shared" si="3"/>
        <v>0</v>
      </c>
      <c r="L12" s="8">
        <f>SUM(L13:L15)</f>
        <v>10000</v>
      </c>
      <c r="M12" s="8">
        <f>SUM(M13:M15)</f>
        <v>20000</v>
      </c>
      <c r="N12" s="8">
        <f>SUM(N13:N15)</f>
        <v>10000</v>
      </c>
      <c r="O12" s="8">
        <f t="shared" si="3"/>
        <v>0</v>
      </c>
      <c r="P12" s="8">
        <f>SUM(P13:P15)</f>
        <v>5000</v>
      </c>
      <c r="Q12" s="8">
        <f>SUM(Q13:Q15)</f>
        <v>71685</v>
      </c>
      <c r="R12" s="8">
        <f>SUM(R13:R15)</f>
        <v>206685</v>
      </c>
      <c r="S12" s="25"/>
    </row>
    <row r="13" spans="1:20" ht="51" x14ac:dyDescent="0.2">
      <c r="A13" s="23">
        <v>1</v>
      </c>
      <c r="B13" s="24" t="s">
        <v>2</v>
      </c>
      <c r="C13" s="70" t="s">
        <v>3</v>
      </c>
      <c r="D13" s="25">
        <v>164000</v>
      </c>
      <c r="E13" s="25">
        <v>89000</v>
      </c>
      <c r="F13" s="51">
        <v>40000</v>
      </c>
      <c r="G13" s="51"/>
      <c r="H13" s="51"/>
      <c r="I13" s="51"/>
      <c r="J13" s="51">
        <v>10000</v>
      </c>
      <c r="K13" s="51"/>
      <c r="L13" s="51"/>
      <c r="M13" s="51"/>
      <c r="N13" s="51">
        <v>10000</v>
      </c>
      <c r="O13" s="51"/>
      <c r="P13" s="51"/>
      <c r="Q13" s="51">
        <v>29000</v>
      </c>
      <c r="R13" s="51">
        <f>SUM(F13:Q13)</f>
        <v>89000</v>
      </c>
      <c r="S13" s="25"/>
    </row>
    <row r="14" spans="1:20" ht="22.5" x14ac:dyDescent="0.2">
      <c r="A14" s="23">
        <v>2</v>
      </c>
      <c r="B14" s="24" t="s">
        <v>4</v>
      </c>
      <c r="C14" s="70" t="s">
        <v>5</v>
      </c>
      <c r="D14" s="25">
        <v>80000</v>
      </c>
      <c r="E14" s="25">
        <v>42000</v>
      </c>
      <c r="F14" s="51"/>
      <c r="G14" s="51"/>
      <c r="H14" s="51">
        <v>10000</v>
      </c>
      <c r="I14" s="51"/>
      <c r="J14" s="51"/>
      <c r="K14" s="51"/>
      <c r="L14" s="51">
        <v>10000</v>
      </c>
      <c r="M14" s="51"/>
      <c r="N14" s="51"/>
      <c r="O14" s="51"/>
      <c r="P14" s="51">
        <v>5000</v>
      </c>
      <c r="Q14" s="51">
        <v>17000</v>
      </c>
      <c r="R14" s="51">
        <f t="shared" ref="R14:R15" si="4">SUM(F14:Q14)</f>
        <v>42000</v>
      </c>
      <c r="S14" s="25"/>
    </row>
    <row r="15" spans="1:20" ht="20.25" customHeight="1" x14ac:dyDescent="0.2">
      <c r="A15" s="23">
        <v>3</v>
      </c>
      <c r="B15" s="24" t="s">
        <v>6</v>
      </c>
      <c r="C15" s="70" t="s">
        <v>7</v>
      </c>
      <c r="D15" s="26">
        <v>190000</v>
      </c>
      <c r="E15" s="27">
        <v>75685</v>
      </c>
      <c r="F15" s="51"/>
      <c r="G15" s="51"/>
      <c r="H15" s="51">
        <v>30000</v>
      </c>
      <c r="I15" s="51"/>
      <c r="J15" s="51"/>
      <c r="K15" s="51"/>
      <c r="L15" s="51"/>
      <c r="M15" s="51">
        <v>20000</v>
      </c>
      <c r="N15" s="51"/>
      <c r="O15" s="51"/>
      <c r="P15" s="51"/>
      <c r="Q15" s="51">
        <v>25685</v>
      </c>
      <c r="R15" s="51">
        <f t="shared" si="4"/>
        <v>75685</v>
      </c>
      <c r="S15" s="25"/>
    </row>
    <row r="16" spans="1:20" ht="16.899999999999999" customHeight="1" x14ac:dyDescent="0.2">
      <c r="A16" s="17" t="s">
        <v>25</v>
      </c>
      <c r="B16" s="18" t="s">
        <v>8</v>
      </c>
      <c r="C16" s="68"/>
      <c r="D16" s="58">
        <f>D17+D20+D22+D23+D24</f>
        <v>63000</v>
      </c>
      <c r="E16" s="58">
        <f>E17+E20+E22+E23+E24</f>
        <v>5932.5</v>
      </c>
      <c r="F16" s="58">
        <f t="shared" ref="F16:R16" si="5">F17+F20+F22+F23+F24</f>
        <v>4187.1610000000001</v>
      </c>
      <c r="G16" s="58">
        <f t="shared" si="5"/>
        <v>0</v>
      </c>
      <c r="H16" s="60">
        <f t="shared" si="5"/>
        <v>1745.3389999999999</v>
      </c>
      <c r="I16" s="58">
        <f t="shared" si="5"/>
        <v>0</v>
      </c>
      <c r="J16" s="58">
        <f t="shared" si="5"/>
        <v>0</v>
      </c>
      <c r="K16" s="58">
        <f t="shared" si="5"/>
        <v>0</v>
      </c>
      <c r="L16" s="58">
        <f t="shared" si="5"/>
        <v>0</v>
      </c>
      <c r="M16" s="58">
        <f t="shared" si="5"/>
        <v>0</v>
      </c>
      <c r="N16" s="58">
        <f t="shared" si="5"/>
        <v>0</v>
      </c>
      <c r="O16" s="58">
        <f t="shared" si="5"/>
        <v>0</v>
      </c>
      <c r="P16" s="58">
        <f t="shared" si="5"/>
        <v>0</v>
      </c>
      <c r="Q16" s="58">
        <f t="shared" si="5"/>
        <v>0</v>
      </c>
      <c r="R16" s="58">
        <f t="shared" si="5"/>
        <v>5932.5</v>
      </c>
      <c r="S16" s="59"/>
    </row>
    <row r="17" spans="1:19" ht="16.899999999999999" customHeight="1" x14ac:dyDescent="0.2">
      <c r="A17" s="19" t="s">
        <v>28</v>
      </c>
      <c r="B17" s="28" t="s">
        <v>34</v>
      </c>
      <c r="C17" s="69"/>
      <c r="D17" s="8">
        <f>SUM(D18:D19)</f>
        <v>40000</v>
      </c>
      <c r="E17" s="8">
        <f>SUM(E18:E19)</f>
        <v>2262.5</v>
      </c>
      <c r="F17" s="8">
        <f>SUM(F18:F19)</f>
        <v>1937.1610000000001</v>
      </c>
      <c r="G17" s="8">
        <f t="shared" ref="G17:R17" si="6">SUM(G18:G19)</f>
        <v>0</v>
      </c>
      <c r="H17" s="35">
        <f>SUM(H18:H19)</f>
        <v>325.33899999999994</v>
      </c>
      <c r="I17" s="8">
        <f t="shared" si="6"/>
        <v>0</v>
      </c>
      <c r="J17" s="8">
        <f t="shared" si="6"/>
        <v>0</v>
      </c>
      <c r="K17" s="8">
        <f t="shared" si="6"/>
        <v>0</v>
      </c>
      <c r="L17" s="8">
        <f t="shared" si="6"/>
        <v>0</v>
      </c>
      <c r="M17" s="8">
        <f t="shared" si="6"/>
        <v>0</v>
      </c>
      <c r="N17" s="8">
        <f t="shared" si="6"/>
        <v>0</v>
      </c>
      <c r="O17" s="8">
        <f t="shared" si="6"/>
        <v>0</v>
      </c>
      <c r="P17" s="8">
        <f t="shared" si="6"/>
        <v>0</v>
      </c>
      <c r="Q17" s="8">
        <f t="shared" si="6"/>
        <v>0</v>
      </c>
      <c r="R17" s="8">
        <f t="shared" si="6"/>
        <v>2262.5</v>
      </c>
      <c r="S17" s="25"/>
    </row>
    <row r="18" spans="1:19" ht="25.5" x14ac:dyDescent="0.2">
      <c r="A18" s="23">
        <v>1</v>
      </c>
      <c r="B18" s="29" t="s">
        <v>9</v>
      </c>
      <c r="C18" s="70" t="s">
        <v>119</v>
      </c>
      <c r="D18" s="25">
        <v>35000</v>
      </c>
      <c r="E18" s="25">
        <v>2206.3389999999999</v>
      </c>
      <c r="F18" s="51">
        <v>1881</v>
      </c>
      <c r="G18" s="51"/>
      <c r="H18" s="61">
        <f>E18-F18</f>
        <v>325.33899999999994</v>
      </c>
      <c r="I18" s="51"/>
      <c r="J18" s="51"/>
      <c r="K18" s="51"/>
      <c r="L18" s="51"/>
      <c r="M18" s="51"/>
      <c r="N18" s="51"/>
      <c r="O18" s="51"/>
      <c r="P18" s="51"/>
      <c r="Q18" s="51"/>
      <c r="R18" s="51">
        <f>SUM(F18:Q18)</f>
        <v>2206.3389999999999</v>
      </c>
      <c r="S18" s="25"/>
    </row>
    <row r="19" spans="1:19" ht="18.600000000000001" customHeight="1" x14ac:dyDescent="0.2">
      <c r="A19" s="23">
        <v>2</v>
      </c>
      <c r="B19" s="29" t="s">
        <v>10</v>
      </c>
      <c r="C19" s="70" t="s">
        <v>118</v>
      </c>
      <c r="D19" s="25">
        <v>5000</v>
      </c>
      <c r="E19" s="25">
        <v>56.161000000000001</v>
      </c>
      <c r="F19" s="51">
        <f>E19</f>
        <v>56.161000000000001</v>
      </c>
      <c r="G19" s="51"/>
      <c r="H19" s="51"/>
      <c r="I19" s="51"/>
      <c r="J19" s="51"/>
      <c r="K19" s="51"/>
      <c r="L19" s="51"/>
      <c r="M19" s="51"/>
      <c r="N19" s="51"/>
      <c r="O19" s="51"/>
      <c r="P19" s="51"/>
      <c r="Q19" s="51"/>
      <c r="R19" s="51">
        <f>SUM(F19:Q19)</f>
        <v>56.161000000000001</v>
      </c>
      <c r="S19" s="25"/>
    </row>
    <row r="20" spans="1:19" ht="27" x14ac:dyDescent="0.2">
      <c r="A20" s="19" t="s">
        <v>30</v>
      </c>
      <c r="B20" s="28" t="s">
        <v>35</v>
      </c>
      <c r="C20" s="69"/>
      <c r="D20" s="8">
        <f>SUM(D21)</f>
        <v>23000</v>
      </c>
      <c r="E20" s="8">
        <f>SUM(E21)</f>
        <v>1420</v>
      </c>
      <c r="F20" s="8">
        <f t="shared" ref="F20:R20" si="7">SUM(F21)</f>
        <v>0</v>
      </c>
      <c r="G20" s="8">
        <f t="shared" si="7"/>
        <v>0</v>
      </c>
      <c r="H20" s="8">
        <f t="shared" si="7"/>
        <v>1420</v>
      </c>
      <c r="I20" s="8">
        <f t="shared" si="7"/>
        <v>0</v>
      </c>
      <c r="J20" s="8">
        <f t="shared" si="7"/>
        <v>0</v>
      </c>
      <c r="K20" s="8">
        <f t="shared" si="7"/>
        <v>0</v>
      </c>
      <c r="L20" s="8">
        <f t="shared" si="7"/>
        <v>0</v>
      </c>
      <c r="M20" s="8">
        <f t="shared" si="7"/>
        <v>0</v>
      </c>
      <c r="N20" s="8">
        <f t="shared" si="7"/>
        <v>0</v>
      </c>
      <c r="O20" s="8">
        <f t="shared" si="7"/>
        <v>0</v>
      </c>
      <c r="P20" s="8">
        <f t="shared" si="7"/>
        <v>0</v>
      </c>
      <c r="Q20" s="8">
        <f t="shared" si="7"/>
        <v>0</v>
      </c>
      <c r="R20" s="8">
        <f t="shared" si="7"/>
        <v>1420</v>
      </c>
      <c r="S20" s="25"/>
    </row>
    <row r="21" spans="1:19" ht="25.5" x14ac:dyDescent="0.2">
      <c r="A21" s="23">
        <v>1</v>
      </c>
      <c r="B21" s="30" t="s">
        <v>11</v>
      </c>
      <c r="C21" s="2" t="s">
        <v>12</v>
      </c>
      <c r="D21" s="31">
        <v>23000</v>
      </c>
      <c r="E21" s="25">
        <v>1420</v>
      </c>
      <c r="F21" s="51"/>
      <c r="G21" s="51"/>
      <c r="H21" s="51">
        <f>E21</f>
        <v>1420</v>
      </c>
      <c r="I21" s="51"/>
      <c r="J21" s="51"/>
      <c r="K21" s="51"/>
      <c r="L21" s="51"/>
      <c r="M21" s="51"/>
      <c r="N21" s="51"/>
      <c r="O21" s="51"/>
      <c r="P21" s="51"/>
      <c r="Q21" s="51"/>
      <c r="R21" s="51">
        <f>SUM(F21:Q21)</f>
        <v>1420</v>
      </c>
      <c r="S21" s="25"/>
    </row>
    <row r="22" spans="1:19" ht="19.149999999999999" customHeight="1" x14ac:dyDescent="0.2">
      <c r="A22" s="19" t="s">
        <v>32</v>
      </c>
      <c r="B22" s="28" t="s">
        <v>31</v>
      </c>
      <c r="C22" s="2"/>
      <c r="D22" s="31"/>
      <c r="E22" s="25"/>
      <c r="F22" s="51"/>
      <c r="G22" s="51"/>
      <c r="H22" s="51"/>
      <c r="I22" s="51"/>
      <c r="J22" s="51"/>
      <c r="K22" s="51"/>
      <c r="L22" s="51"/>
      <c r="M22" s="51"/>
      <c r="N22" s="51"/>
      <c r="O22" s="51"/>
      <c r="P22" s="51"/>
      <c r="Q22" s="51"/>
      <c r="R22" s="51"/>
      <c r="S22" s="25"/>
    </row>
    <row r="23" spans="1:19" ht="19.149999999999999" customHeight="1" x14ac:dyDescent="0.2">
      <c r="A23" s="19" t="s">
        <v>36</v>
      </c>
      <c r="B23" s="28" t="s">
        <v>37</v>
      </c>
      <c r="C23" s="2"/>
      <c r="D23" s="31"/>
      <c r="E23" s="25"/>
      <c r="F23" s="51"/>
      <c r="G23" s="51"/>
      <c r="H23" s="51"/>
      <c r="I23" s="51"/>
      <c r="J23" s="51"/>
      <c r="K23" s="51"/>
      <c r="L23" s="51"/>
      <c r="M23" s="51"/>
      <c r="N23" s="51"/>
      <c r="O23" s="51"/>
      <c r="P23" s="51"/>
      <c r="Q23" s="51"/>
      <c r="R23" s="51"/>
      <c r="S23" s="25"/>
    </row>
    <row r="24" spans="1:19" ht="19.149999999999999" customHeight="1" x14ac:dyDescent="0.2">
      <c r="A24" s="19" t="s">
        <v>38</v>
      </c>
      <c r="B24" s="28" t="s">
        <v>39</v>
      </c>
      <c r="C24" s="2"/>
      <c r="D24" s="31"/>
      <c r="E24" s="8">
        <f>SUM(E25)</f>
        <v>2250</v>
      </c>
      <c r="F24" s="8">
        <f t="shared" ref="F24:R24" si="8">SUM(F25)</f>
        <v>2250</v>
      </c>
      <c r="G24" s="8">
        <f t="shared" si="8"/>
        <v>0</v>
      </c>
      <c r="H24" s="8">
        <f t="shared" si="8"/>
        <v>0</v>
      </c>
      <c r="I24" s="8">
        <f t="shared" si="8"/>
        <v>0</v>
      </c>
      <c r="J24" s="8">
        <f t="shared" si="8"/>
        <v>0</v>
      </c>
      <c r="K24" s="8">
        <f t="shared" si="8"/>
        <v>0</v>
      </c>
      <c r="L24" s="8">
        <f t="shared" si="8"/>
        <v>0</v>
      </c>
      <c r="M24" s="8">
        <f t="shared" si="8"/>
        <v>0</v>
      </c>
      <c r="N24" s="8">
        <f t="shared" si="8"/>
        <v>0</v>
      </c>
      <c r="O24" s="8">
        <f t="shared" si="8"/>
        <v>0</v>
      </c>
      <c r="P24" s="8">
        <f t="shared" si="8"/>
        <v>0</v>
      </c>
      <c r="Q24" s="8">
        <f t="shared" si="8"/>
        <v>0</v>
      </c>
      <c r="R24" s="8">
        <f t="shared" si="8"/>
        <v>2250</v>
      </c>
      <c r="S24" s="25"/>
    </row>
    <row r="25" spans="1:19" ht="19.149999999999999" customHeight="1" x14ac:dyDescent="0.2">
      <c r="A25" s="23">
        <v>1</v>
      </c>
      <c r="B25" s="30" t="s">
        <v>13</v>
      </c>
      <c r="C25" s="69" t="s">
        <v>22</v>
      </c>
      <c r="D25" s="31">
        <v>14990</v>
      </c>
      <c r="E25" s="25">
        <v>2250</v>
      </c>
      <c r="F25" s="51">
        <f>E25</f>
        <v>2250</v>
      </c>
      <c r="G25" s="51"/>
      <c r="H25" s="51"/>
      <c r="I25" s="51"/>
      <c r="J25" s="51"/>
      <c r="K25" s="51"/>
      <c r="L25" s="51"/>
      <c r="M25" s="51"/>
      <c r="N25" s="51"/>
      <c r="O25" s="51"/>
      <c r="P25" s="51"/>
      <c r="Q25" s="51"/>
      <c r="R25" s="51">
        <f>SUM(F25:Q25)</f>
        <v>2250</v>
      </c>
      <c r="S25" s="25"/>
    </row>
    <row r="26" spans="1:19" ht="19.899999999999999" customHeight="1" x14ac:dyDescent="0.2">
      <c r="A26" s="14" t="s">
        <v>26</v>
      </c>
      <c r="B26" s="15" t="s">
        <v>27</v>
      </c>
      <c r="C26" s="67"/>
      <c r="D26" s="16">
        <f>D27+D54</f>
        <v>182937.16800000001</v>
      </c>
      <c r="E26" s="16">
        <f t="shared" ref="E26:R26" si="9">E27+E54</f>
        <v>41065</v>
      </c>
      <c r="F26" s="62">
        <f t="shared" si="9"/>
        <v>15367.807000000001</v>
      </c>
      <c r="G26" s="62">
        <f t="shared" si="9"/>
        <v>0</v>
      </c>
      <c r="H26" s="62">
        <f t="shared" si="9"/>
        <v>5937.1930000000002</v>
      </c>
      <c r="I26" s="62">
        <f t="shared" si="9"/>
        <v>0</v>
      </c>
      <c r="J26" s="62">
        <f t="shared" si="9"/>
        <v>0</v>
      </c>
      <c r="K26" s="62">
        <f t="shared" si="9"/>
        <v>0</v>
      </c>
      <c r="L26" s="62">
        <f t="shared" si="9"/>
        <v>850</v>
      </c>
      <c r="M26" s="62">
        <f t="shared" si="9"/>
        <v>0</v>
      </c>
      <c r="N26" s="62">
        <f t="shared" si="9"/>
        <v>1550</v>
      </c>
      <c r="O26" s="62">
        <f t="shared" si="9"/>
        <v>860</v>
      </c>
      <c r="P26" s="62">
        <f t="shared" si="9"/>
        <v>1500</v>
      </c>
      <c r="Q26" s="62">
        <f t="shared" si="9"/>
        <v>0</v>
      </c>
      <c r="R26" s="62">
        <f t="shared" si="9"/>
        <v>26065</v>
      </c>
      <c r="S26" s="57"/>
    </row>
    <row r="27" spans="1:19" ht="19.899999999999999" customHeight="1" x14ac:dyDescent="0.2">
      <c r="A27" s="32" t="s">
        <v>15</v>
      </c>
      <c r="B27" s="33" t="s">
        <v>14</v>
      </c>
      <c r="C27" s="71"/>
      <c r="D27" s="63">
        <f>D28+D35+D39+D48+D49</f>
        <v>142853.228</v>
      </c>
      <c r="E27" s="63">
        <f t="shared" ref="E27:R27" si="10">E28+E35+E39+E48+E49</f>
        <v>26065</v>
      </c>
      <c r="F27" s="64">
        <f t="shared" si="10"/>
        <v>15367.807000000001</v>
      </c>
      <c r="G27" s="64">
        <f t="shared" si="10"/>
        <v>0</v>
      </c>
      <c r="H27" s="64">
        <f t="shared" si="10"/>
        <v>5937.1930000000002</v>
      </c>
      <c r="I27" s="64">
        <f t="shared" si="10"/>
        <v>0</v>
      </c>
      <c r="J27" s="64">
        <f t="shared" si="10"/>
        <v>0</v>
      </c>
      <c r="K27" s="64">
        <f t="shared" si="10"/>
        <v>0</v>
      </c>
      <c r="L27" s="64">
        <f t="shared" si="10"/>
        <v>850</v>
      </c>
      <c r="M27" s="64">
        <f t="shared" si="10"/>
        <v>0</v>
      </c>
      <c r="N27" s="64">
        <f t="shared" si="10"/>
        <v>1550</v>
      </c>
      <c r="O27" s="64">
        <f t="shared" si="10"/>
        <v>860</v>
      </c>
      <c r="P27" s="64">
        <f t="shared" si="10"/>
        <v>1500</v>
      </c>
      <c r="Q27" s="64">
        <f t="shared" si="10"/>
        <v>0</v>
      </c>
      <c r="R27" s="64">
        <f t="shared" si="10"/>
        <v>26065</v>
      </c>
      <c r="S27" s="65"/>
    </row>
    <row r="28" spans="1:19" ht="19.899999999999999" customHeight="1" x14ac:dyDescent="0.2">
      <c r="A28" s="19" t="s">
        <v>28</v>
      </c>
      <c r="B28" s="28" t="s">
        <v>34</v>
      </c>
      <c r="C28" s="69"/>
      <c r="D28" s="35">
        <f>SUM(D29:D34)</f>
        <v>55306.228000000003</v>
      </c>
      <c r="E28" s="35">
        <f>SUM(E29:E34)</f>
        <v>1952.9150000000002</v>
      </c>
      <c r="F28" s="35">
        <f t="shared" ref="F28:R28" si="11">SUM(F29:F34)</f>
        <v>715.72199999999998</v>
      </c>
      <c r="G28" s="35">
        <f t="shared" si="11"/>
        <v>0</v>
      </c>
      <c r="H28" s="35">
        <f>SUM(H29:H34)</f>
        <v>1237.193</v>
      </c>
      <c r="I28" s="35">
        <f t="shared" si="11"/>
        <v>0</v>
      </c>
      <c r="J28" s="35">
        <f t="shared" si="11"/>
        <v>0</v>
      </c>
      <c r="K28" s="35">
        <f t="shared" si="11"/>
        <v>0</v>
      </c>
      <c r="L28" s="35">
        <f t="shared" si="11"/>
        <v>0</v>
      </c>
      <c r="M28" s="35">
        <f t="shared" si="11"/>
        <v>0</v>
      </c>
      <c r="N28" s="35">
        <f t="shared" si="11"/>
        <v>0</v>
      </c>
      <c r="O28" s="35">
        <f t="shared" si="11"/>
        <v>0</v>
      </c>
      <c r="P28" s="35">
        <f t="shared" si="11"/>
        <v>0</v>
      </c>
      <c r="Q28" s="35">
        <f t="shared" si="11"/>
        <v>0</v>
      </c>
      <c r="R28" s="35">
        <f t="shared" si="11"/>
        <v>1952.9150000000002</v>
      </c>
      <c r="S28" s="25"/>
    </row>
    <row r="29" spans="1:19" ht="25.5" x14ac:dyDescent="0.2">
      <c r="A29" s="36">
        <v>1</v>
      </c>
      <c r="B29" s="29" t="s">
        <v>16</v>
      </c>
      <c r="C29" s="2" t="s">
        <v>17</v>
      </c>
      <c r="D29" s="31">
        <v>30600</v>
      </c>
      <c r="E29" s="51">
        <v>715.72199999999998</v>
      </c>
      <c r="F29" s="51">
        <f>E29</f>
        <v>715.72199999999998</v>
      </c>
      <c r="G29" s="51"/>
      <c r="H29" s="51">
        <f>E29-F29</f>
        <v>0</v>
      </c>
      <c r="I29" s="51"/>
      <c r="J29" s="51"/>
      <c r="K29" s="51"/>
      <c r="L29" s="51"/>
      <c r="M29" s="51"/>
      <c r="N29" s="51"/>
      <c r="O29" s="51"/>
      <c r="P29" s="51"/>
      <c r="Q29" s="51"/>
      <c r="R29" s="51">
        <f>SUM(F29:Q29)</f>
        <v>715.72199999999998</v>
      </c>
      <c r="S29" s="25"/>
    </row>
    <row r="30" spans="1:19" ht="20.45" customHeight="1" x14ac:dyDescent="0.2">
      <c r="A30" s="36">
        <v>2</v>
      </c>
      <c r="B30" s="30" t="s">
        <v>18</v>
      </c>
      <c r="C30" s="2" t="s">
        <v>19</v>
      </c>
      <c r="D30" s="31">
        <v>970</v>
      </c>
      <c r="E30" s="51">
        <v>140.53700000000001</v>
      </c>
      <c r="F30" s="51"/>
      <c r="G30" s="51"/>
      <c r="H30" s="51">
        <f>E30</f>
        <v>140.53700000000001</v>
      </c>
      <c r="I30" s="51"/>
      <c r="J30" s="51"/>
      <c r="K30" s="51"/>
      <c r="L30" s="51"/>
      <c r="M30" s="51"/>
      <c r="N30" s="51"/>
      <c r="O30" s="51"/>
      <c r="P30" s="51"/>
      <c r="Q30" s="51"/>
      <c r="R30" s="51">
        <f t="shared" ref="R30:R34" si="12">SUM(F30:Q30)</f>
        <v>140.53700000000001</v>
      </c>
      <c r="S30" s="25"/>
    </row>
    <row r="31" spans="1:19" ht="20.45" customHeight="1" x14ac:dyDescent="0.2">
      <c r="A31" s="36">
        <v>3</v>
      </c>
      <c r="B31" s="30" t="s">
        <v>20</v>
      </c>
      <c r="C31" s="2" t="s">
        <v>21</v>
      </c>
      <c r="D31" s="31">
        <v>12500</v>
      </c>
      <c r="E31" s="51">
        <v>608.01</v>
      </c>
      <c r="F31" s="51"/>
      <c r="G31" s="51"/>
      <c r="H31" s="51">
        <f>E31</f>
        <v>608.01</v>
      </c>
      <c r="I31" s="51"/>
      <c r="J31" s="51"/>
      <c r="K31" s="51"/>
      <c r="L31" s="51"/>
      <c r="M31" s="51"/>
      <c r="N31" s="51"/>
      <c r="O31" s="51"/>
      <c r="P31" s="51"/>
      <c r="Q31" s="51"/>
      <c r="R31" s="51">
        <f t="shared" si="12"/>
        <v>608.01</v>
      </c>
      <c r="S31" s="25"/>
    </row>
    <row r="32" spans="1:19" ht="38.25" x14ac:dyDescent="0.2">
      <c r="A32" s="36">
        <v>4</v>
      </c>
      <c r="B32" s="29" t="s">
        <v>40</v>
      </c>
      <c r="C32" s="1" t="s">
        <v>41</v>
      </c>
      <c r="D32" s="66">
        <v>2236.2280000000001</v>
      </c>
      <c r="E32" s="51">
        <v>179.01499999999999</v>
      </c>
      <c r="F32" s="51"/>
      <c r="G32" s="51"/>
      <c r="H32" s="51">
        <f>E32</f>
        <v>179.01499999999999</v>
      </c>
      <c r="I32" s="51"/>
      <c r="J32" s="51"/>
      <c r="K32" s="51"/>
      <c r="L32" s="51"/>
      <c r="M32" s="51"/>
      <c r="N32" s="51"/>
      <c r="O32" s="51"/>
      <c r="P32" s="51"/>
      <c r="Q32" s="51"/>
      <c r="R32" s="51">
        <f t="shared" si="12"/>
        <v>179.01499999999999</v>
      </c>
      <c r="S32" s="25"/>
    </row>
    <row r="33" spans="1:19" ht="24" customHeight="1" x14ac:dyDescent="0.2">
      <c r="A33" s="36">
        <v>5</v>
      </c>
      <c r="B33" s="29" t="s">
        <v>42</v>
      </c>
      <c r="C33" s="1" t="s">
        <v>44</v>
      </c>
      <c r="D33" s="25">
        <v>2500</v>
      </c>
      <c r="E33" s="51">
        <v>246.25</v>
      </c>
      <c r="F33" s="51"/>
      <c r="G33" s="51"/>
      <c r="H33" s="51">
        <f>E33</f>
        <v>246.25</v>
      </c>
      <c r="I33" s="51"/>
      <c r="J33" s="51"/>
      <c r="K33" s="51"/>
      <c r="L33" s="51"/>
      <c r="M33" s="51"/>
      <c r="N33" s="51"/>
      <c r="O33" s="51"/>
      <c r="P33" s="51"/>
      <c r="Q33" s="51"/>
      <c r="R33" s="51">
        <f t="shared" si="12"/>
        <v>246.25</v>
      </c>
      <c r="S33" s="25"/>
    </row>
    <row r="34" spans="1:19" ht="22.5" x14ac:dyDescent="0.2">
      <c r="A34" s="36">
        <v>6</v>
      </c>
      <c r="B34" s="29" t="s">
        <v>43</v>
      </c>
      <c r="C34" s="1" t="s">
        <v>45</v>
      </c>
      <c r="D34" s="25">
        <v>6500</v>
      </c>
      <c r="E34" s="51">
        <v>63.381</v>
      </c>
      <c r="F34" s="51"/>
      <c r="G34" s="51"/>
      <c r="H34" s="51">
        <f>E34</f>
        <v>63.381</v>
      </c>
      <c r="I34" s="51"/>
      <c r="J34" s="51"/>
      <c r="K34" s="51"/>
      <c r="L34" s="51"/>
      <c r="M34" s="51"/>
      <c r="N34" s="51"/>
      <c r="O34" s="51"/>
      <c r="P34" s="51"/>
      <c r="Q34" s="51"/>
      <c r="R34" s="51">
        <f t="shared" si="12"/>
        <v>63.381</v>
      </c>
      <c r="S34" s="25"/>
    </row>
    <row r="35" spans="1:19" ht="27" x14ac:dyDescent="0.2">
      <c r="A35" s="19" t="s">
        <v>30</v>
      </c>
      <c r="B35" s="28" t="s">
        <v>35</v>
      </c>
      <c r="C35" s="1"/>
      <c r="D35" s="35">
        <f>SUM(D36:D38)</f>
        <v>20747</v>
      </c>
      <c r="E35" s="35">
        <f t="shared" ref="E35:R35" si="13">SUM(E36:E38)</f>
        <v>3772.085</v>
      </c>
      <c r="F35" s="35">
        <f t="shared" si="13"/>
        <v>3772.085</v>
      </c>
      <c r="G35" s="35">
        <f t="shared" si="13"/>
        <v>0</v>
      </c>
      <c r="H35" s="35">
        <f t="shared" si="13"/>
        <v>0</v>
      </c>
      <c r="I35" s="35">
        <f t="shared" si="13"/>
        <v>0</v>
      </c>
      <c r="J35" s="35">
        <f t="shared" si="13"/>
        <v>0</v>
      </c>
      <c r="K35" s="35">
        <f t="shared" si="13"/>
        <v>0</v>
      </c>
      <c r="L35" s="35">
        <f t="shared" si="13"/>
        <v>0</v>
      </c>
      <c r="M35" s="35">
        <f t="shared" si="13"/>
        <v>0</v>
      </c>
      <c r="N35" s="35">
        <f t="shared" si="13"/>
        <v>0</v>
      </c>
      <c r="O35" s="35">
        <f t="shared" si="13"/>
        <v>0</v>
      </c>
      <c r="P35" s="35">
        <f t="shared" si="13"/>
        <v>0</v>
      </c>
      <c r="Q35" s="35">
        <f t="shared" si="13"/>
        <v>0</v>
      </c>
      <c r="R35" s="35">
        <f t="shared" si="13"/>
        <v>3772.085</v>
      </c>
      <c r="S35" s="25"/>
    </row>
    <row r="36" spans="1:19" ht="25.5" x14ac:dyDescent="0.2">
      <c r="A36" s="37">
        <v>1</v>
      </c>
      <c r="B36" s="38" t="s">
        <v>46</v>
      </c>
      <c r="C36" s="2" t="s">
        <v>49</v>
      </c>
      <c r="D36" s="31">
        <v>6997</v>
      </c>
      <c r="E36" s="51">
        <v>682.08500000000004</v>
      </c>
      <c r="F36" s="51">
        <f>E36</f>
        <v>682.08500000000004</v>
      </c>
      <c r="G36" s="51"/>
      <c r="H36" s="51"/>
      <c r="I36" s="51"/>
      <c r="J36" s="51"/>
      <c r="K36" s="51"/>
      <c r="L36" s="51"/>
      <c r="M36" s="51"/>
      <c r="N36" s="51"/>
      <c r="O36" s="51"/>
      <c r="P36" s="51"/>
      <c r="Q36" s="51"/>
      <c r="R36" s="51">
        <f>SUM(F36:Q36)</f>
        <v>682.08500000000004</v>
      </c>
      <c r="S36" s="25"/>
    </row>
    <row r="37" spans="1:19" ht="25.5" x14ac:dyDescent="0.2">
      <c r="A37" s="37">
        <v>2</v>
      </c>
      <c r="B37" s="30" t="s">
        <v>47</v>
      </c>
      <c r="C37" s="2" t="s">
        <v>50</v>
      </c>
      <c r="D37" s="31">
        <v>6800</v>
      </c>
      <c r="E37" s="51">
        <v>1700</v>
      </c>
      <c r="F37" s="51">
        <f>E37</f>
        <v>1700</v>
      </c>
      <c r="G37" s="51"/>
      <c r="H37" s="51"/>
      <c r="I37" s="51"/>
      <c r="J37" s="51"/>
      <c r="K37" s="51"/>
      <c r="L37" s="51"/>
      <c r="M37" s="51"/>
      <c r="N37" s="51"/>
      <c r="O37" s="51"/>
      <c r="P37" s="51"/>
      <c r="Q37" s="51"/>
      <c r="R37" s="51">
        <f t="shared" ref="R37:R38" si="14">SUM(F37:Q37)</f>
        <v>1700</v>
      </c>
      <c r="S37" s="25"/>
    </row>
    <row r="38" spans="1:19" ht="33.75" x14ac:dyDescent="0.2">
      <c r="A38" s="37">
        <v>3</v>
      </c>
      <c r="B38" s="30" t="s">
        <v>48</v>
      </c>
      <c r="C38" s="2" t="s">
        <v>51</v>
      </c>
      <c r="D38" s="31">
        <v>6950</v>
      </c>
      <c r="E38" s="51">
        <v>1390</v>
      </c>
      <c r="F38" s="51">
        <f>E38</f>
        <v>1390</v>
      </c>
      <c r="G38" s="51"/>
      <c r="H38" s="51"/>
      <c r="I38" s="51"/>
      <c r="J38" s="51"/>
      <c r="K38" s="51"/>
      <c r="L38" s="51"/>
      <c r="M38" s="51"/>
      <c r="N38" s="51"/>
      <c r="O38" s="51"/>
      <c r="P38" s="51"/>
      <c r="Q38" s="51"/>
      <c r="R38" s="51">
        <f t="shared" si="14"/>
        <v>1390</v>
      </c>
      <c r="S38" s="25"/>
    </row>
    <row r="39" spans="1:19" ht="18" customHeight="1" x14ac:dyDescent="0.2">
      <c r="A39" s="19" t="s">
        <v>32</v>
      </c>
      <c r="B39" s="28" t="s">
        <v>31</v>
      </c>
      <c r="C39" s="1"/>
      <c r="D39" s="35">
        <f>SUM(D40:D47)</f>
        <v>31350</v>
      </c>
      <c r="E39" s="35">
        <f>SUM(E40:E47)</f>
        <v>13640</v>
      </c>
      <c r="F39" s="35">
        <f t="shared" ref="F39:R39" si="15">SUM(F40:F47)</f>
        <v>8880</v>
      </c>
      <c r="G39" s="35">
        <f>SUM(G40:G47)</f>
        <v>0</v>
      </c>
      <c r="H39" s="35">
        <f t="shared" si="15"/>
        <v>0</v>
      </c>
      <c r="I39" s="35">
        <f t="shared" si="15"/>
        <v>0</v>
      </c>
      <c r="J39" s="35">
        <f t="shared" si="15"/>
        <v>0</v>
      </c>
      <c r="K39" s="35">
        <f t="shared" si="15"/>
        <v>0</v>
      </c>
      <c r="L39" s="35">
        <f t="shared" si="15"/>
        <v>850</v>
      </c>
      <c r="M39" s="35">
        <f t="shared" si="15"/>
        <v>0</v>
      </c>
      <c r="N39" s="35">
        <f t="shared" si="15"/>
        <v>1550</v>
      </c>
      <c r="O39" s="35">
        <f t="shared" si="15"/>
        <v>860</v>
      </c>
      <c r="P39" s="35">
        <f t="shared" si="15"/>
        <v>1500</v>
      </c>
      <c r="Q39" s="35">
        <f t="shared" si="15"/>
        <v>0</v>
      </c>
      <c r="R39" s="35">
        <f t="shared" si="15"/>
        <v>13640</v>
      </c>
      <c r="S39" s="25"/>
    </row>
    <row r="40" spans="1:19" ht="25.5" x14ac:dyDescent="0.2">
      <c r="A40" s="36">
        <v>1</v>
      </c>
      <c r="B40" s="30" t="s">
        <v>52</v>
      </c>
      <c r="C40" s="2" t="s">
        <v>60</v>
      </c>
      <c r="D40" s="31">
        <v>6000</v>
      </c>
      <c r="E40" s="39">
        <v>2850</v>
      </c>
      <c r="F40" s="51">
        <v>2000</v>
      </c>
      <c r="G40" s="51"/>
      <c r="H40" s="51"/>
      <c r="I40" s="51"/>
      <c r="J40" s="51"/>
      <c r="K40" s="51"/>
      <c r="L40" s="51">
        <f>E40-F40</f>
        <v>850</v>
      </c>
      <c r="M40" s="51"/>
      <c r="N40" s="51"/>
      <c r="O40" s="51"/>
      <c r="P40" s="51"/>
      <c r="Q40" s="51"/>
      <c r="R40" s="51">
        <f>SUM(F40:Q40)</f>
        <v>2850</v>
      </c>
      <c r="S40" s="25"/>
    </row>
    <row r="41" spans="1:19" ht="25.5" x14ac:dyDescent="0.2">
      <c r="A41" s="36">
        <v>2</v>
      </c>
      <c r="B41" s="30" t="s">
        <v>53</v>
      </c>
      <c r="C41" s="2" t="s">
        <v>61</v>
      </c>
      <c r="D41" s="31">
        <v>6500</v>
      </c>
      <c r="E41" s="39">
        <v>3050</v>
      </c>
      <c r="F41" s="51">
        <v>1500</v>
      </c>
      <c r="G41" s="51"/>
      <c r="H41" s="51"/>
      <c r="I41" s="51"/>
      <c r="J41" s="51"/>
      <c r="K41" s="51"/>
      <c r="L41" s="51"/>
      <c r="M41" s="51"/>
      <c r="N41" s="51">
        <f>E41-F41</f>
        <v>1550</v>
      </c>
      <c r="O41" s="51"/>
      <c r="P41" s="51"/>
      <c r="Q41" s="51"/>
      <c r="R41" s="51">
        <f t="shared" ref="R41:R47" si="16">SUM(F41:Q41)</f>
        <v>3050</v>
      </c>
      <c r="S41" s="25"/>
    </row>
    <row r="42" spans="1:19" ht="19.899999999999999" customHeight="1" x14ac:dyDescent="0.2">
      <c r="A42" s="36">
        <v>3</v>
      </c>
      <c r="B42" s="30" t="s">
        <v>54</v>
      </c>
      <c r="C42" s="2" t="s">
        <v>62</v>
      </c>
      <c r="D42" s="31">
        <v>4200</v>
      </c>
      <c r="E42" s="39">
        <v>1860</v>
      </c>
      <c r="F42" s="51">
        <v>1000</v>
      </c>
      <c r="G42" s="51"/>
      <c r="H42" s="51"/>
      <c r="I42" s="51"/>
      <c r="J42" s="51"/>
      <c r="K42" s="51"/>
      <c r="L42" s="51"/>
      <c r="M42" s="51"/>
      <c r="N42" s="51"/>
      <c r="O42" s="51">
        <f>E42-F42</f>
        <v>860</v>
      </c>
      <c r="P42" s="51"/>
      <c r="Q42" s="51"/>
      <c r="R42" s="51">
        <f t="shared" si="16"/>
        <v>1860</v>
      </c>
      <c r="S42" s="25"/>
    </row>
    <row r="43" spans="1:19" ht="25.5" x14ac:dyDescent="0.2">
      <c r="A43" s="36">
        <v>4</v>
      </c>
      <c r="B43" s="30" t="s">
        <v>55</v>
      </c>
      <c r="C43" s="2" t="s">
        <v>63</v>
      </c>
      <c r="D43" s="31">
        <v>2050</v>
      </c>
      <c r="E43" s="39">
        <v>660</v>
      </c>
      <c r="F43" s="51">
        <f>E43</f>
        <v>660</v>
      </c>
      <c r="G43" s="51"/>
      <c r="H43" s="51"/>
      <c r="I43" s="51"/>
      <c r="J43" s="51"/>
      <c r="K43" s="51"/>
      <c r="L43" s="51"/>
      <c r="M43" s="51"/>
      <c r="N43" s="51"/>
      <c r="O43" s="51"/>
      <c r="P43" s="51"/>
      <c r="Q43" s="51"/>
      <c r="R43" s="51">
        <f t="shared" si="16"/>
        <v>660</v>
      </c>
      <c r="S43" s="25"/>
    </row>
    <row r="44" spans="1:19" ht="21" customHeight="1" x14ac:dyDescent="0.2">
      <c r="A44" s="36">
        <v>5</v>
      </c>
      <c r="B44" s="30" t="s">
        <v>56</v>
      </c>
      <c r="C44" s="2" t="s">
        <v>112</v>
      </c>
      <c r="D44" s="31">
        <v>2100</v>
      </c>
      <c r="E44" s="39">
        <v>720</v>
      </c>
      <c r="F44" s="51">
        <f>E44</f>
        <v>720</v>
      </c>
      <c r="G44" s="51"/>
      <c r="H44" s="51"/>
      <c r="I44" s="51"/>
      <c r="J44" s="51"/>
      <c r="K44" s="51"/>
      <c r="L44" s="51"/>
      <c r="M44" s="51"/>
      <c r="N44" s="51"/>
      <c r="O44" s="51"/>
      <c r="P44" s="51"/>
      <c r="Q44" s="51"/>
      <c r="R44" s="51">
        <f t="shared" si="16"/>
        <v>720</v>
      </c>
      <c r="S44" s="25"/>
    </row>
    <row r="45" spans="1:19" ht="21" customHeight="1" x14ac:dyDescent="0.2">
      <c r="A45" s="36">
        <v>6</v>
      </c>
      <c r="B45" s="30" t="s">
        <v>57</v>
      </c>
      <c r="C45" s="2" t="s">
        <v>110</v>
      </c>
      <c r="D45" s="31">
        <v>3500</v>
      </c>
      <c r="E45" s="39">
        <v>1500</v>
      </c>
      <c r="F45" s="51">
        <v>1000</v>
      </c>
      <c r="G45" s="51"/>
      <c r="H45" s="51"/>
      <c r="I45" s="51"/>
      <c r="J45" s="51"/>
      <c r="K45" s="51"/>
      <c r="L45" s="51"/>
      <c r="M45" s="51"/>
      <c r="N45" s="51"/>
      <c r="O45" s="51"/>
      <c r="P45" s="51">
        <f>E45-F45</f>
        <v>500</v>
      </c>
      <c r="Q45" s="51"/>
      <c r="R45" s="51">
        <f t="shared" si="16"/>
        <v>1500</v>
      </c>
      <c r="S45" s="25"/>
    </row>
    <row r="46" spans="1:19" ht="21" customHeight="1" x14ac:dyDescent="0.2">
      <c r="A46" s="36">
        <v>7</v>
      </c>
      <c r="B46" s="30" t="s">
        <v>58</v>
      </c>
      <c r="C46" s="2" t="s">
        <v>64</v>
      </c>
      <c r="D46" s="31">
        <v>3600</v>
      </c>
      <c r="E46" s="39">
        <v>1500</v>
      </c>
      <c r="F46" s="51">
        <v>1000</v>
      </c>
      <c r="G46" s="51"/>
      <c r="H46" s="51"/>
      <c r="I46" s="51"/>
      <c r="J46" s="51"/>
      <c r="K46" s="51"/>
      <c r="L46" s="51"/>
      <c r="M46" s="51"/>
      <c r="N46" s="51"/>
      <c r="O46" s="51"/>
      <c r="P46" s="51">
        <f t="shared" ref="P46:P47" si="17">E46-F46</f>
        <v>500</v>
      </c>
      <c r="Q46" s="51"/>
      <c r="R46" s="51">
        <f t="shared" si="16"/>
        <v>1500</v>
      </c>
      <c r="S46" s="25"/>
    </row>
    <row r="47" spans="1:19" ht="21" customHeight="1" x14ac:dyDescent="0.2">
      <c r="A47" s="36">
        <v>8</v>
      </c>
      <c r="B47" s="30" t="s">
        <v>59</v>
      </c>
      <c r="C47" s="2" t="s">
        <v>111</v>
      </c>
      <c r="D47" s="31">
        <v>3400</v>
      </c>
      <c r="E47" s="39">
        <v>1500</v>
      </c>
      <c r="F47" s="51">
        <v>1000</v>
      </c>
      <c r="G47" s="51"/>
      <c r="H47" s="51"/>
      <c r="I47" s="51"/>
      <c r="J47" s="51"/>
      <c r="K47" s="51"/>
      <c r="L47" s="51"/>
      <c r="M47" s="51"/>
      <c r="N47" s="51"/>
      <c r="O47" s="51"/>
      <c r="P47" s="51">
        <f t="shared" si="17"/>
        <v>500</v>
      </c>
      <c r="Q47" s="51"/>
      <c r="R47" s="51">
        <f t="shared" si="16"/>
        <v>1500</v>
      </c>
      <c r="S47" s="25"/>
    </row>
    <row r="48" spans="1:19" ht="21" customHeight="1" x14ac:dyDescent="0.2">
      <c r="A48" s="19" t="s">
        <v>36</v>
      </c>
      <c r="B48" s="28" t="s">
        <v>37</v>
      </c>
      <c r="C48" s="69"/>
      <c r="D48" s="25"/>
      <c r="E48" s="25"/>
      <c r="F48" s="51"/>
      <c r="G48" s="51"/>
      <c r="H48" s="51"/>
      <c r="I48" s="51"/>
      <c r="J48" s="51"/>
      <c r="K48" s="51"/>
      <c r="L48" s="51"/>
      <c r="M48" s="51"/>
      <c r="N48" s="51"/>
      <c r="O48" s="51"/>
      <c r="P48" s="51"/>
      <c r="Q48" s="51"/>
      <c r="R48" s="51"/>
      <c r="S48" s="25"/>
    </row>
    <row r="49" spans="1:19" ht="21" customHeight="1" x14ac:dyDescent="0.2">
      <c r="A49" s="19" t="s">
        <v>38</v>
      </c>
      <c r="B49" s="28" t="s">
        <v>39</v>
      </c>
      <c r="C49" s="69"/>
      <c r="D49" s="8">
        <f>SUM(D50:D53)</f>
        <v>35450</v>
      </c>
      <c r="E49" s="8">
        <f t="shared" ref="E49:R49" si="18">SUM(E50:E53)</f>
        <v>6700</v>
      </c>
      <c r="F49" s="35">
        <f t="shared" si="18"/>
        <v>2000</v>
      </c>
      <c r="G49" s="35">
        <f t="shared" si="18"/>
        <v>0</v>
      </c>
      <c r="H49" s="35">
        <f t="shared" si="18"/>
        <v>4700</v>
      </c>
      <c r="I49" s="35">
        <f t="shared" si="18"/>
        <v>0</v>
      </c>
      <c r="J49" s="35">
        <f t="shared" si="18"/>
        <v>0</v>
      </c>
      <c r="K49" s="35">
        <f t="shared" si="18"/>
        <v>0</v>
      </c>
      <c r="L49" s="35">
        <f t="shared" si="18"/>
        <v>0</v>
      </c>
      <c r="M49" s="35">
        <f t="shared" si="18"/>
        <v>0</v>
      </c>
      <c r="N49" s="35">
        <f t="shared" si="18"/>
        <v>0</v>
      </c>
      <c r="O49" s="35">
        <f t="shared" si="18"/>
        <v>0</v>
      </c>
      <c r="P49" s="35">
        <f t="shared" si="18"/>
        <v>0</v>
      </c>
      <c r="Q49" s="35">
        <f t="shared" si="18"/>
        <v>0</v>
      </c>
      <c r="R49" s="35">
        <f t="shared" si="18"/>
        <v>6700</v>
      </c>
      <c r="S49" s="25"/>
    </row>
    <row r="50" spans="1:19" ht="25.5" x14ac:dyDescent="0.2">
      <c r="A50" s="40">
        <v>1</v>
      </c>
      <c r="B50" s="41" t="s">
        <v>65</v>
      </c>
      <c r="C50" s="73" t="s">
        <v>113</v>
      </c>
      <c r="D50" s="51">
        <v>2500</v>
      </c>
      <c r="E50" s="51">
        <v>900</v>
      </c>
      <c r="F50" s="51"/>
      <c r="G50" s="51"/>
      <c r="H50" s="51">
        <v>900</v>
      </c>
      <c r="I50" s="51"/>
      <c r="J50" s="51"/>
      <c r="K50" s="51"/>
      <c r="L50" s="51"/>
      <c r="M50" s="51"/>
      <c r="N50" s="51"/>
      <c r="O50" s="51"/>
      <c r="P50" s="51"/>
      <c r="Q50" s="51"/>
      <c r="R50" s="51">
        <f>SUM(F50:Q50)</f>
        <v>900</v>
      </c>
      <c r="S50" s="25"/>
    </row>
    <row r="51" spans="1:19" ht="25.5" x14ac:dyDescent="0.2">
      <c r="A51" s="40">
        <v>2</v>
      </c>
      <c r="B51" s="29" t="s">
        <v>66</v>
      </c>
      <c r="C51" s="73" t="s">
        <v>114</v>
      </c>
      <c r="D51" s="51">
        <v>6950</v>
      </c>
      <c r="E51" s="51">
        <v>2000</v>
      </c>
      <c r="F51" s="51"/>
      <c r="G51" s="51"/>
      <c r="H51" s="51">
        <f>E51</f>
        <v>2000</v>
      </c>
      <c r="I51" s="51"/>
      <c r="J51" s="51"/>
      <c r="K51" s="51"/>
      <c r="L51" s="51"/>
      <c r="M51" s="51"/>
      <c r="N51" s="51"/>
      <c r="O51" s="51"/>
      <c r="P51" s="51"/>
      <c r="Q51" s="51"/>
      <c r="R51" s="51">
        <f t="shared" ref="R51:R53" si="19">SUM(F51:Q51)</f>
        <v>2000</v>
      </c>
      <c r="S51" s="25"/>
    </row>
    <row r="52" spans="1:19" ht="23.45" customHeight="1" x14ac:dyDescent="0.2">
      <c r="A52" s="40">
        <v>3</v>
      </c>
      <c r="B52" s="41" t="s">
        <v>67</v>
      </c>
      <c r="C52" s="73" t="s">
        <v>115</v>
      </c>
      <c r="D52" s="51">
        <v>6000</v>
      </c>
      <c r="E52" s="51">
        <v>1800</v>
      </c>
      <c r="F52" s="51"/>
      <c r="G52" s="51"/>
      <c r="H52" s="51">
        <f>E52</f>
        <v>1800</v>
      </c>
      <c r="I52" s="51"/>
      <c r="J52" s="51"/>
      <c r="K52" s="51"/>
      <c r="L52" s="51"/>
      <c r="M52" s="51"/>
      <c r="N52" s="51"/>
      <c r="O52" s="51"/>
      <c r="P52" s="51"/>
      <c r="Q52" s="51"/>
      <c r="R52" s="51">
        <f t="shared" si="19"/>
        <v>1800</v>
      </c>
      <c r="S52" s="25"/>
    </row>
    <row r="53" spans="1:19" ht="25.5" x14ac:dyDescent="0.2">
      <c r="A53" s="40">
        <v>4</v>
      </c>
      <c r="B53" s="41" t="s">
        <v>68</v>
      </c>
      <c r="C53" s="73" t="s">
        <v>116</v>
      </c>
      <c r="D53" s="51">
        <v>20000</v>
      </c>
      <c r="E53" s="51">
        <v>2000</v>
      </c>
      <c r="F53" s="51">
        <f>E53</f>
        <v>2000</v>
      </c>
      <c r="G53" s="51"/>
      <c r="H53" s="51"/>
      <c r="I53" s="51"/>
      <c r="J53" s="51"/>
      <c r="K53" s="51"/>
      <c r="L53" s="51"/>
      <c r="M53" s="51"/>
      <c r="N53" s="51"/>
      <c r="O53" s="51"/>
      <c r="P53" s="51"/>
      <c r="Q53" s="51"/>
      <c r="R53" s="51">
        <f t="shared" si="19"/>
        <v>2000</v>
      </c>
      <c r="S53" s="25"/>
    </row>
    <row r="54" spans="1:19" ht="22.5" customHeight="1" x14ac:dyDescent="0.2">
      <c r="A54" s="42" t="s">
        <v>25</v>
      </c>
      <c r="B54" s="43" t="s">
        <v>69</v>
      </c>
      <c r="C54" s="71"/>
      <c r="D54" s="9">
        <f>D55+D58</f>
        <v>40083.94</v>
      </c>
      <c r="E54" s="9">
        <f>E55+E58</f>
        <v>15000</v>
      </c>
      <c r="F54" s="44"/>
      <c r="G54" s="44"/>
      <c r="H54" s="44"/>
      <c r="I54" s="44"/>
      <c r="J54" s="44"/>
      <c r="K54" s="44"/>
      <c r="L54" s="44"/>
      <c r="M54" s="44"/>
      <c r="N54" s="44"/>
      <c r="O54" s="44"/>
      <c r="P54" s="44"/>
      <c r="Q54" s="44"/>
      <c r="R54" s="44"/>
      <c r="S54" s="34"/>
    </row>
    <row r="55" spans="1:19" ht="40.5" x14ac:dyDescent="0.2">
      <c r="A55" s="19" t="s">
        <v>70</v>
      </c>
      <c r="B55" s="28" t="s">
        <v>71</v>
      </c>
      <c r="C55" s="69"/>
      <c r="D55" s="50">
        <f>SUM(D56:D57)</f>
        <v>5103.9399999999996</v>
      </c>
      <c r="E55" s="50">
        <f t="shared" ref="E55:R55" si="20">SUM(E56:E57)</f>
        <v>1907</v>
      </c>
      <c r="F55" s="35">
        <f t="shared" si="20"/>
        <v>0</v>
      </c>
      <c r="G55" s="35">
        <f t="shared" si="20"/>
        <v>0</v>
      </c>
      <c r="H55" s="35">
        <f t="shared" si="20"/>
        <v>0</v>
      </c>
      <c r="I55" s="35">
        <f t="shared" si="20"/>
        <v>0</v>
      </c>
      <c r="J55" s="35">
        <f t="shared" si="20"/>
        <v>0</v>
      </c>
      <c r="K55" s="35">
        <f t="shared" si="20"/>
        <v>0</v>
      </c>
      <c r="L55" s="35">
        <f t="shared" si="20"/>
        <v>0</v>
      </c>
      <c r="M55" s="35">
        <f t="shared" si="20"/>
        <v>0</v>
      </c>
      <c r="N55" s="35">
        <f t="shared" si="20"/>
        <v>0</v>
      </c>
      <c r="O55" s="35">
        <f t="shared" si="20"/>
        <v>0</v>
      </c>
      <c r="P55" s="35">
        <f t="shared" si="20"/>
        <v>0</v>
      </c>
      <c r="Q55" s="35">
        <f t="shared" si="20"/>
        <v>0</v>
      </c>
      <c r="R55" s="35">
        <f t="shared" si="20"/>
        <v>0</v>
      </c>
      <c r="S55" s="25"/>
    </row>
    <row r="56" spans="1:19" ht="38.25" x14ac:dyDescent="0.2">
      <c r="A56" s="37">
        <v>1</v>
      </c>
      <c r="B56" s="30" t="s">
        <v>72</v>
      </c>
      <c r="C56" s="3" t="s">
        <v>73</v>
      </c>
      <c r="D56" s="45">
        <v>2092.9029999999998</v>
      </c>
      <c r="E56" s="45">
        <v>600</v>
      </c>
      <c r="F56" s="51"/>
      <c r="G56" s="51"/>
      <c r="H56" s="51"/>
      <c r="I56" s="51"/>
      <c r="J56" s="51"/>
      <c r="K56" s="51"/>
      <c r="L56" s="51"/>
      <c r="M56" s="51"/>
      <c r="N56" s="51"/>
      <c r="O56" s="51"/>
      <c r="P56" s="51"/>
      <c r="Q56" s="51"/>
      <c r="R56" s="51"/>
      <c r="S56" s="25"/>
    </row>
    <row r="57" spans="1:19" ht="25.5" x14ac:dyDescent="0.2">
      <c r="A57" s="37">
        <v>2</v>
      </c>
      <c r="B57" s="30" t="s">
        <v>74</v>
      </c>
      <c r="C57" s="3" t="s">
        <v>75</v>
      </c>
      <c r="D57" s="45">
        <v>3011.0369999999998</v>
      </c>
      <c r="E57" s="45">
        <v>1307</v>
      </c>
      <c r="F57" s="51"/>
      <c r="G57" s="51"/>
      <c r="H57" s="51"/>
      <c r="I57" s="51"/>
      <c r="J57" s="51"/>
      <c r="K57" s="51"/>
      <c r="L57" s="51"/>
      <c r="M57" s="51"/>
      <c r="N57" s="51"/>
      <c r="O57" s="51"/>
      <c r="P57" s="51"/>
      <c r="Q57" s="51"/>
      <c r="R57" s="51"/>
      <c r="S57" s="25"/>
    </row>
    <row r="58" spans="1:19" ht="18" customHeight="1" x14ac:dyDescent="0.2">
      <c r="A58" s="19" t="s">
        <v>76</v>
      </c>
      <c r="B58" s="28" t="s">
        <v>77</v>
      </c>
      <c r="C58" s="69"/>
      <c r="D58" s="8">
        <f>D59+D62</f>
        <v>34980</v>
      </c>
      <c r="E58" s="8">
        <f t="shared" ref="E58:R58" si="21">E59+E62</f>
        <v>13093</v>
      </c>
      <c r="F58" s="35">
        <f t="shared" si="21"/>
        <v>0</v>
      </c>
      <c r="G58" s="35">
        <f t="shared" si="21"/>
        <v>0</v>
      </c>
      <c r="H58" s="35">
        <f t="shared" si="21"/>
        <v>0</v>
      </c>
      <c r="I58" s="35">
        <f t="shared" si="21"/>
        <v>0</v>
      </c>
      <c r="J58" s="35">
        <f t="shared" si="21"/>
        <v>0</v>
      </c>
      <c r="K58" s="35">
        <f t="shared" si="21"/>
        <v>0</v>
      </c>
      <c r="L58" s="35">
        <f t="shared" si="21"/>
        <v>0</v>
      </c>
      <c r="M58" s="35">
        <f t="shared" si="21"/>
        <v>0</v>
      </c>
      <c r="N58" s="35">
        <f t="shared" si="21"/>
        <v>0</v>
      </c>
      <c r="O58" s="35">
        <f t="shared" si="21"/>
        <v>0</v>
      </c>
      <c r="P58" s="35">
        <f t="shared" si="21"/>
        <v>0</v>
      </c>
      <c r="Q58" s="35">
        <f t="shared" si="21"/>
        <v>0</v>
      </c>
      <c r="R58" s="35">
        <f t="shared" si="21"/>
        <v>0</v>
      </c>
      <c r="S58" s="25"/>
    </row>
    <row r="59" spans="1:19" ht="27" x14ac:dyDescent="0.2">
      <c r="A59" s="19" t="s">
        <v>28</v>
      </c>
      <c r="B59" s="28" t="s">
        <v>35</v>
      </c>
      <c r="C59" s="69"/>
      <c r="D59" s="46">
        <f>SUM(D60)</f>
        <v>6980</v>
      </c>
      <c r="E59" s="46">
        <f t="shared" ref="E59:R59" si="22">SUM(E60)</f>
        <v>3093</v>
      </c>
      <c r="F59" s="52">
        <f t="shared" si="22"/>
        <v>0</v>
      </c>
      <c r="G59" s="52">
        <f t="shared" si="22"/>
        <v>0</v>
      </c>
      <c r="H59" s="52">
        <f t="shared" si="22"/>
        <v>0</v>
      </c>
      <c r="I59" s="52">
        <f t="shared" si="22"/>
        <v>0</v>
      </c>
      <c r="J59" s="52">
        <f t="shared" si="22"/>
        <v>0</v>
      </c>
      <c r="K59" s="52">
        <f t="shared" si="22"/>
        <v>0</v>
      </c>
      <c r="L59" s="52">
        <f t="shared" si="22"/>
        <v>0</v>
      </c>
      <c r="M59" s="52">
        <f t="shared" si="22"/>
        <v>0</v>
      </c>
      <c r="N59" s="52">
        <f t="shared" si="22"/>
        <v>0</v>
      </c>
      <c r="O59" s="52">
        <f t="shared" si="22"/>
        <v>0</v>
      </c>
      <c r="P59" s="52">
        <f t="shared" si="22"/>
        <v>0</v>
      </c>
      <c r="Q59" s="52">
        <f t="shared" si="22"/>
        <v>0</v>
      </c>
      <c r="R59" s="52">
        <f t="shared" si="22"/>
        <v>0</v>
      </c>
      <c r="S59" s="25"/>
    </row>
    <row r="60" spans="1:19" ht="22.5" x14ac:dyDescent="0.2">
      <c r="A60" s="37">
        <v>1</v>
      </c>
      <c r="B60" s="30" t="s">
        <v>78</v>
      </c>
      <c r="C60" s="4" t="s">
        <v>79</v>
      </c>
      <c r="D60" s="45">
        <v>6980</v>
      </c>
      <c r="E60" s="45">
        <v>3093</v>
      </c>
      <c r="F60" s="51"/>
      <c r="G60" s="51"/>
      <c r="H60" s="51"/>
      <c r="I60" s="51"/>
      <c r="J60" s="51"/>
      <c r="K60" s="51"/>
      <c r="L60" s="51"/>
      <c r="M60" s="51"/>
      <c r="N60" s="51"/>
      <c r="O60" s="51"/>
      <c r="P60" s="51"/>
      <c r="Q60" s="51"/>
      <c r="R60" s="51"/>
      <c r="S60" s="25"/>
    </row>
    <row r="61" spans="1:19" ht="13.5" x14ac:dyDescent="0.2">
      <c r="A61" s="19" t="s">
        <v>30</v>
      </c>
      <c r="B61" s="28" t="s">
        <v>31</v>
      </c>
      <c r="C61" s="69"/>
      <c r="D61" s="25"/>
      <c r="E61" s="25"/>
      <c r="F61" s="51"/>
      <c r="G61" s="51"/>
      <c r="H61" s="51"/>
      <c r="I61" s="51"/>
      <c r="J61" s="51"/>
      <c r="K61" s="51"/>
      <c r="L61" s="51"/>
      <c r="M61" s="51"/>
      <c r="N61" s="51"/>
      <c r="O61" s="51"/>
      <c r="P61" s="51"/>
      <c r="Q61" s="51"/>
      <c r="R61" s="51"/>
      <c r="S61" s="25"/>
    </row>
    <row r="62" spans="1:19" ht="13.5" x14ac:dyDescent="0.2">
      <c r="A62" s="19" t="s">
        <v>32</v>
      </c>
      <c r="B62" s="28" t="s">
        <v>37</v>
      </c>
      <c r="C62" s="69"/>
      <c r="D62" s="35">
        <f>SUM(D63)</f>
        <v>28000</v>
      </c>
      <c r="E62" s="35">
        <f t="shared" ref="E62:R62" si="23">SUM(E63)</f>
        <v>10000</v>
      </c>
      <c r="F62" s="35">
        <f t="shared" si="23"/>
        <v>0</v>
      </c>
      <c r="G62" s="35">
        <f t="shared" si="23"/>
        <v>0</v>
      </c>
      <c r="H62" s="35">
        <f t="shared" si="23"/>
        <v>0</v>
      </c>
      <c r="I62" s="35">
        <f t="shared" si="23"/>
        <v>0</v>
      </c>
      <c r="J62" s="35">
        <f t="shared" si="23"/>
        <v>0</v>
      </c>
      <c r="K62" s="35">
        <f t="shared" si="23"/>
        <v>0</v>
      </c>
      <c r="L62" s="35">
        <f t="shared" si="23"/>
        <v>0</v>
      </c>
      <c r="M62" s="35">
        <f t="shared" si="23"/>
        <v>0</v>
      </c>
      <c r="N62" s="35">
        <f t="shared" si="23"/>
        <v>0</v>
      </c>
      <c r="O62" s="35">
        <f t="shared" si="23"/>
        <v>0</v>
      </c>
      <c r="P62" s="35">
        <f t="shared" si="23"/>
        <v>0</v>
      </c>
      <c r="Q62" s="35">
        <f t="shared" si="23"/>
        <v>0</v>
      </c>
      <c r="R62" s="35">
        <f t="shared" si="23"/>
        <v>0</v>
      </c>
      <c r="S62" s="25"/>
    </row>
    <row r="63" spans="1:19" ht="25.5" x14ac:dyDescent="0.2">
      <c r="A63" s="47">
        <v>1</v>
      </c>
      <c r="B63" s="48" t="s">
        <v>80</v>
      </c>
      <c r="C63" s="5" t="s">
        <v>81</v>
      </c>
      <c r="D63" s="49">
        <v>28000</v>
      </c>
      <c r="E63" s="49">
        <v>10000</v>
      </c>
      <c r="F63" s="53"/>
      <c r="G63" s="53"/>
      <c r="H63" s="53"/>
      <c r="I63" s="53"/>
      <c r="J63" s="53"/>
      <c r="K63" s="53"/>
      <c r="L63" s="53"/>
      <c r="M63" s="53"/>
      <c r="N63" s="53"/>
      <c r="O63" s="53"/>
      <c r="P63" s="53"/>
      <c r="Q63" s="53"/>
      <c r="R63" s="53"/>
      <c r="S63" s="54"/>
    </row>
  </sheetData>
  <mergeCells count="10">
    <mergeCell ref="A1:T1"/>
    <mergeCell ref="A2:S2"/>
    <mergeCell ref="A3:S3"/>
    <mergeCell ref="A4:S4"/>
    <mergeCell ref="A5:A6"/>
    <mergeCell ref="B5:B6"/>
    <mergeCell ref="C5:D5"/>
    <mergeCell ref="E5:E6"/>
    <mergeCell ref="F5:R5"/>
    <mergeCell ref="S5:S6"/>
  </mergeCells>
  <printOptions horizontalCentered="1"/>
  <pageMargins left="0.19685039370078741" right="0.19685039370078741" top="0.59055118110236227" bottom="0.39370078740157483" header="0.31496062992125984" footer="0.31496062992125984"/>
  <pageSetup paperSize="9" scale="80" orientation="landscape"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B245"/>
  <sheetViews>
    <sheetView tabSelected="1" view="pageBreakPreview" topLeftCell="A181" zoomScaleNormal="85" zoomScaleSheetLayoutView="100" workbookViewId="0">
      <selection activeCell="H18" sqref="H17:H18"/>
    </sheetView>
  </sheetViews>
  <sheetFormatPr defaultColWidth="9.33203125" defaultRowHeight="12.75" x14ac:dyDescent="0.2"/>
  <cols>
    <col min="1" max="1" width="5.33203125" style="74" customWidth="1"/>
    <col min="2" max="2" width="53.33203125" style="74" customWidth="1"/>
    <col min="3" max="3" width="10.1640625" style="74" customWidth="1"/>
    <col min="4" max="4" width="8" style="74" customWidth="1"/>
    <col min="5" max="5" width="7.33203125" style="74" customWidth="1"/>
    <col min="6" max="6" width="9.5" style="74" customWidth="1"/>
    <col min="7" max="7" width="11" style="74" customWidth="1"/>
    <col min="8" max="8" width="9.83203125" style="74" customWidth="1"/>
    <col min="9" max="10" width="10.1640625" style="74" customWidth="1"/>
    <col min="11" max="11" width="7.83203125" style="90" hidden="1" customWidth="1"/>
    <col min="12" max="12" width="11.83203125" style="76" customWidth="1"/>
    <col min="13" max="13" width="7.5" style="76" customWidth="1"/>
    <col min="14" max="14" width="9.1640625" style="93" customWidth="1"/>
    <col min="15" max="15" width="9.5" style="93" customWidth="1"/>
    <col min="16" max="17" width="10.33203125" style="76" hidden="1" customWidth="1"/>
    <col min="18" max="18" width="12" style="76" hidden="1" customWidth="1"/>
    <col min="19" max="19" width="10.1640625" style="76" hidden="1" customWidth="1"/>
    <col min="20" max="20" width="11.1640625" style="76" hidden="1" customWidth="1"/>
    <col min="21" max="22" width="10.33203125" style="76" hidden="1" customWidth="1"/>
    <col min="23" max="23" width="7.1640625" style="76" customWidth="1"/>
    <col min="24" max="24" width="7.5" style="74" customWidth="1"/>
    <col min="25" max="26" width="6.1640625" style="74" hidden="1" customWidth="1"/>
    <col min="27" max="27" width="5.1640625" style="226" customWidth="1"/>
    <col min="28" max="28" width="17.5" style="128" customWidth="1"/>
    <col min="29" max="33" width="7.1640625" style="74" hidden="1" customWidth="1"/>
    <col min="34" max="35" width="9.5" style="74" hidden="1" customWidth="1"/>
    <col min="36" max="36" width="8.83203125" style="74" hidden="1" customWidth="1"/>
    <col min="37" max="37" width="8" style="74" hidden="1" customWidth="1"/>
    <col min="38" max="38" width="9.5" style="74" hidden="1" customWidth="1"/>
    <col min="39" max="39" width="8.5" style="128" hidden="1" customWidth="1"/>
    <col min="40" max="40" width="9.5" style="128" hidden="1" customWidth="1"/>
    <col min="41" max="41" width="6.5" style="128" customWidth="1"/>
    <col min="42" max="43" width="9.5" style="128" customWidth="1"/>
    <col min="44" max="16384" width="9.33203125" style="74"/>
  </cols>
  <sheetData>
    <row r="1" spans="1:43" ht="15.75" x14ac:dyDescent="0.2">
      <c r="A1" s="267" t="s">
        <v>552</v>
      </c>
      <c r="B1" s="267"/>
      <c r="C1" s="267"/>
      <c r="D1" s="267"/>
      <c r="E1" s="267"/>
      <c r="F1" s="267"/>
      <c r="G1" s="267"/>
      <c r="H1" s="267"/>
      <c r="I1" s="267"/>
      <c r="J1" s="267"/>
      <c r="K1" s="267"/>
      <c r="L1" s="267"/>
      <c r="M1" s="267"/>
      <c r="N1" s="267"/>
      <c r="O1" s="267"/>
      <c r="P1" s="267"/>
      <c r="Q1" s="267"/>
      <c r="R1" s="267"/>
      <c r="S1" s="267"/>
      <c r="T1" s="267"/>
      <c r="U1" s="267"/>
      <c r="V1" s="267"/>
      <c r="W1" s="267"/>
      <c r="X1" s="267"/>
      <c r="Y1" s="194"/>
      <c r="Z1" s="194"/>
    </row>
    <row r="2" spans="1:43" ht="18.600000000000001" customHeight="1" x14ac:dyDescent="0.2">
      <c r="A2" s="268" t="s">
        <v>551</v>
      </c>
      <c r="B2" s="268"/>
      <c r="C2" s="268"/>
      <c r="D2" s="268"/>
      <c r="E2" s="268"/>
      <c r="F2" s="268"/>
      <c r="G2" s="268"/>
      <c r="H2" s="268"/>
      <c r="I2" s="268"/>
      <c r="J2" s="268"/>
      <c r="K2" s="268"/>
      <c r="L2" s="268"/>
      <c r="M2" s="268"/>
      <c r="N2" s="268"/>
      <c r="O2" s="268"/>
      <c r="P2" s="268"/>
      <c r="Q2" s="268"/>
      <c r="R2" s="268"/>
      <c r="S2" s="268"/>
      <c r="T2" s="268"/>
      <c r="U2" s="268"/>
      <c r="V2" s="268"/>
      <c r="W2" s="268"/>
      <c r="X2" s="268"/>
      <c r="Y2" s="195"/>
      <c r="Z2" s="195"/>
    </row>
    <row r="3" spans="1:43" ht="17.25" customHeight="1" x14ac:dyDescent="0.2">
      <c r="A3" s="269" t="s">
        <v>548</v>
      </c>
      <c r="B3" s="269"/>
      <c r="C3" s="269"/>
      <c r="D3" s="269"/>
      <c r="E3" s="269"/>
      <c r="F3" s="269"/>
      <c r="G3" s="269"/>
      <c r="H3" s="269"/>
      <c r="I3" s="269"/>
      <c r="J3" s="269"/>
      <c r="K3" s="269"/>
      <c r="L3" s="269"/>
      <c r="M3" s="269"/>
      <c r="N3" s="269"/>
      <c r="O3" s="269"/>
      <c r="P3" s="269"/>
      <c r="Q3" s="269"/>
      <c r="R3" s="269"/>
      <c r="S3" s="269"/>
      <c r="T3" s="269"/>
      <c r="U3" s="269"/>
      <c r="V3" s="269"/>
      <c r="W3" s="269"/>
      <c r="X3" s="269"/>
      <c r="Y3" s="196"/>
      <c r="Z3" s="196"/>
      <c r="AA3" s="227"/>
    </row>
    <row r="4" spans="1:43" ht="15" customHeight="1" x14ac:dyDescent="0.2">
      <c r="A4" s="78"/>
      <c r="B4" s="78"/>
      <c r="C4" s="78"/>
      <c r="D4" s="78"/>
      <c r="E4" s="78"/>
      <c r="F4" s="78"/>
      <c r="G4" s="78"/>
      <c r="H4" s="78"/>
      <c r="I4" s="78"/>
      <c r="J4" s="78"/>
      <c r="K4" s="89"/>
      <c r="L4" s="89"/>
      <c r="M4" s="126"/>
      <c r="N4" s="344"/>
      <c r="O4" s="345" t="s">
        <v>109</v>
      </c>
      <c r="P4" s="345"/>
      <c r="Q4" s="345"/>
      <c r="R4" s="345"/>
      <c r="S4" s="345"/>
      <c r="T4" s="345"/>
      <c r="U4" s="345"/>
      <c r="V4" s="345"/>
      <c r="W4" s="345"/>
      <c r="X4" s="345"/>
      <c r="Y4" s="200"/>
      <c r="Z4" s="200"/>
      <c r="AA4" s="227"/>
    </row>
    <row r="5" spans="1:43" ht="21" customHeight="1" x14ac:dyDescent="0.2">
      <c r="A5" s="264" t="s">
        <v>84</v>
      </c>
      <c r="B5" s="264" t="s">
        <v>85</v>
      </c>
      <c r="C5" s="264" t="s">
        <v>136</v>
      </c>
      <c r="D5" s="264" t="s">
        <v>137</v>
      </c>
      <c r="E5" s="264" t="s">
        <v>138</v>
      </c>
      <c r="F5" s="264" t="s">
        <v>86</v>
      </c>
      <c r="G5" s="264"/>
      <c r="H5" s="346" t="s">
        <v>411</v>
      </c>
      <c r="I5" s="264" t="s">
        <v>425</v>
      </c>
      <c r="J5" s="264" t="s">
        <v>423</v>
      </c>
      <c r="K5" s="264" t="s">
        <v>134</v>
      </c>
      <c r="L5" s="262" t="s">
        <v>107</v>
      </c>
      <c r="M5" s="262"/>
      <c r="N5" s="262" t="s">
        <v>550</v>
      </c>
      <c r="O5" s="262"/>
      <c r="P5" s="262" t="s">
        <v>540</v>
      </c>
      <c r="Q5" s="262"/>
      <c r="R5" s="262" t="s">
        <v>455</v>
      </c>
      <c r="S5" s="262"/>
      <c r="T5" s="262" t="s">
        <v>135</v>
      </c>
      <c r="U5" s="347"/>
      <c r="V5" s="348" t="s">
        <v>410</v>
      </c>
      <c r="W5" s="262" t="s">
        <v>117</v>
      </c>
      <c r="X5" s="264" t="s">
        <v>88</v>
      </c>
      <c r="Y5" s="197"/>
      <c r="Z5" s="197"/>
      <c r="AB5" s="265" t="s">
        <v>549</v>
      </c>
      <c r="AC5" s="81">
        <f>92/173%</f>
        <v>53.179190751445084</v>
      </c>
      <c r="AD5" s="261" t="s">
        <v>106</v>
      </c>
    </row>
    <row r="6" spans="1:43" ht="40.5" customHeight="1" x14ac:dyDescent="0.2">
      <c r="A6" s="264"/>
      <c r="B6" s="264"/>
      <c r="C6" s="264"/>
      <c r="D6" s="264"/>
      <c r="E6" s="264"/>
      <c r="F6" s="264" t="s">
        <v>89</v>
      </c>
      <c r="G6" s="264" t="s">
        <v>90</v>
      </c>
      <c r="H6" s="270"/>
      <c r="I6" s="264"/>
      <c r="J6" s="264"/>
      <c r="K6" s="264"/>
      <c r="L6" s="262"/>
      <c r="M6" s="262"/>
      <c r="N6" s="262"/>
      <c r="O6" s="262"/>
      <c r="P6" s="262"/>
      <c r="Q6" s="262"/>
      <c r="R6" s="262"/>
      <c r="S6" s="262"/>
      <c r="T6" s="262"/>
      <c r="U6" s="262" t="s">
        <v>122</v>
      </c>
      <c r="V6" s="272"/>
      <c r="W6" s="262"/>
      <c r="X6" s="264"/>
      <c r="Y6" s="197"/>
      <c r="Z6" s="197"/>
      <c r="AB6" s="266"/>
      <c r="AD6" s="261"/>
    </row>
    <row r="7" spans="1:43" ht="63.75" x14ac:dyDescent="0.2">
      <c r="A7" s="264"/>
      <c r="B7" s="264"/>
      <c r="C7" s="264"/>
      <c r="D7" s="264"/>
      <c r="E7" s="264"/>
      <c r="F7" s="264"/>
      <c r="G7" s="264"/>
      <c r="H7" s="271"/>
      <c r="I7" s="264"/>
      <c r="J7" s="264"/>
      <c r="K7" s="264"/>
      <c r="L7" s="225" t="s">
        <v>108</v>
      </c>
      <c r="M7" s="225" t="s">
        <v>424</v>
      </c>
      <c r="N7" s="225" t="s">
        <v>23</v>
      </c>
      <c r="O7" s="225" t="s">
        <v>133</v>
      </c>
      <c r="P7" s="225" t="s">
        <v>108</v>
      </c>
      <c r="Q7" s="225" t="s">
        <v>424</v>
      </c>
      <c r="R7" s="225" t="s">
        <v>23</v>
      </c>
      <c r="S7" s="225" t="s">
        <v>133</v>
      </c>
      <c r="T7" s="262"/>
      <c r="U7" s="262"/>
      <c r="V7" s="273"/>
      <c r="W7" s="262"/>
      <c r="X7" s="264"/>
      <c r="Y7" s="197"/>
      <c r="Z7" s="197"/>
      <c r="AA7" s="228">
        <f>J8-J127-J185</f>
        <v>345462.50199999998</v>
      </c>
      <c r="AB7" s="266"/>
      <c r="AD7" s="261"/>
    </row>
    <row r="8" spans="1:43" x14ac:dyDescent="0.2">
      <c r="A8" s="275"/>
      <c r="B8" s="274" t="s">
        <v>23</v>
      </c>
      <c r="C8" s="274"/>
      <c r="D8" s="274"/>
      <c r="E8" s="274"/>
      <c r="F8" s="275"/>
      <c r="G8" s="276">
        <f t="shared" ref="G8:V8" si="0">G14+G33</f>
        <v>1483188</v>
      </c>
      <c r="H8" s="276">
        <f t="shared" si="0"/>
        <v>636006.78399999999</v>
      </c>
      <c r="I8" s="276">
        <f t="shared" si="0"/>
        <v>501974.49300000002</v>
      </c>
      <c r="J8" s="276">
        <f t="shared" si="0"/>
        <v>349397.50199999998</v>
      </c>
      <c r="K8" s="276">
        <f t="shared" si="0"/>
        <v>201397.815</v>
      </c>
      <c r="L8" s="276">
        <f t="shared" si="0"/>
        <v>392728.45</v>
      </c>
      <c r="M8" s="276">
        <f t="shared" si="0"/>
        <v>0</v>
      </c>
      <c r="N8" s="276">
        <f t="shared" si="0"/>
        <v>36226.051999999996</v>
      </c>
      <c r="O8" s="276">
        <f t="shared" si="0"/>
        <v>30025.052</v>
      </c>
      <c r="P8" s="276">
        <f t="shared" si="0"/>
        <v>0</v>
      </c>
      <c r="Q8" s="276">
        <f t="shared" si="0"/>
        <v>0</v>
      </c>
      <c r="R8" s="276">
        <f t="shared" si="0"/>
        <v>345780.19299999997</v>
      </c>
      <c r="S8" s="276">
        <f t="shared" si="0"/>
        <v>349397.50199999998</v>
      </c>
      <c r="T8" s="276" t="e">
        <f t="shared" si="0"/>
        <v>#REF!</v>
      </c>
      <c r="U8" s="276" t="e">
        <f t="shared" si="0"/>
        <v>#REF!</v>
      </c>
      <c r="V8" s="276" t="e">
        <f t="shared" si="0"/>
        <v>#REF!</v>
      </c>
      <c r="W8" s="277">
        <f t="shared" ref="W8:W14" si="1">N8/J8%</f>
        <v>10.368148539310392</v>
      </c>
      <c r="X8" s="349">
        <f>SUM(X9:X13)</f>
        <v>131</v>
      </c>
      <c r="Y8" s="201"/>
      <c r="Z8" s="201"/>
      <c r="AB8" s="229"/>
      <c r="AC8" s="88">
        <f>W8-31.84</f>
        <v>-21.471851460689606</v>
      </c>
      <c r="AE8" s="77">
        <f>J8+66627</f>
        <v>416024.50199999998</v>
      </c>
      <c r="AF8" s="99">
        <f>800+45808+43818</f>
        <v>90426</v>
      </c>
    </row>
    <row r="9" spans="1:43" s="85" customFormat="1" x14ac:dyDescent="0.2">
      <c r="A9" s="350">
        <v>1</v>
      </c>
      <c r="B9" s="82" t="s">
        <v>128</v>
      </c>
      <c r="C9" s="97"/>
      <c r="D9" s="97"/>
      <c r="E9" s="97"/>
      <c r="F9" s="97"/>
      <c r="G9" s="84">
        <f>SUMIF($AA$14:$AA$199,AA9,$G$14:$G$199)</f>
        <v>349732</v>
      </c>
      <c r="H9" s="84">
        <f>SUMIF($AA$14:$AA$199,AA9,$H$14:$H$199)</f>
        <v>0</v>
      </c>
      <c r="I9" s="84">
        <f>SUMIF($AA$14:$AA$199,AA9,$I$14:$I$199)</f>
        <v>0</v>
      </c>
      <c r="J9" s="84">
        <f>SUMIF($AA$14:$AA$199,AA9,$J$14:$J$199)</f>
        <v>1772.6949999999997</v>
      </c>
      <c r="K9" s="84">
        <f>SUMIF($AA$14:$AA$199,AA9,$K$14:$K$199)</f>
        <v>228.00800000000001</v>
      </c>
      <c r="L9" s="84">
        <f>SUMIF($AA$14:$AA$199,AA9,$L$14:$L$199)</f>
        <v>0</v>
      </c>
      <c r="M9" s="84">
        <f>SUMIF($AA$14:$AA$199,AA9,$M$14:$M$199)</f>
        <v>0</v>
      </c>
      <c r="N9" s="84">
        <f>SUMIF($AA$14:$AA$199,AA9,$N$14:$N$199)</f>
        <v>69.337999999999994</v>
      </c>
      <c r="O9" s="84">
        <f>SUMIF($AA$14:$AA$199,AA9,$O$14:$O$199)</f>
        <v>69.337999999999994</v>
      </c>
      <c r="P9" s="84">
        <f>SUMIF($AA$14:$AA$199,AA9,$P$14:$P$199)</f>
        <v>0</v>
      </c>
      <c r="Q9" s="84">
        <f>SUMIF($AA$14:$AA$199,AA9,$Q$14:$Q$199)</f>
        <v>0</v>
      </c>
      <c r="R9" s="84">
        <f>SUMIF($AA$14:$AA$199,AA9,$R$14:$R$199)</f>
        <v>584.38599999999997</v>
      </c>
      <c r="S9" s="84">
        <f>SUMIF($AA$14:$AA$199,AA9,$S$14:$S$199)</f>
        <v>1772.6949999999997</v>
      </c>
      <c r="T9" s="84">
        <f>SUMIF($AA$14:$AA$199,AB9,$S$14:$S$199)</f>
        <v>0</v>
      </c>
      <c r="U9" s="84">
        <f>SUMIF($AA$14:$AA$199,AC9,$S$14:$S$199)</f>
        <v>0</v>
      </c>
      <c r="V9" s="84">
        <f>SUMIF($AA$14:$AA$199,AD9,$V$14:$V$199)</f>
        <v>0</v>
      </c>
      <c r="W9" s="87">
        <f t="shared" si="1"/>
        <v>3.9114455673423798</v>
      </c>
      <c r="X9" s="351">
        <f>COUNTIF($AA$14:$AA$199,AA9)</f>
        <v>10</v>
      </c>
      <c r="Y9" s="202"/>
      <c r="Z9" s="202"/>
      <c r="AA9" s="226" t="s">
        <v>125</v>
      </c>
      <c r="AB9" s="230"/>
      <c r="AF9" s="100">
        <v>66627</v>
      </c>
      <c r="AM9" s="129"/>
      <c r="AN9" s="129"/>
      <c r="AO9" s="129"/>
      <c r="AP9" s="129"/>
      <c r="AQ9" s="129"/>
    </row>
    <row r="10" spans="1:43" s="85" customFormat="1" x14ac:dyDescent="0.2">
      <c r="A10" s="350">
        <v>2</v>
      </c>
      <c r="B10" s="82" t="s">
        <v>129</v>
      </c>
      <c r="C10" s="97"/>
      <c r="D10" s="97"/>
      <c r="E10" s="97"/>
      <c r="F10" s="97"/>
      <c r="G10" s="84">
        <f>SUMIF($AA$14:$AA$199,AA10,$G$14:$G$199)</f>
        <v>52097</v>
      </c>
      <c r="H10" s="84">
        <f>SUMIF($AA$14:$AA$199,AA10,$H$14:$H$199)</f>
        <v>51024.796000000002</v>
      </c>
      <c r="I10" s="84">
        <f>SUMIF($AA$14:$AA$199,AA10,$I$14:$I$199)</f>
        <v>45091.084999999999</v>
      </c>
      <c r="J10" s="84">
        <f>SUMIF($AA$14:$AA$199,AA10,$J$14:$J$199)</f>
        <v>5803.5160000000005</v>
      </c>
      <c r="K10" s="84">
        <f>SUMIF($AA$14:$AA$199,AA10,$K$14:$K$199)</f>
        <v>5803.5160000000005</v>
      </c>
      <c r="L10" s="84">
        <f>SUMIF($AA$14:$AA$199,AA10,$L$14:$L$199)</f>
        <v>50796.495999999999</v>
      </c>
      <c r="M10" s="84">
        <f>SUMIF($AA$14:$AA$199,AA10,$M$14:$M$199)</f>
        <v>0</v>
      </c>
      <c r="N10" s="84">
        <f>SUMIF($AA$14:$AA$199,AA10,$N$14:$N$199)</f>
        <v>3714.9</v>
      </c>
      <c r="O10" s="84">
        <f>SUMIF($AA$14:$AA$199,AA10,$O$14:$O$199)</f>
        <v>3714.9</v>
      </c>
      <c r="P10" s="84">
        <f>SUMIF($AA$14:$AA$199,AA10,$P$14:$P$199)</f>
        <v>0</v>
      </c>
      <c r="Q10" s="84">
        <f>SUMIF($AA$14:$AA$199,AA10,$Q$14:$Q$199)</f>
        <v>0</v>
      </c>
      <c r="R10" s="84">
        <f>SUMIF($AA$14:$AA$199,AA10,$R$14:$R$199)</f>
        <v>5803.5160000000005</v>
      </c>
      <c r="S10" s="84">
        <f>SUMIF($AA$14:$AA$199,AA10,$S$14:$S$199)</f>
        <v>5803.5160000000005</v>
      </c>
      <c r="T10" s="84">
        <f>SUMIF($AA$14:$AA$199,AA10,$T$14:$T$199)</f>
        <v>0</v>
      </c>
      <c r="U10" s="84">
        <f>SUMIF($AA$14:$AA$199,AA10,$U$14:$U$199)</f>
        <v>2088.6159999999995</v>
      </c>
      <c r="V10" s="84">
        <f>SUMIF($AA$14:$AA$199,AD10,$V$14:$V$199)</f>
        <v>0</v>
      </c>
      <c r="W10" s="87">
        <f t="shared" si="1"/>
        <v>64.011195971545519</v>
      </c>
      <c r="X10" s="351">
        <f>COUNTIF($AA$14:$AA$199,AA10)</f>
        <v>11</v>
      </c>
      <c r="Y10" s="202"/>
      <c r="Z10" s="202"/>
      <c r="AA10" s="226" t="s">
        <v>126</v>
      </c>
      <c r="AB10" s="230"/>
      <c r="AF10" s="100">
        <f>AF8+AF9</f>
        <v>157053</v>
      </c>
      <c r="AM10" s="129"/>
      <c r="AN10" s="129"/>
      <c r="AO10" s="129"/>
      <c r="AP10" s="129"/>
      <c r="AQ10" s="129"/>
    </row>
    <row r="11" spans="1:43" s="85" customFormat="1" x14ac:dyDescent="0.2">
      <c r="A11" s="350">
        <v>3</v>
      </c>
      <c r="B11" s="82" t="s">
        <v>130</v>
      </c>
      <c r="C11" s="97"/>
      <c r="D11" s="102"/>
      <c r="E11" s="97"/>
      <c r="F11" s="97"/>
      <c r="G11" s="84">
        <f>SUMIF($AA$14:$AA$199,AA11,$G$14:$G$199)</f>
        <v>15450</v>
      </c>
      <c r="H11" s="84">
        <f>SUMIF($AA$14:$AA$199,AA11,$H$14:$H$199)</f>
        <v>15368.988000000001</v>
      </c>
      <c r="I11" s="84">
        <f>SUMIF($AA$14:$AA$199,AA11,$I$14:$I$199)</f>
        <v>4700</v>
      </c>
      <c r="J11" s="84">
        <f>SUMIF($AA$14:$AA$199,AA11,$J$14:$J$199)</f>
        <v>8550.2910000000011</v>
      </c>
      <c r="K11" s="84">
        <f>SUMIF($AA$14:$AA$199,AA11,$K$14:$K$199)</f>
        <v>8550.2910000000011</v>
      </c>
      <c r="L11" s="84">
        <f>SUMIF($AA$14:$AA$199,AA11,$L$14:$L$199)</f>
        <v>13704.089</v>
      </c>
      <c r="M11" s="84">
        <f>SUMIF($AA$14:$AA$199,AA11,$M$14:$M$199)</f>
        <v>0</v>
      </c>
      <c r="N11" s="84">
        <f>SUMIF($AA$14:$AA$199,AA11,$N$14:$N$199)</f>
        <v>5892.3</v>
      </c>
      <c r="O11" s="84">
        <f>SUMIF($AA$14:$AA$199,AA11,$O$14:$O$199)</f>
        <v>5892.3</v>
      </c>
      <c r="P11" s="84">
        <f>SUMIF($AA$14:$AA$199,AA11,$P$14:$P$199)</f>
        <v>0</v>
      </c>
      <c r="Q11" s="84">
        <f>SUMIF($AA$14:$AA$199,AA11,$Q$14:$Q$199)</f>
        <v>0</v>
      </c>
      <c r="R11" s="84">
        <f>SUMIF($AA$14:$AA$199,AA11,$R$14:$R$199)</f>
        <v>8550.2910000000011</v>
      </c>
      <c r="S11" s="84">
        <f>SUMIF($AA$14:$AA$199,AA11,$S$14:$S$199)</f>
        <v>8550.2910000000011</v>
      </c>
      <c r="T11" s="84">
        <f>SUMIF($AA$14:$AA$199,AA11,$T$14:$T$199)</f>
        <v>5500</v>
      </c>
      <c r="U11" s="84">
        <f>SUMIF($AA$14:$AA$199,AA11,$U$14:$U$199)</f>
        <v>2657.991</v>
      </c>
      <c r="V11" s="84">
        <f>SUMIF($AA$14:$AA$199,AD11,$V$14:$V$199)</f>
        <v>0</v>
      </c>
      <c r="W11" s="84">
        <f t="shared" si="1"/>
        <v>68.913443998572674</v>
      </c>
      <c r="X11" s="351">
        <f>COUNTIF($AA$14:$AA$199,AA11)</f>
        <v>3</v>
      </c>
      <c r="Y11" s="202"/>
      <c r="Z11" s="202"/>
      <c r="AA11" s="226" t="s">
        <v>127</v>
      </c>
      <c r="AB11" s="230"/>
      <c r="AM11" s="129"/>
      <c r="AN11" s="129"/>
      <c r="AO11" s="129"/>
      <c r="AP11" s="129"/>
      <c r="AQ11" s="129"/>
    </row>
    <row r="12" spans="1:43" s="85" customFormat="1" x14ac:dyDescent="0.2">
      <c r="A12" s="350">
        <v>4</v>
      </c>
      <c r="B12" s="82" t="s">
        <v>131</v>
      </c>
      <c r="C12" s="97"/>
      <c r="D12" s="97"/>
      <c r="E12" s="97"/>
      <c r="F12" s="97"/>
      <c r="G12" s="84">
        <f>SUMIF($AA$14:$AA$199,AA12,$G$14:$G$199)</f>
        <v>964717</v>
      </c>
      <c r="H12" s="84">
        <f>SUMIF($AA$14:$AA$199,AA12,$H$14:$H$199)</f>
        <v>569613</v>
      </c>
      <c r="I12" s="84">
        <f>SUMIF($AA$14:$AA$199,AA12,$I$14:$I$199)</f>
        <v>452183.408</v>
      </c>
      <c r="J12" s="84">
        <f>SUMIF($AA$14:$AA$199,AA12,$J$14:$J$199)</f>
        <v>293020</v>
      </c>
      <c r="K12" s="84">
        <f>SUMIF($AA$14:$AA$199,AA12,$K$14:$K$199)</f>
        <v>186816</v>
      </c>
      <c r="L12" s="84">
        <f>SUMIF($AA$14:$AA$199,AA12,$L$14:$L$199)</f>
        <v>328227.86499999999</v>
      </c>
      <c r="M12" s="84">
        <f>SUMIF($AA$14:$AA$199,AA12,$M$14:$M$199)</f>
        <v>0</v>
      </c>
      <c r="N12" s="84">
        <f>SUMIF($AA$14:$AA$199,AA12,$N$14:$N$199)</f>
        <v>25614.883999999998</v>
      </c>
      <c r="O12" s="84">
        <f>SUMIF($AA$14:$AA$199,AA12,$O$14:$O$199)</f>
        <v>19709.884000000002</v>
      </c>
      <c r="P12" s="84">
        <f>SUMIF($AA$14:$AA$199,AA12,$P$14:$P$199)</f>
        <v>0</v>
      </c>
      <c r="Q12" s="84">
        <f>SUMIF($AA$14:$AA$199,AA12,$Q$14:$Q$199)</f>
        <v>0</v>
      </c>
      <c r="R12" s="84">
        <f>SUMIF($AA$14:$AA$199,AA12,$R$14:$R$199)</f>
        <v>290591</v>
      </c>
      <c r="S12" s="84">
        <f>SUMIF($AA$14:$AA$199,AA12,$S$14:$S$199)</f>
        <v>293020</v>
      </c>
      <c r="T12" s="84">
        <f>SUMIF($AA$14:$AA$199,AA12,$T$14:$T$199)</f>
        <v>0</v>
      </c>
      <c r="U12" s="84">
        <f>SUMIF($AA$14:$AA$199,AA12,$U$14:$U$199)</f>
        <v>168314.89300000001</v>
      </c>
      <c r="V12" s="84">
        <f>SUMIF($AA$14:$AA$199,AD12,$V$14:$V$199)</f>
        <v>0</v>
      </c>
      <c r="W12" s="87">
        <f t="shared" si="1"/>
        <v>8.7416845266534704</v>
      </c>
      <c r="X12" s="351">
        <f>COUNTIF($AA$14:$AA$199,AA12)</f>
        <v>86</v>
      </c>
      <c r="Y12" s="202"/>
      <c r="Z12" s="202"/>
      <c r="AA12" s="226" t="s">
        <v>123</v>
      </c>
      <c r="AB12" s="230"/>
      <c r="AM12" s="129"/>
      <c r="AN12" s="129"/>
      <c r="AO12" s="129"/>
      <c r="AP12" s="129"/>
      <c r="AQ12" s="129"/>
    </row>
    <row r="13" spans="1:43" s="85" customFormat="1" ht="24" x14ac:dyDescent="0.2">
      <c r="A13" s="350">
        <v>5</v>
      </c>
      <c r="B13" s="82" t="s">
        <v>132</v>
      </c>
      <c r="C13" s="97"/>
      <c r="D13" s="97"/>
      <c r="E13" s="97"/>
      <c r="F13" s="97"/>
      <c r="G13" s="84">
        <f>SUMIF($AA$14:$AA$199,AA13,$G$14:$G$199)</f>
        <v>101192</v>
      </c>
      <c r="H13" s="84">
        <f>SUMIF($AA$14:$AA$199,AA13,$H$14:$H$199)</f>
        <v>0</v>
      </c>
      <c r="I13" s="84">
        <f>SUMIF($AA$14:$AA$199,AA13,$I$14:$I$199)</f>
        <v>0</v>
      </c>
      <c r="J13" s="84">
        <f>SUMIF($AA$14:$AA$199,AA13,$J$14:$J$199)</f>
        <v>38745</v>
      </c>
      <c r="K13" s="84">
        <f>SUMIF($AA$14:$AA$199,AA13,$K$14:$K$199)</f>
        <v>0</v>
      </c>
      <c r="L13" s="84">
        <f>SUMIF($AA$14:$AA$199,AA13,$L$14:$L$199)</f>
        <v>0</v>
      </c>
      <c r="M13" s="84">
        <f>SUMIF($AA$14:$AA$199,AA13,$M$14:$M$199)</f>
        <v>0</v>
      </c>
      <c r="N13" s="84">
        <f>SUMIF($AA$14:$AA$199,AA13,$N$14:$N$199)</f>
        <v>934.63</v>
      </c>
      <c r="O13" s="84">
        <f>SUMIF($AA$14:$AA$199,AA13,$O$14:$O$199)</f>
        <v>638.63</v>
      </c>
      <c r="P13" s="84">
        <f>SUMIF($AA$14:$AA$199,AA13,$P$14:$P$199)</f>
        <v>0</v>
      </c>
      <c r="Q13" s="84">
        <f>SUMIF($AA$14:$AA$199,AA13,$Q$14:$Q$199)</f>
        <v>0</v>
      </c>
      <c r="R13" s="84">
        <f>SUMIF($AA$14:$AA$199,AA13,$R$14:$R$199)</f>
        <v>38745</v>
      </c>
      <c r="S13" s="84">
        <f>SUMIF($AA$14:$AA$199,AA13,$S$14:$S$199)</f>
        <v>38745</v>
      </c>
      <c r="T13" s="84">
        <f>SUMIF($AA$14:$AA$199,AA13,$T$14:$T$199)</f>
        <v>0</v>
      </c>
      <c r="U13" s="84">
        <f>SUMIF($AA$14:$AA$199,AA13,$U$14:$U$199)</f>
        <v>0</v>
      </c>
      <c r="V13" s="84">
        <f>SUMIF($AA$14:$AA$199,AD13,$V$14:$V$199)</f>
        <v>0</v>
      </c>
      <c r="W13" s="87">
        <f t="shared" si="1"/>
        <v>2.412259646405988</v>
      </c>
      <c r="X13" s="351">
        <f>COUNTIF($AA$14:$AA$199,AA13)</f>
        <v>21</v>
      </c>
      <c r="Y13" s="202"/>
      <c r="Z13" s="202"/>
      <c r="AA13" s="226" t="s">
        <v>124</v>
      </c>
      <c r="AB13" s="230"/>
      <c r="AM13" s="129"/>
      <c r="AN13" s="129"/>
      <c r="AO13" s="129"/>
      <c r="AP13" s="129"/>
      <c r="AQ13" s="129"/>
    </row>
    <row r="14" spans="1:43" x14ac:dyDescent="0.2">
      <c r="A14" s="352" t="s">
        <v>24</v>
      </c>
      <c r="B14" s="160" t="s">
        <v>0</v>
      </c>
      <c r="C14" s="278"/>
      <c r="D14" s="278"/>
      <c r="E14" s="278"/>
      <c r="F14" s="279"/>
      <c r="G14" s="162">
        <f t="shared" ref="G14:V14" si="2">G15+G24</f>
        <v>588290</v>
      </c>
      <c r="H14" s="162">
        <f t="shared" si="2"/>
        <v>508950</v>
      </c>
      <c r="I14" s="162">
        <f t="shared" si="2"/>
        <v>299010</v>
      </c>
      <c r="J14" s="162">
        <f t="shared" si="2"/>
        <v>165070.386</v>
      </c>
      <c r="K14" s="162">
        <f t="shared" si="2"/>
        <v>164771.008</v>
      </c>
      <c r="L14" s="280">
        <f t="shared" si="2"/>
        <v>231839</v>
      </c>
      <c r="M14" s="281">
        <f t="shared" si="2"/>
        <v>0</v>
      </c>
      <c r="N14" s="281">
        <f t="shared" si="2"/>
        <v>8427.3070000000007</v>
      </c>
      <c r="O14" s="281">
        <f t="shared" si="2"/>
        <v>8427.3070000000007</v>
      </c>
      <c r="P14" s="281">
        <f t="shared" si="2"/>
        <v>0</v>
      </c>
      <c r="Q14" s="281">
        <f t="shared" si="2"/>
        <v>0</v>
      </c>
      <c r="R14" s="281">
        <f t="shared" si="2"/>
        <v>165070.386</v>
      </c>
      <c r="S14" s="281">
        <f t="shared" si="2"/>
        <v>165070.386</v>
      </c>
      <c r="T14" s="281">
        <f t="shared" si="2"/>
        <v>0</v>
      </c>
      <c r="U14" s="281">
        <f t="shared" si="2"/>
        <v>291914.88499999995</v>
      </c>
      <c r="V14" s="281">
        <f t="shared" si="2"/>
        <v>0</v>
      </c>
      <c r="W14" s="282">
        <f t="shared" si="1"/>
        <v>5.105280967841197</v>
      </c>
      <c r="X14" s="97"/>
      <c r="Y14" s="203"/>
      <c r="Z14" s="203"/>
      <c r="AB14" s="229"/>
    </row>
    <row r="15" spans="1:43" x14ac:dyDescent="0.2">
      <c r="A15" s="352" t="str">
        <f>'Bieu CKGN (ko in)'!A9</f>
        <v>I</v>
      </c>
      <c r="B15" s="160" t="str">
        <f>'Bieu CKGN (ko in)'!B9</f>
        <v>Nguồn vốn NSTW</v>
      </c>
      <c r="C15" s="278"/>
      <c r="D15" s="278"/>
      <c r="E15" s="278"/>
      <c r="F15" s="279"/>
      <c r="G15" s="281">
        <f>G16+G17+G18+G21</f>
        <v>519000</v>
      </c>
      <c r="H15" s="281">
        <f t="shared" ref="H15:W15" si="3">H16+H17+H18+H21</f>
        <v>508950</v>
      </c>
      <c r="I15" s="281">
        <f t="shared" si="3"/>
        <v>293462</v>
      </c>
      <c r="J15" s="281">
        <f t="shared" si="3"/>
        <v>159823</v>
      </c>
      <c r="K15" s="281">
        <f t="shared" si="3"/>
        <v>159823</v>
      </c>
      <c r="L15" s="281">
        <f t="shared" si="3"/>
        <v>227339</v>
      </c>
      <c r="M15" s="281">
        <f t="shared" si="3"/>
        <v>0</v>
      </c>
      <c r="N15" s="281">
        <f t="shared" si="3"/>
        <v>8427.3070000000007</v>
      </c>
      <c r="O15" s="281">
        <f t="shared" si="3"/>
        <v>8427.3070000000007</v>
      </c>
      <c r="P15" s="281">
        <f t="shared" si="3"/>
        <v>0</v>
      </c>
      <c r="Q15" s="281">
        <f t="shared" si="3"/>
        <v>0</v>
      </c>
      <c r="R15" s="281">
        <f t="shared" si="3"/>
        <v>159823</v>
      </c>
      <c r="S15" s="281">
        <f t="shared" si="3"/>
        <v>159823</v>
      </c>
      <c r="T15" s="281">
        <f t="shared" si="3"/>
        <v>0</v>
      </c>
      <c r="U15" s="281">
        <f t="shared" si="3"/>
        <v>286966.87699999998</v>
      </c>
      <c r="V15" s="281">
        <f t="shared" si="3"/>
        <v>0</v>
      </c>
      <c r="W15" s="281">
        <f t="shared" si="3"/>
        <v>0</v>
      </c>
      <c r="X15" s="97"/>
      <c r="Y15" s="204"/>
      <c r="Z15" s="204"/>
      <c r="AB15" s="229"/>
    </row>
    <row r="16" spans="1:43" s="95" customFormat="1" ht="27" x14ac:dyDescent="0.2">
      <c r="A16" s="353" t="s">
        <v>28</v>
      </c>
      <c r="B16" s="152" t="s">
        <v>29</v>
      </c>
      <c r="C16" s="283"/>
      <c r="D16" s="283"/>
      <c r="E16" s="283"/>
      <c r="F16" s="284"/>
      <c r="G16" s="169"/>
      <c r="H16" s="169"/>
      <c r="I16" s="169"/>
      <c r="J16" s="169"/>
      <c r="K16" s="169"/>
      <c r="L16" s="170"/>
      <c r="M16" s="170"/>
      <c r="N16" s="170"/>
      <c r="O16" s="170"/>
      <c r="P16" s="170"/>
      <c r="Q16" s="170"/>
      <c r="R16" s="170"/>
      <c r="S16" s="170"/>
      <c r="T16" s="170"/>
      <c r="U16" s="170"/>
      <c r="V16" s="170"/>
      <c r="W16" s="170"/>
      <c r="X16" s="354"/>
      <c r="Y16" s="205"/>
      <c r="Z16" s="205"/>
      <c r="AA16" s="227"/>
      <c r="AB16" s="231"/>
      <c r="AM16" s="130"/>
      <c r="AN16" s="130"/>
      <c r="AO16" s="130"/>
      <c r="AP16" s="130"/>
      <c r="AQ16" s="130"/>
    </row>
    <row r="17" spans="1:43" s="95" customFormat="1" ht="13.5" x14ac:dyDescent="0.2">
      <c r="A17" s="353" t="s">
        <v>30</v>
      </c>
      <c r="B17" s="152" t="s">
        <v>31</v>
      </c>
      <c r="C17" s="283"/>
      <c r="D17" s="283"/>
      <c r="E17" s="283"/>
      <c r="F17" s="284"/>
      <c r="G17" s="169"/>
      <c r="H17" s="169"/>
      <c r="I17" s="169"/>
      <c r="J17" s="169"/>
      <c r="K17" s="169"/>
      <c r="L17" s="170"/>
      <c r="M17" s="170"/>
      <c r="N17" s="170"/>
      <c r="O17" s="170"/>
      <c r="P17" s="170"/>
      <c r="Q17" s="170"/>
      <c r="R17" s="170"/>
      <c r="S17" s="170"/>
      <c r="T17" s="170"/>
      <c r="U17" s="170"/>
      <c r="V17" s="170"/>
      <c r="W17" s="170"/>
      <c r="X17" s="354"/>
      <c r="Y17" s="205"/>
      <c r="Z17" s="205"/>
      <c r="AA17" s="227"/>
      <c r="AB17" s="231"/>
      <c r="AC17" s="103">
        <f>J24+J33</f>
        <v>189574.50200000001</v>
      </c>
      <c r="AE17" s="103">
        <f>N24+N33</f>
        <v>27798.744999999999</v>
      </c>
      <c r="AF17" s="104">
        <f>AE17/AC17*100</f>
        <v>14.663757365428816</v>
      </c>
      <c r="AM17" s="130"/>
      <c r="AN17" s="130"/>
      <c r="AO17" s="130"/>
      <c r="AP17" s="130"/>
      <c r="AQ17" s="130"/>
    </row>
    <row r="18" spans="1:43" s="107" customFormat="1" ht="40.5" x14ac:dyDescent="0.2">
      <c r="A18" s="353" t="s">
        <v>32</v>
      </c>
      <c r="B18" s="152" t="s">
        <v>426</v>
      </c>
      <c r="C18" s="283"/>
      <c r="D18" s="283"/>
      <c r="E18" s="283"/>
      <c r="F18" s="285"/>
      <c r="G18" s="155">
        <f>SUM(G19:G20)</f>
        <v>244000</v>
      </c>
      <c r="H18" s="155">
        <f t="shared" ref="H18:S18" si="4">SUM(H19:H20)</f>
        <v>242390</v>
      </c>
      <c r="I18" s="155">
        <f t="shared" si="4"/>
        <v>166077</v>
      </c>
      <c r="J18" s="155">
        <f t="shared" si="4"/>
        <v>77923</v>
      </c>
      <c r="K18" s="155">
        <f t="shared" si="4"/>
        <v>77923</v>
      </c>
      <c r="L18" s="155">
        <f t="shared" si="4"/>
        <v>131739</v>
      </c>
      <c r="M18" s="155">
        <f t="shared" si="4"/>
        <v>0</v>
      </c>
      <c r="N18" s="155">
        <f t="shared" si="4"/>
        <v>1012.899</v>
      </c>
      <c r="O18" s="155">
        <f t="shared" si="4"/>
        <v>1012.899</v>
      </c>
      <c r="P18" s="155">
        <f t="shared" si="4"/>
        <v>0</v>
      </c>
      <c r="Q18" s="155">
        <f t="shared" si="4"/>
        <v>0</v>
      </c>
      <c r="R18" s="155">
        <f t="shared" si="4"/>
        <v>77923</v>
      </c>
      <c r="S18" s="155">
        <f t="shared" si="4"/>
        <v>77923</v>
      </c>
      <c r="T18" s="156">
        <f t="shared" ref="T18:V18" si="5">SUM(T19:T22)</f>
        <v>0</v>
      </c>
      <c r="U18" s="156">
        <f t="shared" si="5"/>
        <v>212481.285</v>
      </c>
      <c r="V18" s="156">
        <f t="shared" si="5"/>
        <v>0</v>
      </c>
      <c r="W18" s="286"/>
      <c r="X18" s="283"/>
      <c r="Y18" s="206"/>
      <c r="Z18" s="206"/>
      <c r="AA18" s="227"/>
      <c r="AB18" s="232"/>
      <c r="AM18" s="131" t="s">
        <v>420</v>
      </c>
      <c r="AN18" s="132"/>
      <c r="AO18" s="132" t="s">
        <v>421</v>
      </c>
      <c r="AP18" s="132"/>
      <c r="AQ18" s="132" t="s">
        <v>422</v>
      </c>
    </row>
    <row r="19" spans="1:43" ht="38.25" x14ac:dyDescent="0.2">
      <c r="A19" s="350">
        <f>'Bieu CKGN (ko in)'!A13</f>
        <v>1</v>
      </c>
      <c r="B19" s="82" t="str">
        <f>'Bieu CKGN (ko in)'!B13</f>
        <v>Sắp xếp ổn định các điểm dân cư: Mò Lò, Sa Thàng xã Mù Cả, điểm Nậm Kha Á, Pà Khà, U Na1-2, Tia Ma Mủ, Pa Tết xã Tà Tổng, huyện Mường Tè;</v>
      </c>
      <c r="C19" s="287" t="s">
        <v>140</v>
      </c>
      <c r="D19" s="106"/>
      <c r="E19" s="105" t="s">
        <v>161</v>
      </c>
      <c r="F19" s="105" t="str">
        <f>'Bieu CKGN (ko in)'!C13</f>
        <v>1734-04/12/2020</v>
      </c>
      <c r="G19" s="83">
        <f>'Bieu CKGN (ko in)'!D13</f>
        <v>164000</v>
      </c>
      <c r="H19" s="188">
        <v>163281</v>
      </c>
      <c r="I19" s="83">
        <f>15000+7702+89000</f>
        <v>111702</v>
      </c>
      <c r="J19" s="83">
        <v>52298</v>
      </c>
      <c r="K19" s="83">
        <f>J19</f>
        <v>52298</v>
      </c>
      <c r="L19" s="84">
        <v>113000</v>
      </c>
      <c r="M19" s="84"/>
      <c r="N19" s="84"/>
      <c r="O19" s="84"/>
      <c r="P19" s="84"/>
      <c r="Q19" s="84"/>
      <c r="R19" s="84">
        <f>S19</f>
        <v>52298</v>
      </c>
      <c r="S19" s="84">
        <f>K19</f>
        <v>52298</v>
      </c>
      <c r="T19" s="84"/>
      <c r="U19" s="84">
        <f>J19-N19</f>
        <v>52298</v>
      </c>
      <c r="V19" s="84"/>
      <c r="W19" s="187"/>
      <c r="X19" s="97"/>
      <c r="Y19" s="98"/>
      <c r="Z19" s="98"/>
      <c r="AA19" s="226" t="s">
        <v>123</v>
      </c>
      <c r="AB19" s="233" t="s">
        <v>271</v>
      </c>
      <c r="AC19" s="80"/>
      <c r="AE19" s="74">
        <v>27097</v>
      </c>
      <c r="AF19" s="79">
        <f>AE19-M19</f>
        <v>27097</v>
      </c>
      <c r="AG19" s="77">
        <f>O19-8654</f>
        <v>-8654</v>
      </c>
      <c r="AM19" s="133">
        <f>J19-N19</f>
        <v>52298</v>
      </c>
      <c r="AN19" s="133">
        <f>L19-O19</f>
        <v>113000</v>
      </c>
      <c r="AO19" s="134">
        <v>113000</v>
      </c>
      <c r="AP19" s="128">
        <v>17613</v>
      </c>
      <c r="AQ19" s="133">
        <f>AO19-AP19</f>
        <v>95387</v>
      </c>
    </row>
    <row r="20" spans="1:43" ht="33.75" x14ac:dyDescent="0.2">
      <c r="A20" s="350">
        <f>'Bieu CKGN (ko in)'!A14</f>
        <v>2</v>
      </c>
      <c r="B20" s="82" t="str">
        <f>'Bieu CKGN (ko in)'!B14</f>
        <v>Sắp xếp ổn định dân cư 02 xã Tà Tổng, Mù Cả</v>
      </c>
      <c r="C20" s="287" t="s">
        <v>139</v>
      </c>
      <c r="D20" s="106"/>
      <c r="E20" s="105" t="s">
        <v>161</v>
      </c>
      <c r="F20" s="105" t="str">
        <f>'Bieu CKGN (ko in)'!C14</f>
        <v>1735-04/12/2020</v>
      </c>
      <c r="G20" s="83">
        <f>'Bieu CKGN (ko in)'!D14</f>
        <v>80000</v>
      </c>
      <c r="H20" s="188">
        <v>79109</v>
      </c>
      <c r="I20" s="83">
        <f>12375+42000</f>
        <v>54375</v>
      </c>
      <c r="J20" s="83">
        <v>25625</v>
      </c>
      <c r="K20" s="83">
        <f t="shared" ref="K20:K23" si="6">J20</f>
        <v>25625</v>
      </c>
      <c r="L20" s="84">
        <v>18739</v>
      </c>
      <c r="M20" s="84"/>
      <c r="N20" s="84">
        <v>1012.899</v>
      </c>
      <c r="O20" s="84">
        <f>N20</f>
        <v>1012.899</v>
      </c>
      <c r="P20" s="84"/>
      <c r="Q20" s="84"/>
      <c r="R20" s="84">
        <f t="shared" ref="R20:R23" si="7">S20</f>
        <v>25625</v>
      </c>
      <c r="S20" s="84">
        <f>J20</f>
        <v>25625</v>
      </c>
      <c r="T20" s="84"/>
      <c r="U20" s="84">
        <f t="shared" ref="U20:U22" si="8">J20-N20</f>
        <v>24612.100999999999</v>
      </c>
      <c r="V20" s="84"/>
      <c r="W20" s="187"/>
      <c r="X20" s="97"/>
      <c r="Y20" s="98"/>
      <c r="Z20" s="98"/>
      <c r="AA20" s="226" t="s">
        <v>123</v>
      </c>
      <c r="AB20" s="233" t="s">
        <v>271</v>
      </c>
      <c r="AD20" s="79"/>
      <c r="AE20" s="74">
        <v>26338</v>
      </c>
      <c r="AF20" s="96">
        <f>N20-AE20</f>
        <v>-25325.100999999999</v>
      </c>
      <c r="AI20" s="77">
        <f>J20</f>
        <v>25625</v>
      </c>
      <c r="AJ20" s="74">
        <v>1000</v>
      </c>
      <c r="AK20" s="77">
        <f>AJ20+AI20</f>
        <v>26625</v>
      </c>
      <c r="AM20" s="133">
        <f>J20-N20</f>
        <v>24612.100999999999</v>
      </c>
      <c r="AN20" s="133">
        <f>L20-O20</f>
        <v>17726.100999999999</v>
      </c>
    </row>
    <row r="21" spans="1:43" ht="13.5" x14ac:dyDescent="0.2">
      <c r="A21" s="350"/>
      <c r="B21" s="152" t="s">
        <v>427</v>
      </c>
      <c r="C21" s="287"/>
      <c r="D21" s="106"/>
      <c r="E21" s="105"/>
      <c r="F21" s="105"/>
      <c r="G21" s="155">
        <f>SUM(G22:G23)</f>
        <v>275000</v>
      </c>
      <c r="H21" s="155">
        <f t="shared" ref="H21:V21" si="9">SUM(H22:H23)</f>
        <v>266560</v>
      </c>
      <c r="I21" s="155">
        <f t="shared" si="9"/>
        <v>127385</v>
      </c>
      <c r="J21" s="155">
        <f t="shared" si="9"/>
        <v>81900</v>
      </c>
      <c r="K21" s="155">
        <f t="shared" si="9"/>
        <v>81900</v>
      </c>
      <c r="L21" s="155">
        <f t="shared" si="9"/>
        <v>95600</v>
      </c>
      <c r="M21" s="155">
        <f t="shared" si="9"/>
        <v>0</v>
      </c>
      <c r="N21" s="155">
        <f t="shared" si="9"/>
        <v>7414.4080000000004</v>
      </c>
      <c r="O21" s="155">
        <f t="shared" si="9"/>
        <v>7414.4080000000004</v>
      </c>
      <c r="P21" s="155">
        <f t="shared" si="9"/>
        <v>0</v>
      </c>
      <c r="Q21" s="155">
        <f t="shared" si="9"/>
        <v>0</v>
      </c>
      <c r="R21" s="155">
        <f t="shared" si="9"/>
        <v>81900</v>
      </c>
      <c r="S21" s="155">
        <f t="shared" si="9"/>
        <v>81900</v>
      </c>
      <c r="T21" s="155">
        <f t="shared" si="9"/>
        <v>0</v>
      </c>
      <c r="U21" s="155">
        <f t="shared" si="9"/>
        <v>74485.592000000004</v>
      </c>
      <c r="V21" s="155">
        <f t="shared" si="9"/>
        <v>0</v>
      </c>
      <c r="W21" s="187"/>
      <c r="X21" s="97"/>
      <c r="Y21" s="98"/>
      <c r="Z21" s="98"/>
      <c r="AB21" s="233"/>
      <c r="AD21" s="79"/>
      <c r="AF21" s="96"/>
      <c r="AI21" s="77"/>
      <c r="AK21" s="77"/>
      <c r="AM21" s="133"/>
      <c r="AN21" s="133"/>
    </row>
    <row r="22" spans="1:43" ht="33.75" x14ac:dyDescent="0.2">
      <c r="A22" s="350">
        <v>1</v>
      </c>
      <c r="B22" s="82" t="str">
        <f>'Bieu CKGN (ko in)'!B15</f>
        <v>Nâng cấp đường giao thông Nậm Lằn - Mốc 17</v>
      </c>
      <c r="C22" s="287" t="s">
        <v>141</v>
      </c>
      <c r="D22" s="106"/>
      <c r="E22" s="288" t="s">
        <v>162</v>
      </c>
      <c r="F22" s="105" t="str">
        <f>'Bieu CKGN (ko in)'!C15</f>
        <v>997-30/07/2021</v>
      </c>
      <c r="G22" s="83">
        <f>'Bieu CKGN (ko in)'!D15</f>
        <v>190000</v>
      </c>
      <c r="H22" s="189">
        <v>184228</v>
      </c>
      <c r="I22" s="83">
        <f>200+75685</f>
        <v>75885</v>
      </c>
      <c r="J22" s="83">
        <v>68500</v>
      </c>
      <c r="K22" s="83">
        <f t="shared" si="6"/>
        <v>68500</v>
      </c>
      <c r="L22" s="84">
        <f>30100+15000</f>
        <v>45100</v>
      </c>
      <c r="M22" s="84"/>
      <c r="N22" s="84">
        <v>7414.4080000000004</v>
      </c>
      <c r="O22" s="84">
        <f>N22</f>
        <v>7414.4080000000004</v>
      </c>
      <c r="P22" s="84"/>
      <c r="Q22" s="84"/>
      <c r="R22" s="84">
        <f t="shared" si="7"/>
        <v>68500</v>
      </c>
      <c r="S22" s="84">
        <f>J22</f>
        <v>68500</v>
      </c>
      <c r="T22" s="84"/>
      <c r="U22" s="84">
        <f t="shared" si="8"/>
        <v>61085.591999999997</v>
      </c>
      <c r="V22" s="84"/>
      <c r="W22" s="187"/>
      <c r="X22" s="97"/>
      <c r="Y22" s="98"/>
      <c r="Z22" s="98"/>
      <c r="AA22" s="226" t="s">
        <v>123</v>
      </c>
      <c r="AB22" s="233" t="s">
        <v>271</v>
      </c>
      <c r="AE22" s="91">
        <v>60270.32</v>
      </c>
      <c r="AF22" s="80">
        <f>AE22-N22</f>
        <v>52855.911999999997</v>
      </c>
      <c r="AM22" s="133">
        <f>J22-N22</f>
        <v>61085.591999999997</v>
      </c>
      <c r="AN22" s="133">
        <f>L22-O22</f>
        <v>37685.591999999997</v>
      </c>
      <c r="AO22" s="134">
        <v>15000</v>
      </c>
    </row>
    <row r="23" spans="1:43" s="75" customFormat="1" ht="33.75" x14ac:dyDescent="0.2">
      <c r="A23" s="350">
        <v>2</v>
      </c>
      <c r="B23" s="82" t="s">
        <v>120</v>
      </c>
      <c r="C23" s="287" t="s">
        <v>141</v>
      </c>
      <c r="D23" s="106"/>
      <c r="E23" s="288" t="s">
        <v>163</v>
      </c>
      <c r="F23" s="105" t="s">
        <v>121</v>
      </c>
      <c r="G23" s="83">
        <v>85000</v>
      </c>
      <c r="H23" s="188">
        <v>82332</v>
      </c>
      <c r="I23" s="83">
        <f>14500+37000</f>
        <v>51500</v>
      </c>
      <c r="J23" s="83">
        <v>13400</v>
      </c>
      <c r="K23" s="83">
        <f t="shared" si="6"/>
        <v>13400</v>
      </c>
      <c r="L23" s="84">
        <f>26000+24500</f>
        <v>50500</v>
      </c>
      <c r="M23" s="84"/>
      <c r="N23" s="84"/>
      <c r="O23" s="84"/>
      <c r="P23" s="84"/>
      <c r="Q23" s="84"/>
      <c r="R23" s="84">
        <f t="shared" si="7"/>
        <v>13400</v>
      </c>
      <c r="S23" s="84">
        <f>J23</f>
        <v>13400</v>
      </c>
      <c r="T23" s="84"/>
      <c r="U23" s="84">
        <f>J23-N23</f>
        <v>13400</v>
      </c>
      <c r="V23" s="84"/>
      <c r="W23" s="84"/>
      <c r="X23" s="97"/>
      <c r="Y23" s="98"/>
      <c r="Z23" s="98"/>
      <c r="AA23" s="226" t="s">
        <v>123</v>
      </c>
      <c r="AB23" s="233" t="s">
        <v>271</v>
      </c>
      <c r="AE23" s="91">
        <f>AF23-N23</f>
        <v>24760</v>
      </c>
      <c r="AF23" s="77">
        <v>24760</v>
      </c>
      <c r="AH23" s="92"/>
      <c r="AI23" s="120"/>
      <c r="AM23" s="133">
        <f>J23-N23</f>
        <v>13400</v>
      </c>
      <c r="AN23" s="133">
        <f>L23-O23</f>
        <v>50500</v>
      </c>
      <c r="AO23" s="135"/>
      <c r="AP23" s="128">
        <f>9000+7500+8000</f>
        <v>24500</v>
      </c>
      <c r="AQ23" s="135"/>
    </row>
    <row r="24" spans="1:43" x14ac:dyDescent="0.2">
      <c r="A24" s="352" t="str">
        <f>'Bieu CKGN (ko in)'!A16</f>
        <v>II</v>
      </c>
      <c r="B24" s="160" t="str">
        <f>'Bieu CKGN (ko in)'!B16</f>
        <v>Nguồn vốn NSĐP tỉnh quản lý</v>
      </c>
      <c r="C24" s="164"/>
      <c r="D24" s="164"/>
      <c r="E24" s="164"/>
      <c r="F24" s="105"/>
      <c r="G24" s="162">
        <f>G25+G31</f>
        <v>69290</v>
      </c>
      <c r="H24" s="162">
        <f t="shared" ref="H24:W24" si="10">H25+H31</f>
        <v>0</v>
      </c>
      <c r="I24" s="162">
        <f t="shared" si="10"/>
        <v>5548</v>
      </c>
      <c r="J24" s="162">
        <f t="shared" si="10"/>
        <v>5247.3860000000004</v>
      </c>
      <c r="K24" s="162">
        <f t="shared" si="10"/>
        <v>4948.0079999999998</v>
      </c>
      <c r="L24" s="162">
        <f t="shared" si="10"/>
        <v>4500</v>
      </c>
      <c r="M24" s="162">
        <f t="shared" si="10"/>
        <v>0</v>
      </c>
      <c r="N24" s="162">
        <f t="shared" si="10"/>
        <v>0</v>
      </c>
      <c r="O24" s="162">
        <f t="shared" si="10"/>
        <v>0</v>
      </c>
      <c r="P24" s="162">
        <f t="shared" si="10"/>
        <v>0</v>
      </c>
      <c r="Q24" s="162">
        <f t="shared" si="10"/>
        <v>0</v>
      </c>
      <c r="R24" s="162">
        <f t="shared" si="10"/>
        <v>5247.3860000000004</v>
      </c>
      <c r="S24" s="162">
        <f t="shared" si="10"/>
        <v>5247.3860000000004</v>
      </c>
      <c r="T24" s="162">
        <f t="shared" si="10"/>
        <v>0</v>
      </c>
      <c r="U24" s="162">
        <f t="shared" si="10"/>
        <v>4948.0079999999998</v>
      </c>
      <c r="V24" s="162">
        <f t="shared" si="10"/>
        <v>0</v>
      </c>
      <c r="W24" s="162">
        <f t="shared" si="10"/>
        <v>0</v>
      </c>
      <c r="X24" s="97"/>
      <c r="Y24" s="204"/>
      <c r="Z24" s="204"/>
      <c r="AA24" s="228"/>
      <c r="AB24" s="234"/>
      <c r="AC24" s="81"/>
      <c r="AE24" s="77">
        <f>J24+J33</f>
        <v>189574.50200000001</v>
      </c>
      <c r="AF24" s="77">
        <f>N24+N33</f>
        <v>27798.744999999999</v>
      </c>
      <c r="AG24" s="74">
        <f>AF24/AE24*100</f>
        <v>14.663757365428816</v>
      </c>
      <c r="AM24" s="77"/>
      <c r="AN24" s="77"/>
      <c r="AO24" s="74"/>
      <c r="AP24" s="74"/>
      <c r="AQ24" s="74"/>
    </row>
    <row r="25" spans="1:43" s="95" customFormat="1" ht="13.5" x14ac:dyDescent="0.2">
      <c r="A25" s="353" t="str">
        <f>'Bieu CKGN (ko in)'!A17</f>
        <v>a</v>
      </c>
      <c r="B25" s="152" t="str">
        <f>'Bieu CKGN (ko in)'!B17</f>
        <v>Dự án hoàn thành, đã phê duyệt quyết toán</v>
      </c>
      <c r="C25" s="154"/>
      <c r="D25" s="154"/>
      <c r="E25" s="154"/>
      <c r="F25" s="153"/>
      <c r="G25" s="155">
        <f t="shared" ref="G25:V25" si="11">SUM(G26:G30)</f>
        <v>54300</v>
      </c>
      <c r="H25" s="155">
        <f t="shared" si="11"/>
        <v>0</v>
      </c>
      <c r="I25" s="155">
        <f t="shared" si="11"/>
        <v>0</v>
      </c>
      <c r="J25" s="289">
        <f t="shared" si="11"/>
        <v>527.38599999999997</v>
      </c>
      <c r="K25" s="289">
        <f t="shared" si="11"/>
        <v>228.00800000000001</v>
      </c>
      <c r="L25" s="155">
        <f t="shared" si="11"/>
        <v>0</v>
      </c>
      <c r="M25" s="155">
        <f t="shared" si="11"/>
        <v>0</v>
      </c>
      <c r="N25" s="155">
        <f t="shared" si="11"/>
        <v>0</v>
      </c>
      <c r="O25" s="155">
        <f t="shared" si="11"/>
        <v>0</v>
      </c>
      <c r="P25" s="155">
        <f t="shared" si="11"/>
        <v>0</v>
      </c>
      <c r="Q25" s="155">
        <f t="shared" si="11"/>
        <v>0</v>
      </c>
      <c r="R25" s="155">
        <f t="shared" si="11"/>
        <v>527.38599999999997</v>
      </c>
      <c r="S25" s="155">
        <f t="shared" si="11"/>
        <v>527.38599999999997</v>
      </c>
      <c r="T25" s="290">
        <f t="shared" si="11"/>
        <v>0</v>
      </c>
      <c r="U25" s="290">
        <f t="shared" si="11"/>
        <v>228.00800000000001</v>
      </c>
      <c r="V25" s="290">
        <f t="shared" si="11"/>
        <v>0</v>
      </c>
      <c r="W25" s="155"/>
      <c r="X25" s="354"/>
      <c r="Y25" s="205"/>
      <c r="Z25" s="205"/>
      <c r="AA25" s="235"/>
      <c r="AB25" s="236"/>
      <c r="AC25" s="104"/>
      <c r="AE25" s="103"/>
      <c r="AM25" s="77"/>
      <c r="AN25" s="77"/>
    </row>
    <row r="26" spans="1:43" ht="33.75" x14ac:dyDescent="0.2">
      <c r="A26" s="350">
        <f>'Bieu CKGN (ko in)'!A18</f>
        <v>1</v>
      </c>
      <c r="B26" s="82" t="s">
        <v>428</v>
      </c>
      <c r="C26" s="287" t="s">
        <v>141</v>
      </c>
      <c r="D26" s="106"/>
      <c r="E26" s="105"/>
      <c r="F26" s="105" t="s">
        <v>429</v>
      </c>
      <c r="G26" s="83">
        <v>3500</v>
      </c>
      <c r="H26" s="83"/>
      <c r="I26" s="83"/>
      <c r="J26" s="186">
        <v>26.625</v>
      </c>
      <c r="K26" s="84">
        <f>J26</f>
        <v>26.625</v>
      </c>
      <c r="L26" s="84"/>
      <c r="M26" s="94"/>
      <c r="N26" s="84">
        <f>O26</f>
        <v>0</v>
      </c>
      <c r="O26" s="84"/>
      <c r="P26" s="84"/>
      <c r="Q26" s="84"/>
      <c r="R26" s="87">
        <f t="shared" ref="R26:R30" si="12">S26</f>
        <v>26.625</v>
      </c>
      <c r="S26" s="87">
        <f>J26</f>
        <v>26.625</v>
      </c>
      <c r="T26" s="84"/>
      <c r="U26" s="84">
        <f t="shared" ref="U26:U27" si="13">J26-N26</f>
        <v>26.625</v>
      </c>
      <c r="V26" s="84"/>
      <c r="W26" s="84"/>
      <c r="X26" s="97"/>
      <c r="Y26" s="98"/>
      <c r="Z26" s="98"/>
      <c r="AA26" s="226" t="s">
        <v>125</v>
      </c>
      <c r="AB26" s="233" t="s">
        <v>271</v>
      </c>
      <c r="AM26" s="77">
        <f t="shared" ref="AM26:AM73" si="14">J26-N26</f>
        <v>26.625</v>
      </c>
      <c r="AN26" s="77">
        <f t="shared" ref="AN26:AN73" si="15">L26-O26</f>
        <v>0</v>
      </c>
      <c r="AO26" s="74"/>
      <c r="AP26" s="74"/>
      <c r="AQ26" s="74"/>
    </row>
    <row r="27" spans="1:43" ht="33.75" x14ac:dyDescent="0.2">
      <c r="A27" s="350">
        <f>'Bieu CKGN (ko in)'!A19</f>
        <v>2</v>
      </c>
      <c r="B27" s="82" t="s">
        <v>430</v>
      </c>
      <c r="C27" s="287" t="s">
        <v>146</v>
      </c>
      <c r="D27" s="106"/>
      <c r="E27" s="291"/>
      <c r="F27" s="105" t="s">
        <v>431</v>
      </c>
      <c r="G27" s="83">
        <v>9800</v>
      </c>
      <c r="H27" s="83"/>
      <c r="I27" s="83"/>
      <c r="J27" s="186">
        <v>201.38300000000001</v>
      </c>
      <c r="K27" s="84">
        <f>J27</f>
        <v>201.38300000000001</v>
      </c>
      <c r="L27" s="84"/>
      <c r="M27" s="84"/>
      <c r="N27" s="84">
        <f>O27</f>
        <v>0</v>
      </c>
      <c r="O27" s="84"/>
      <c r="P27" s="84"/>
      <c r="Q27" s="84"/>
      <c r="R27" s="87">
        <f t="shared" si="12"/>
        <v>201.38300000000001</v>
      </c>
      <c r="S27" s="87">
        <f>J27</f>
        <v>201.38300000000001</v>
      </c>
      <c r="T27" s="84"/>
      <c r="U27" s="84">
        <f t="shared" si="13"/>
        <v>201.38300000000001</v>
      </c>
      <c r="V27" s="84"/>
      <c r="W27" s="84"/>
      <c r="X27" s="97"/>
      <c r="Y27" s="98"/>
      <c r="Z27" s="98"/>
      <c r="AA27" s="226" t="s">
        <v>125</v>
      </c>
      <c r="AB27" s="233" t="s">
        <v>271</v>
      </c>
      <c r="AM27" s="77">
        <f t="shared" si="14"/>
        <v>201.38300000000001</v>
      </c>
      <c r="AN27" s="77">
        <f t="shared" si="15"/>
        <v>0</v>
      </c>
      <c r="AO27" s="74"/>
      <c r="AP27" s="74"/>
      <c r="AQ27" s="74"/>
    </row>
    <row r="28" spans="1:43" ht="33.75" x14ac:dyDescent="0.2">
      <c r="A28" s="350">
        <v>3</v>
      </c>
      <c r="B28" s="82" t="s">
        <v>432</v>
      </c>
      <c r="C28" s="287" t="s">
        <v>151</v>
      </c>
      <c r="D28" s="106"/>
      <c r="E28" s="105"/>
      <c r="F28" s="105" t="s">
        <v>433</v>
      </c>
      <c r="G28" s="83">
        <v>19700</v>
      </c>
      <c r="H28" s="83"/>
      <c r="I28" s="83"/>
      <c r="J28" s="157">
        <v>156.37799999999999</v>
      </c>
      <c r="K28" s="83"/>
      <c r="L28" s="84">
        <f>H28</f>
        <v>0</v>
      </c>
      <c r="M28" s="84"/>
      <c r="N28" s="84">
        <f t="shared" ref="N28:N30" si="16">O28</f>
        <v>0</v>
      </c>
      <c r="O28" s="292"/>
      <c r="P28" s="84"/>
      <c r="Q28" s="84"/>
      <c r="R28" s="187">
        <f t="shared" si="12"/>
        <v>156.37799999999999</v>
      </c>
      <c r="S28" s="187">
        <f>J28</f>
        <v>156.37799999999999</v>
      </c>
      <c r="T28" s="84"/>
      <c r="U28" s="84"/>
      <c r="V28" s="84"/>
      <c r="W28" s="84"/>
      <c r="X28" s="105"/>
      <c r="Y28" s="207"/>
      <c r="Z28" s="207"/>
      <c r="AA28" s="226" t="s">
        <v>125</v>
      </c>
      <c r="AB28" s="233" t="s">
        <v>271</v>
      </c>
      <c r="AM28" s="77">
        <f t="shared" si="14"/>
        <v>156.37799999999999</v>
      </c>
      <c r="AN28" s="77">
        <f t="shared" si="15"/>
        <v>0</v>
      </c>
      <c r="AO28" s="74"/>
      <c r="AP28" s="74"/>
      <c r="AQ28" s="74"/>
    </row>
    <row r="29" spans="1:43" ht="33.75" x14ac:dyDescent="0.2">
      <c r="A29" s="350">
        <v>4</v>
      </c>
      <c r="B29" s="82" t="s">
        <v>434</v>
      </c>
      <c r="C29" s="287" t="s">
        <v>169</v>
      </c>
      <c r="D29" s="106"/>
      <c r="E29" s="105"/>
      <c r="F29" s="105" t="s">
        <v>435</v>
      </c>
      <c r="G29" s="83">
        <v>11300</v>
      </c>
      <c r="H29" s="83"/>
      <c r="I29" s="83"/>
      <c r="J29" s="157">
        <v>112</v>
      </c>
      <c r="K29" s="83"/>
      <c r="L29" s="84">
        <f>H29</f>
        <v>0</v>
      </c>
      <c r="M29" s="84"/>
      <c r="N29" s="84">
        <f t="shared" si="16"/>
        <v>0</v>
      </c>
      <c r="O29" s="83"/>
      <c r="P29" s="84"/>
      <c r="Q29" s="84"/>
      <c r="R29" s="187">
        <f t="shared" si="12"/>
        <v>112</v>
      </c>
      <c r="S29" s="186">
        <f t="shared" ref="S29:S30" si="17">J29</f>
        <v>112</v>
      </c>
      <c r="T29" s="84"/>
      <c r="U29" s="84"/>
      <c r="V29" s="84"/>
      <c r="W29" s="84"/>
      <c r="X29" s="106"/>
      <c r="Y29" s="208"/>
      <c r="Z29" s="208"/>
      <c r="AA29" s="226" t="s">
        <v>125</v>
      </c>
      <c r="AB29" s="233" t="s">
        <v>271</v>
      </c>
      <c r="AM29" s="77">
        <f t="shared" si="14"/>
        <v>112</v>
      </c>
      <c r="AN29" s="77">
        <f t="shared" si="15"/>
        <v>0</v>
      </c>
      <c r="AO29" s="74"/>
      <c r="AP29" s="74"/>
      <c r="AQ29" s="74"/>
    </row>
    <row r="30" spans="1:43" ht="33.75" x14ac:dyDescent="0.2">
      <c r="A30" s="350">
        <v>5</v>
      </c>
      <c r="B30" s="82" t="s">
        <v>436</v>
      </c>
      <c r="C30" s="287" t="s">
        <v>229</v>
      </c>
      <c r="D30" s="106"/>
      <c r="E30" s="105"/>
      <c r="F30" s="105" t="s">
        <v>437</v>
      </c>
      <c r="G30" s="83">
        <v>10000</v>
      </c>
      <c r="H30" s="83"/>
      <c r="I30" s="83"/>
      <c r="J30" s="157">
        <v>31</v>
      </c>
      <c r="K30" s="83"/>
      <c r="L30" s="84">
        <f t="shared" ref="L30" si="18">H30</f>
        <v>0</v>
      </c>
      <c r="M30" s="84"/>
      <c r="N30" s="187">
        <f t="shared" si="16"/>
        <v>0</v>
      </c>
      <c r="O30" s="157"/>
      <c r="P30" s="84"/>
      <c r="Q30" s="84"/>
      <c r="R30" s="186">
        <f t="shared" si="12"/>
        <v>31</v>
      </c>
      <c r="S30" s="186">
        <f t="shared" si="17"/>
        <v>31</v>
      </c>
      <c r="T30" s="84"/>
      <c r="U30" s="84"/>
      <c r="V30" s="84"/>
      <c r="W30" s="84"/>
      <c r="X30" s="105"/>
      <c r="Y30" s="207"/>
      <c r="Z30" s="207"/>
      <c r="AA30" s="226" t="s">
        <v>125</v>
      </c>
      <c r="AB30" s="233" t="s">
        <v>271</v>
      </c>
      <c r="AM30" s="77">
        <f t="shared" si="14"/>
        <v>31</v>
      </c>
      <c r="AN30" s="77">
        <f t="shared" si="15"/>
        <v>0</v>
      </c>
      <c r="AO30" s="74"/>
      <c r="AP30" s="74"/>
      <c r="AQ30" s="74"/>
    </row>
    <row r="31" spans="1:43" s="95" customFormat="1" ht="13.5" x14ac:dyDescent="0.2">
      <c r="A31" s="353" t="s">
        <v>30</v>
      </c>
      <c r="B31" s="152" t="s">
        <v>438</v>
      </c>
      <c r="C31" s="154"/>
      <c r="D31" s="154"/>
      <c r="E31" s="154"/>
      <c r="F31" s="180"/>
      <c r="G31" s="155">
        <f>SUM(G32)</f>
        <v>14990</v>
      </c>
      <c r="H31" s="155">
        <f t="shared" ref="H31:S31" si="19">SUM(H32)</f>
        <v>0</v>
      </c>
      <c r="I31" s="155">
        <f t="shared" si="19"/>
        <v>5548</v>
      </c>
      <c r="J31" s="155">
        <f t="shared" si="19"/>
        <v>4720</v>
      </c>
      <c r="K31" s="155">
        <f t="shared" si="19"/>
        <v>4720</v>
      </c>
      <c r="L31" s="155">
        <f t="shared" si="19"/>
        <v>4500</v>
      </c>
      <c r="M31" s="155">
        <f t="shared" si="19"/>
        <v>0</v>
      </c>
      <c r="N31" s="155">
        <f t="shared" si="19"/>
        <v>0</v>
      </c>
      <c r="O31" s="155">
        <f t="shared" si="19"/>
        <v>0</v>
      </c>
      <c r="P31" s="155">
        <f t="shared" si="19"/>
        <v>0</v>
      </c>
      <c r="Q31" s="155">
        <f t="shared" si="19"/>
        <v>0</v>
      </c>
      <c r="R31" s="155">
        <f t="shared" si="19"/>
        <v>4720</v>
      </c>
      <c r="S31" s="155">
        <f t="shared" si="19"/>
        <v>4720</v>
      </c>
      <c r="T31" s="155">
        <f t="shared" ref="T31:V31" si="20">SUM(T32)</f>
        <v>0</v>
      </c>
      <c r="U31" s="155">
        <f t="shared" si="20"/>
        <v>4720</v>
      </c>
      <c r="V31" s="155">
        <f t="shared" si="20"/>
        <v>0</v>
      </c>
      <c r="W31" s="155"/>
      <c r="X31" s="354"/>
      <c r="Y31" s="205"/>
      <c r="Z31" s="205"/>
      <c r="AA31" s="227"/>
      <c r="AB31" s="231"/>
      <c r="AM31" s="77"/>
      <c r="AN31" s="77"/>
    </row>
    <row r="32" spans="1:43" s="85" customFormat="1" ht="33.75" x14ac:dyDescent="0.2">
      <c r="A32" s="350">
        <f>'Bieu CKGN (ko in)'!A25</f>
        <v>1</v>
      </c>
      <c r="B32" s="82" t="str">
        <f>'Bieu CKGN (ko in)'!B25</f>
        <v>Nâng cấp hệ thống nước sinh hoạt thị trấn Mường Tè</v>
      </c>
      <c r="C32" s="105" t="s">
        <v>145</v>
      </c>
      <c r="D32" s="106"/>
      <c r="E32" s="106"/>
      <c r="F32" s="105" t="str">
        <f>'Bieu CKGN (ko in)'!C25</f>
        <v>1626-06/12/2021</v>
      </c>
      <c r="G32" s="83">
        <f>'Bieu CKGN (ko in)'!D25</f>
        <v>14990</v>
      </c>
      <c r="H32" s="83"/>
      <c r="I32" s="83">
        <v>5548</v>
      </c>
      <c r="J32" s="83">
        <v>4720</v>
      </c>
      <c r="K32" s="83">
        <f>J32</f>
        <v>4720</v>
      </c>
      <c r="L32" s="84">
        <v>4500</v>
      </c>
      <c r="M32" s="84"/>
      <c r="N32" s="94"/>
      <c r="O32" s="84"/>
      <c r="P32" s="84"/>
      <c r="Q32" s="84"/>
      <c r="R32" s="84">
        <f t="shared" ref="R32" si="21">S32</f>
        <v>4720</v>
      </c>
      <c r="S32" s="84">
        <f>J32</f>
        <v>4720</v>
      </c>
      <c r="T32" s="84"/>
      <c r="U32" s="84">
        <f>J32-N32</f>
        <v>4720</v>
      </c>
      <c r="V32" s="84"/>
      <c r="W32" s="84"/>
      <c r="X32" s="97"/>
      <c r="Y32" s="209"/>
      <c r="Z32" s="209"/>
      <c r="AA32" s="226" t="s">
        <v>123</v>
      </c>
      <c r="AB32" s="233" t="s">
        <v>271</v>
      </c>
      <c r="AD32" s="86"/>
      <c r="AM32" s="77">
        <f t="shared" si="14"/>
        <v>4720</v>
      </c>
      <c r="AN32" s="77">
        <f t="shared" si="15"/>
        <v>4500</v>
      </c>
    </row>
    <row r="33" spans="1:54" x14ac:dyDescent="0.2">
      <c r="A33" s="352" t="str">
        <f>'Bieu CKGN (ko in)'!A26</f>
        <v>B</v>
      </c>
      <c r="B33" s="160" t="str">
        <f>'Bieu CKGN (ko in)'!B26</f>
        <v>Cấp huyện quản lý</v>
      </c>
      <c r="C33" s="164"/>
      <c r="D33" s="164"/>
      <c r="E33" s="164"/>
      <c r="F33" s="105"/>
      <c r="G33" s="162">
        <f>G34+G80</f>
        <v>894898</v>
      </c>
      <c r="H33" s="162">
        <f t="shared" ref="H33:S33" si="22">H34+H80</f>
        <v>127056.784</v>
      </c>
      <c r="I33" s="162">
        <f t="shared" si="22"/>
        <v>202964.49300000002</v>
      </c>
      <c r="J33" s="162">
        <f t="shared" si="22"/>
        <v>184327.11600000001</v>
      </c>
      <c r="K33" s="162">
        <f t="shared" si="22"/>
        <v>36626.807000000001</v>
      </c>
      <c r="L33" s="162">
        <f t="shared" si="22"/>
        <v>160889.45000000001</v>
      </c>
      <c r="M33" s="162">
        <f t="shared" si="22"/>
        <v>0</v>
      </c>
      <c r="N33" s="162">
        <f t="shared" si="22"/>
        <v>27798.744999999999</v>
      </c>
      <c r="O33" s="162">
        <f t="shared" si="22"/>
        <v>21597.744999999999</v>
      </c>
      <c r="P33" s="162">
        <f t="shared" si="22"/>
        <v>0</v>
      </c>
      <c r="Q33" s="162">
        <f t="shared" si="22"/>
        <v>0</v>
      </c>
      <c r="R33" s="162">
        <f t="shared" si="22"/>
        <v>180709.807</v>
      </c>
      <c r="S33" s="162">
        <f t="shared" si="22"/>
        <v>184327.11600000001</v>
      </c>
      <c r="T33" s="162" t="e">
        <f t="shared" ref="T33:V33" si="23">T35+T70+T80</f>
        <v>#REF!</v>
      </c>
      <c r="U33" s="162" t="e">
        <f t="shared" si="23"/>
        <v>#REF!</v>
      </c>
      <c r="V33" s="162" t="e">
        <f t="shared" si="23"/>
        <v>#REF!</v>
      </c>
      <c r="W33" s="282">
        <f>N33/J33%</f>
        <v>15.081202160185699</v>
      </c>
      <c r="X33" s="97"/>
      <c r="Y33" s="203"/>
      <c r="Z33" s="203"/>
      <c r="AB33" s="229"/>
      <c r="AM33" s="77"/>
      <c r="AN33" s="77"/>
      <c r="AO33" s="74"/>
      <c r="AP33" s="74"/>
      <c r="AQ33" s="74"/>
    </row>
    <row r="34" spans="1:54" x14ac:dyDescent="0.2">
      <c r="A34" s="352" t="s">
        <v>15</v>
      </c>
      <c r="B34" s="160" t="s">
        <v>541</v>
      </c>
      <c r="C34" s="164"/>
      <c r="D34" s="164"/>
      <c r="E34" s="164"/>
      <c r="F34" s="105"/>
      <c r="G34" s="162">
        <f>G35+G70</f>
        <v>437601</v>
      </c>
      <c r="H34" s="162">
        <f t="shared" ref="H34:S34" si="24">H35+H70</f>
        <v>127056.784</v>
      </c>
      <c r="I34" s="162">
        <f t="shared" si="24"/>
        <v>65396.493000000002</v>
      </c>
      <c r="J34" s="162">
        <f t="shared" si="24"/>
        <v>46688.116000000002</v>
      </c>
      <c r="K34" s="162">
        <f t="shared" si="24"/>
        <v>36626.807000000001</v>
      </c>
      <c r="L34" s="162">
        <f t="shared" si="24"/>
        <v>93007.45</v>
      </c>
      <c r="M34" s="162">
        <f t="shared" si="24"/>
        <v>0</v>
      </c>
      <c r="N34" s="162">
        <f t="shared" si="24"/>
        <v>18365.907999999999</v>
      </c>
      <c r="O34" s="162">
        <f t="shared" si="24"/>
        <v>14065.907999999999</v>
      </c>
      <c r="P34" s="162">
        <f t="shared" si="24"/>
        <v>0</v>
      </c>
      <c r="Q34" s="162">
        <f t="shared" si="24"/>
        <v>0</v>
      </c>
      <c r="R34" s="162">
        <f t="shared" si="24"/>
        <v>45499.807000000001</v>
      </c>
      <c r="S34" s="162">
        <f t="shared" si="24"/>
        <v>46688.116000000002</v>
      </c>
      <c r="T34" s="162"/>
      <c r="U34" s="162"/>
      <c r="V34" s="162"/>
      <c r="W34" s="282"/>
      <c r="X34" s="97"/>
      <c r="Y34" s="204"/>
      <c r="Z34" s="204"/>
      <c r="AA34" s="237"/>
      <c r="AB34" s="229"/>
      <c r="AM34" s="77"/>
      <c r="AN34" s="77"/>
      <c r="AO34" s="74"/>
      <c r="AP34" s="74"/>
      <c r="AQ34" s="74"/>
    </row>
    <row r="35" spans="1:54" x14ac:dyDescent="0.2">
      <c r="A35" s="352" t="s">
        <v>463</v>
      </c>
      <c r="B35" s="160" t="s">
        <v>473</v>
      </c>
      <c r="C35" s="164"/>
      <c r="D35" s="164"/>
      <c r="E35" s="164"/>
      <c r="F35" s="105"/>
      <c r="G35" s="162">
        <f>G36+G64</f>
        <v>403271</v>
      </c>
      <c r="H35" s="162">
        <f t="shared" ref="H35:V35" si="25">H36+H64</f>
        <v>99573.784</v>
      </c>
      <c r="I35" s="162">
        <f t="shared" si="25"/>
        <v>53660.493000000002</v>
      </c>
      <c r="J35" s="162">
        <f t="shared" si="25"/>
        <v>33888.116000000002</v>
      </c>
      <c r="K35" s="162">
        <f t="shared" si="25"/>
        <v>26083.807000000001</v>
      </c>
      <c r="L35" s="162">
        <f t="shared" si="25"/>
        <v>75688.45</v>
      </c>
      <c r="M35" s="162">
        <f t="shared" si="25"/>
        <v>0</v>
      </c>
      <c r="N35" s="162">
        <f t="shared" si="25"/>
        <v>18365.907999999999</v>
      </c>
      <c r="O35" s="162">
        <f t="shared" si="25"/>
        <v>14065.907999999999</v>
      </c>
      <c r="P35" s="162">
        <f t="shared" si="25"/>
        <v>0</v>
      </c>
      <c r="Q35" s="162">
        <f t="shared" si="25"/>
        <v>0</v>
      </c>
      <c r="R35" s="162">
        <f t="shared" si="25"/>
        <v>32699.807000000001</v>
      </c>
      <c r="S35" s="162">
        <f t="shared" si="25"/>
        <v>33888.116000000002</v>
      </c>
      <c r="T35" s="162" t="e">
        <f t="shared" si="25"/>
        <v>#REF!</v>
      </c>
      <c r="U35" s="162" t="e">
        <f t="shared" si="25"/>
        <v>#REF!</v>
      </c>
      <c r="V35" s="162" t="e">
        <f t="shared" si="25"/>
        <v>#REF!</v>
      </c>
      <c r="W35" s="282"/>
      <c r="X35" s="97"/>
      <c r="Y35" s="210"/>
      <c r="Z35" s="210"/>
      <c r="AA35" s="237"/>
      <c r="AB35" s="229"/>
      <c r="AM35" s="77"/>
      <c r="AN35" s="77"/>
      <c r="AO35" s="74"/>
      <c r="AP35" s="74"/>
      <c r="AQ35" s="74"/>
    </row>
    <row r="36" spans="1:54" x14ac:dyDescent="0.2">
      <c r="A36" s="352" t="s">
        <v>542</v>
      </c>
      <c r="B36" s="160" t="s">
        <v>14</v>
      </c>
      <c r="C36" s="164"/>
      <c r="D36" s="164"/>
      <c r="E36" s="164"/>
      <c r="F36" s="105"/>
      <c r="G36" s="162">
        <f>G37+G42+G46+G55+G59</f>
        <v>389319</v>
      </c>
      <c r="H36" s="162">
        <f t="shared" ref="H36:S36" si="26">H37+H42+H46+H55+H59</f>
        <v>86393.784</v>
      </c>
      <c r="I36" s="162">
        <f t="shared" si="26"/>
        <v>52019.493000000002</v>
      </c>
      <c r="J36" s="162">
        <f t="shared" si="26"/>
        <v>27272.116000000002</v>
      </c>
      <c r="K36" s="162">
        <f t="shared" si="26"/>
        <v>26083.807000000001</v>
      </c>
      <c r="L36" s="162">
        <f t="shared" si="26"/>
        <v>74450.584999999992</v>
      </c>
      <c r="M36" s="162">
        <f t="shared" si="26"/>
        <v>0</v>
      </c>
      <c r="N36" s="162">
        <f t="shared" si="26"/>
        <v>17020.338</v>
      </c>
      <c r="O36" s="162">
        <f t="shared" si="26"/>
        <v>13470.338</v>
      </c>
      <c r="P36" s="162">
        <f t="shared" si="26"/>
        <v>0</v>
      </c>
      <c r="Q36" s="162">
        <f t="shared" si="26"/>
        <v>0</v>
      </c>
      <c r="R36" s="162">
        <f t="shared" si="26"/>
        <v>26083.807000000001</v>
      </c>
      <c r="S36" s="162">
        <f t="shared" si="26"/>
        <v>27272.116000000002</v>
      </c>
      <c r="T36" s="162" t="e">
        <f>T37+T42+T46+#REF!+T55</f>
        <v>#REF!</v>
      </c>
      <c r="U36" s="162" t="e">
        <f>U37+U42+U46+#REF!+U55</f>
        <v>#REF!</v>
      </c>
      <c r="V36" s="162" t="e">
        <f>V37+V42+V46+#REF!+V55</f>
        <v>#REF!</v>
      </c>
      <c r="W36" s="281">
        <f>N36/J36%</f>
        <v>62.409304800551595</v>
      </c>
      <c r="X36" s="97"/>
      <c r="Y36" s="211"/>
      <c r="Z36" s="211"/>
      <c r="AB36" s="229"/>
      <c r="AC36" s="77" t="e">
        <f>J36+J24+J70+#REF!</f>
        <v>#REF!</v>
      </c>
      <c r="AE36" s="77" t="e">
        <f>N24+N36+#REF!</f>
        <v>#REF!</v>
      </c>
      <c r="AF36" s="74" t="e">
        <f>AE36/AC36*100</f>
        <v>#REF!</v>
      </c>
      <c r="AM36" s="77"/>
      <c r="AN36" s="77"/>
      <c r="AO36" s="74"/>
      <c r="AP36" s="74"/>
      <c r="AQ36" s="74"/>
    </row>
    <row r="37" spans="1:54" s="95" customFormat="1" ht="13.5" x14ac:dyDescent="0.2">
      <c r="A37" s="353" t="str">
        <f>'Bieu CKGN (ko in)'!A28</f>
        <v>a</v>
      </c>
      <c r="B37" s="152" t="s">
        <v>442</v>
      </c>
      <c r="C37" s="154"/>
      <c r="D37" s="154"/>
      <c r="E37" s="154"/>
      <c r="F37" s="180"/>
      <c r="G37" s="184">
        <f>SUM(G38:G41)</f>
        <v>294602</v>
      </c>
      <c r="H37" s="184">
        <f t="shared" ref="H37:V37" si="27">SUM(H38:H41)</f>
        <v>0</v>
      </c>
      <c r="I37" s="184">
        <f t="shared" si="27"/>
        <v>0</v>
      </c>
      <c r="J37" s="184">
        <f t="shared" si="27"/>
        <v>1188.3089999999997</v>
      </c>
      <c r="K37" s="184">
        <f t="shared" si="27"/>
        <v>0</v>
      </c>
      <c r="L37" s="184">
        <f t="shared" si="27"/>
        <v>0</v>
      </c>
      <c r="M37" s="184">
        <f t="shared" si="27"/>
        <v>0</v>
      </c>
      <c r="N37" s="184">
        <f t="shared" si="27"/>
        <v>69.337999999999994</v>
      </c>
      <c r="O37" s="184">
        <f t="shared" si="27"/>
        <v>69.337999999999994</v>
      </c>
      <c r="P37" s="184">
        <f t="shared" si="27"/>
        <v>0</v>
      </c>
      <c r="Q37" s="184">
        <f t="shared" si="27"/>
        <v>0</v>
      </c>
      <c r="R37" s="184">
        <f t="shared" si="27"/>
        <v>0</v>
      </c>
      <c r="S37" s="184">
        <f t="shared" si="27"/>
        <v>1188.3089999999997</v>
      </c>
      <c r="T37" s="184">
        <f t="shared" si="27"/>
        <v>0</v>
      </c>
      <c r="U37" s="184">
        <f t="shared" si="27"/>
        <v>0</v>
      </c>
      <c r="V37" s="184">
        <f t="shared" si="27"/>
        <v>0</v>
      </c>
      <c r="W37" s="156"/>
      <c r="X37" s="354"/>
      <c r="Y37" s="205"/>
      <c r="Z37" s="205"/>
      <c r="AA37" s="227"/>
      <c r="AB37" s="231"/>
      <c r="AM37" s="77"/>
      <c r="AN37" s="77"/>
    </row>
    <row r="38" spans="1:54" s="147" customFormat="1" ht="33.75" x14ac:dyDescent="0.2">
      <c r="A38" s="350">
        <v>1</v>
      </c>
      <c r="B38" s="82" t="s">
        <v>443</v>
      </c>
      <c r="C38" s="293" t="s">
        <v>264</v>
      </c>
      <c r="D38" s="294" t="s">
        <v>447</v>
      </c>
      <c r="E38" s="295" t="s">
        <v>449</v>
      </c>
      <c r="F38" s="223" t="s">
        <v>451</v>
      </c>
      <c r="G38" s="83">
        <v>14000</v>
      </c>
      <c r="H38" s="188"/>
      <c r="I38" s="83"/>
      <c r="J38" s="296">
        <v>473.98399999999998</v>
      </c>
      <c r="K38" s="83"/>
      <c r="L38" s="84"/>
      <c r="M38" s="84"/>
      <c r="N38" s="187">
        <f t="shared" ref="N38:N41" si="28">O38</f>
        <v>0</v>
      </c>
      <c r="O38" s="187"/>
      <c r="P38" s="84"/>
      <c r="Q38" s="84"/>
      <c r="R38" s="84"/>
      <c r="S38" s="296">
        <f>J38</f>
        <v>473.98399999999998</v>
      </c>
      <c r="T38" s="84"/>
      <c r="U38" s="84"/>
      <c r="V38" s="84"/>
      <c r="W38" s="84"/>
      <c r="X38" s="97"/>
      <c r="Y38" s="98"/>
      <c r="Z38" s="98"/>
      <c r="AA38" s="226" t="s">
        <v>125</v>
      </c>
      <c r="AB38" s="233" t="s">
        <v>271</v>
      </c>
      <c r="AC38" s="74"/>
      <c r="AD38" s="74"/>
      <c r="AE38" s="74"/>
      <c r="AF38" s="74"/>
      <c r="AG38" s="74"/>
      <c r="AL38" s="74"/>
      <c r="AM38" s="77"/>
      <c r="AN38" s="77"/>
      <c r="AO38" s="74"/>
      <c r="AP38" s="74"/>
      <c r="AQ38" s="74"/>
      <c r="AR38" s="74"/>
      <c r="AS38" s="74"/>
      <c r="AT38" s="74"/>
      <c r="AU38" s="74"/>
      <c r="AV38" s="74"/>
      <c r="AW38" s="74"/>
      <c r="AX38" s="74"/>
      <c r="AY38" s="74"/>
      <c r="AZ38" s="74"/>
      <c r="BA38" s="74"/>
      <c r="BB38" s="74"/>
    </row>
    <row r="39" spans="1:54" s="148" customFormat="1" ht="33.75" x14ac:dyDescent="0.2">
      <c r="A39" s="350">
        <v>2</v>
      </c>
      <c r="B39" s="82" t="s">
        <v>444</v>
      </c>
      <c r="C39" s="293" t="s">
        <v>262</v>
      </c>
      <c r="D39" s="224" t="s">
        <v>448</v>
      </c>
      <c r="E39" s="297" t="s">
        <v>450</v>
      </c>
      <c r="F39" s="223" t="s">
        <v>452</v>
      </c>
      <c r="G39" s="83">
        <v>211656</v>
      </c>
      <c r="H39" s="188"/>
      <c r="I39" s="83"/>
      <c r="J39" s="296">
        <v>146.08000000000001</v>
      </c>
      <c r="K39" s="83"/>
      <c r="L39" s="84"/>
      <c r="M39" s="84"/>
      <c r="N39" s="187">
        <f t="shared" si="28"/>
        <v>0</v>
      </c>
      <c r="O39" s="187"/>
      <c r="P39" s="84"/>
      <c r="Q39" s="84"/>
      <c r="R39" s="84"/>
      <c r="S39" s="296">
        <f t="shared" ref="S39:S41" si="29">J39</f>
        <v>146.08000000000001</v>
      </c>
      <c r="T39" s="84"/>
      <c r="U39" s="84"/>
      <c r="V39" s="84"/>
      <c r="W39" s="84"/>
      <c r="X39" s="97"/>
      <c r="Y39" s="98"/>
      <c r="Z39" s="98"/>
      <c r="AA39" s="226" t="s">
        <v>125</v>
      </c>
      <c r="AB39" s="233" t="s">
        <v>271</v>
      </c>
      <c r="AC39" s="74"/>
      <c r="AD39" s="74"/>
      <c r="AE39" s="74"/>
      <c r="AF39" s="74"/>
      <c r="AG39" s="74"/>
      <c r="AL39" s="74"/>
      <c r="AM39" s="77"/>
      <c r="AN39" s="77"/>
      <c r="AO39" s="74"/>
      <c r="AP39" s="74"/>
      <c r="AQ39" s="74"/>
      <c r="AR39" s="74"/>
      <c r="AS39" s="74"/>
      <c r="AT39" s="74"/>
      <c r="AU39" s="74"/>
      <c r="AV39" s="74"/>
      <c r="AW39" s="74"/>
      <c r="AX39" s="74"/>
      <c r="AY39" s="74"/>
      <c r="AZ39" s="74"/>
      <c r="BA39" s="74"/>
      <c r="BB39" s="74"/>
    </row>
    <row r="40" spans="1:54" s="148" customFormat="1" ht="33.75" x14ac:dyDescent="0.2">
      <c r="A40" s="350">
        <v>3</v>
      </c>
      <c r="B40" s="82" t="s">
        <v>445</v>
      </c>
      <c r="C40" s="293" t="s">
        <v>260</v>
      </c>
      <c r="D40" s="224"/>
      <c r="E40" s="297"/>
      <c r="F40" s="223" t="s">
        <v>453</v>
      </c>
      <c r="G40" s="83">
        <v>68046</v>
      </c>
      <c r="H40" s="188"/>
      <c r="I40" s="83"/>
      <c r="J40" s="296">
        <v>444</v>
      </c>
      <c r="K40" s="83"/>
      <c r="L40" s="84"/>
      <c r="M40" s="84"/>
      <c r="N40" s="187">
        <f t="shared" si="28"/>
        <v>0</v>
      </c>
      <c r="O40" s="187"/>
      <c r="P40" s="187"/>
      <c r="Q40" s="187"/>
      <c r="R40" s="84"/>
      <c r="S40" s="296">
        <f t="shared" si="29"/>
        <v>444</v>
      </c>
      <c r="T40" s="187"/>
      <c r="U40" s="84"/>
      <c r="V40" s="84"/>
      <c r="W40" s="84"/>
      <c r="X40" s="97"/>
      <c r="Y40" s="98"/>
      <c r="Z40" s="98"/>
      <c r="AA40" s="226" t="s">
        <v>125</v>
      </c>
      <c r="AB40" s="233" t="s">
        <v>271</v>
      </c>
      <c r="AC40" s="74"/>
      <c r="AD40" s="74"/>
      <c r="AE40" s="74"/>
      <c r="AF40" s="74"/>
      <c r="AG40" s="74"/>
      <c r="AL40" s="74"/>
      <c r="AM40" s="77"/>
      <c r="AN40" s="77"/>
      <c r="AO40" s="74"/>
      <c r="AP40" s="74"/>
      <c r="AQ40" s="74"/>
      <c r="AR40" s="74"/>
      <c r="AS40" s="74"/>
      <c r="AT40" s="74"/>
      <c r="AU40" s="74"/>
      <c r="AV40" s="74"/>
      <c r="AW40" s="74"/>
      <c r="AX40" s="74"/>
      <c r="AY40" s="74"/>
      <c r="AZ40" s="74"/>
      <c r="BA40" s="74"/>
      <c r="BB40" s="74"/>
    </row>
    <row r="41" spans="1:54" s="148" customFormat="1" ht="33.75" x14ac:dyDescent="0.2">
      <c r="A41" s="350">
        <v>4</v>
      </c>
      <c r="B41" s="82" t="s">
        <v>446</v>
      </c>
      <c r="C41" s="293" t="s">
        <v>261</v>
      </c>
      <c r="D41" s="224"/>
      <c r="E41" s="297"/>
      <c r="F41" s="223" t="s">
        <v>454</v>
      </c>
      <c r="G41" s="83">
        <v>900</v>
      </c>
      <c r="H41" s="188"/>
      <c r="I41" s="83"/>
      <c r="J41" s="296">
        <v>124.245</v>
      </c>
      <c r="K41" s="83"/>
      <c r="L41" s="298"/>
      <c r="M41" s="84"/>
      <c r="N41" s="187">
        <f t="shared" si="28"/>
        <v>69.337999999999994</v>
      </c>
      <c r="O41" s="187">
        <v>69.337999999999994</v>
      </c>
      <c r="P41" s="84"/>
      <c r="Q41" s="84"/>
      <c r="R41" s="84"/>
      <c r="S41" s="296">
        <f t="shared" si="29"/>
        <v>124.245</v>
      </c>
      <c r="T41" s="84"/>
      <c r="U41" s="84"/>
      <c r="V41" s="84"/>
      <c r="W41" s="84"/>
      <c r="X41" s="355"/>
      <c r="Y41" s="212"/>
      <c r="Z41" s="212"/>
      <c r="AA41" s="226" t="s">
        <v>125</v>
      </c>
      <c r="AB41" s="233" t="s">
        <v>271</v>
      </c>
      <c r="AC41" s="77"/>
      <c r="AD41" s="74"/>
      <c r="AE41" s="74"/>
      <c r="AF41" s="74"/>
      <c r="AG41" s="74"/>
      <c r="AL41" s="74"/>
      <c r="AM41" s="77"/>
      <c r="AN41" s="77"/>
      <c r="AO41" s="74"/>
      <c r="AP41" s="74"/>
      <c r="AQ41" s="74"/>
      <c r="AR41" s="74"/>
      <c r="AS41" s="74"/>
      <c r="AT41" s="74"/>
      <c r="AU41" s="74"/>
      <c r="AV41" s="74"/>
      <c r="AW41" s="74"/>
      <c r="AX41" s="74"/>
      <c r="AY41" s="74"/>
      <c r="AZ41" s="74"/>
      <c r="BA41" s="74"/>
      <c r="BB41" s="74"/>
    </row>
    <row r="42" spans="1:54" s="149" customFormat="1" ht="27" x14ac:dyDescent="0.2">
      <c r="A42" s="353" t="s">
        <v>30</v>
      </c>
      <c r="B42" s="152" t="str">
        <f>'Bieu CKGN (ko in)'!B35</f>
        <v>Dự án hoàn thành bàn giao, đưa vào sử dụng trước ngày 31/12/2021</v>
      </c>
      <c r="C42" s="154"/>
      <c r="D42" s="154"/>
      <c r="E42" s="154"/>
      <c r="F42" s="180"/>
      <c r="G42" s="155">
        <f>SUM(G43:G45)</f>
        <v>20747</v>
      </c>
      <c r="H42" s="155">
        <f>SUM(H43:H45)</f>
        <v>20236</v>
      </c>
      <c r="I42" s="155">
        <f>SUM(I43:I45)</f>
        <v>19861.084999999999</v>
      </c>
      <c r="J42" s="155">
        <f t="shared" ref="J42:V42" si="30">SUM(J43:J45)</f>
        <v>370.93799999999999</v>
      </c>
      <c r="K42" s="155">
        <f t="shared" si="30"/>
        <v>370.93799999999999</v>
      </c>
      <c r="L42" s="156">
        <f>SUM(L43:L45)</f>
        <v>20138</v>
      </c>
      <c r="M42" s="156">
        <f>SUM(M43:M45)</f>
        <v>0</v>
      </c>
      <c r="N42" s="156">
        <f t="shared" si="30"/>
        <v>0</v>
      </c>
      <c r="O42" s="156">
        <f t="shared" si="30"/>
        <v>0</v>
      </c>
      <c r="P42" s="156">
        <f t="shared" si="30"/>
        <v>0</v>
      </c>
      <c r="Q42" s="156">
        <f t="shared" si="30"/>
        <v>0</v>
      </c>
      <c r="R42" s="156">
        <f t="shared" si="30"/>
        <v>370.93799999999999</v>
      </c>
      <c r="S42" s="156">
        <f t="shared" si="30"/>
        <v>370.93799999999999</v>
      </c>
      <c r="T42" s="156">
        <f t="shared" si="30"/>
        <v>0</v>
      </c>
      <c r="U42" s="156">
        <f t="shared" si="30"/>
        <v>370.93799999999999</v>
      </c>
      <c r="V42" s="156">
        <f t="shared" si="30"/>
        <v>0</v>
      </c>
      <c r="W42" s="156"/>
      <c r="X42" s="354"/>
      <c r="Y42" s="205"/>
      <c r="Z42" s="205"/>
      <c r="AA42" s="227"/>
      <c r="AB42" s="231"/>
      <c r="AC42" s="95"/>
      <c r="AD42" s="95"/>
      <c r="AE42" s="95"/>
      <c r="AF42" s="95"/>
      <c r="AG42" s="95"/>
      <c r="AL42" s="95"/>
      <c r="AM42" s="77"/>
      <c r="AN42" s="77"/>
      <c r="AO42" s="95"/>
      <c r="AP42" s="95"/>
      <c r="AQ42" s="95"/>
      <c r="AR42" s="95"/>
      <c r="AS42" s="95"/>
      <c r="AT42" s="95"/>
      <c r="AU42" s="95"/>
      <c r="AV42" s="95"/>
      <c r="AW42" s="95"/>
      <c r="AX42" s="95"/>
      <c r="AY42" s="95"/>
      <c r="AZ42" s="95"/>
      <c r="BA42" s="95"/>
      <c r="BB42" s="95"/>
    </row>
    <row r="43" spans="1:54" s="148" customFormat="1" ht="24" x14ac:dyDescent="0.2">
      <c r="A43" s="350">
        <f>'Bieu CKGN (ko in)'!A36</f>
        <v>1</v>
      </c>
      <c r="B43" s="82" t="str">
        <f>'Bieu CKGN (ko in)'!B36</f>
        <v>Mặt bằng hạ tầng kỹ thuật điểm ĐCĐC  Là Si, xã Tá Bạ</v>
      </c>
      <c r="C43" s="287" t="s">
        <v>147</v>
      </c>
      <c r="D43" s="106"/>
      <c r="E43" s="106"/>
      <c r="F43" s="105" t="str">
        <f>'Bieu CKGN (ko in)'!C36</f>
        <v>2048-31/10/18</v>
      </c>
      <c r="G43" s="83">
        <f>'Bieu CKGN (ko in)'!D36</f>
        <v>6997</v>
      </c>
      <c r="H43" s="188">
        <v>6650</v>
      </c>
      <c r="I43" s="83">
        <f>5800+682.085</f>
        <v>6482.085</v>
      </c>
      <c r="J43" s="157">
        <v>168.69800000000001</v>
      </c>
      <c r="K43" s="83">
        <f>J43</f>
        <v>168.69800000000001</v>
      </c>
      <c r="L43" s="299">
        <v>6650</v>
      </c>
      <c r="M43" s="84"/>
      <c r="N43" s="84">
        <f>O43</f>
        <v>0</v>
      </c>
      <c r="O43" s="84"/>
      <c r="P43" s="84"/>
      <c r="Q43" s="84"/>
      <c r="R43" s="187">
        <f t="shared" ref="R43:R54" si="31">S43</f>
        <v>168.69800000000001</v>
      </c>
      <c r="S43" s="187">
        <f t="shared" ref="S43:S54" si="32">J43</f>
        <v>168.69800000000001</v>
      </c>
      <c r="T43" s="84"/>
      <c r="U43" s="84">
        <f t="shared" ref="U43:U54" si="33">J43-N43</f>
        <v>168.69800000000001</v>
      </c>
      <c r="V43" s="84"/>
      <c r="W43" s="84"/>
      <c r="X43" s="97"/>
      <c r="Y43" s="98"/>
      <c r="Z43" s="98"/>
      <c r="AA43" s="226" t="s">
        <v>126</v>
      </c>
      <c r="AB43" s="233" t="s">
        <v>271</v>
      </c>
      <c r="AC43" s="74"/>
      <c r="AD43" s="74"/>
      <c r="AE43" s="74"/>
      <c r="AF43" s="74"/>
      <c r="AG43" s="74">
        <f>1000</f>
        <v>1000</v>
      </c>
      <c r="AH43" s="148">
        <f>AF43+AG43</f>
        <v>1000</v>
      </c>
      <c r="AL43" s="74"/>
      <c r="AM43" s="77">
        <f t="shared" si="14"/>
        <v>168.69800000000001</v>
      </c>
      <c r="AN43" s="77">
        <f t="shared" si="15"/>
        <v>6650</v>
      </c>
      <c r="AO43" s="74"/>
      <c r="AP43" s="74"/>
      <c r="AQ43" s="74"/>
      <c r="AR43" s="74"/>
      <c r="AS43" s="74"/>
      <c r="AT43" s="74"/>
      <c r="AU43" s="74"/>
      <c r="AV43" s="74"/>
      <c r="AW43" s="74"/>
      <c r="AX43" s="74"/>
      <c r="AY43" s="74"/>
      <c r="AZ43" s="74"/>
      <c r="BA43" s="74"/>
      <c r="BB43" s="74"/>
    </row>
    <row r="44" spans="1:54" s="148" customFormat="1" ht="24" x14ac:dyDescent="0.2">
      <c r="A44" s="350">
        <f>'Bieu CKGN (ko in)'!A37</f>
        <v>2</v>
      </c>
      <c r="B44" s="82" t="str">
        <f>'Bieu CKGN (ko in)'!B37</f>
        <v>Xây dựng phòng họp Huyện ủy, huyện Mường Tè</v>
      </c>
      <c r="C44" s="287" t="s">
        <v>143</v>
      </c>
      <c r="D44" s="106"/>
      <c r="E44" s="105" t="s">
        <v>164</v>
      </c>
      <c r="F44" s="105" t="str">
        <f>'Bieu CKGN (ko in)'!C37</f>
        <v>2824-18/10/19</v>
      </c>
      <c r="G44" s="83">
        <f>'Bieu CKGN (ko in)'!D37</f>
        <v>6800</v>
      </c>
      <c r="H44" s="188">
        <v>6788</v>
      </c>
      <c r="I44" s="83">
        <f>4925+1710</f>
        <v>6635</v>
      </c>
      <c r="J44" s="157">
        <v>153.24</v>
      </c>
      <c r="K44" s="83">
        <f t="shared" ref="K44:K54" si="34">J44</f>
        <v>153.24</v>
      </c>
      <c r="L44" s="299">
        <v>6788</v>
      </c>
      <c r="M44" s="84"/>
      <c r="N44" s="84">
        <f>O44</f>
        <v>0</v>
      </c>
      <c r="O44" s="94"/>
      <c r="P44" s="84"/>
      <c r="Q44" s="84"/>
      <c r="R44" s="187">
        <f t="shared" ref="R44" si="35">S44</f>
        <v>153.24</v>
      </c>
      <c r="S44" s="187">
        <f t="shared" ref="S44" si="36">J44</f>
        <v>153.24</v>
      </c>
      <c r="T44" s="84"/>
      <c r="U44" s="84">
        <f t="shared" si="33"/>
        <v>153.24</v>
      </c>
      <c r="V44" s="84"/>
      <c r="W44" s="84"/>
      <c r="X44" s="97"/>
      <c r="Y44" s="98"/>
      <c r="Z44" s="98"/>
      <c r="AA44" s="226" t="s">
        <v>126</v>
      </c>
      <c r="AB44" s="233" t="s">
        <v>271</v>
      </c>
      <c r="AC44" s="74"/>
      <c r="AD44" s="74"/>
      <c r="AE44" s="74"/>
      <c r="AF44" s="74"/>
      <c r="AG44" s="74"/>
      <c r="AL44" s="74"/>
      <c r="AM44" s="77">
        <f t="shared" si="14"/>
        <v>153.24</v>
      </c>
      <c r="AN44" s="77">
        <f t="shared" si="15"/>
        <v>6788</v>
      </c>
      <c r="AO44" s="74"/>
      <c r="AP44" s="74"/>
      <c r="AQ44" s="74"/>
      <c r="AR44" s="74"/>
      <c r="AS44" s="74"/>
      <c r="AT44" s="74"/>
      <c r="AU44" s="74"/>
      <c r="AV44" s="74"/>
      <c r="AW44" s="74"/>
      <c r="AX44" s="74"/>
      <c r="AY44" s="74"/>
      <c r="AZ44" s="74"/>
      <c r="BA44" s="74"/>
      <c r="BB44" s="74"/>
    </row>
    <row r="45" spans="1:54" s="148" customFormat="1" ht="45" x14ac:dyDescent="0.2">
      <c r="A45" s="350">
        <f>'Bieu CKGN (ko in)'!A38</f>
        <v>3</v>
      </c>
      <c r="B45" s="82" t="str">
        <f>'Bieu CKGN (ko in)'!B38</f>
        <v>Sắp xếp dân cư vùng thiên tai bản Pa Thoóng trên với bản Đầu Nậm Xả</v>
      </c>
      <c r="C45" s="287" t="s">
        <v>148</v>
      </c>
      <c r="D45" s="287" t="s">
        <v>153</v>
      </c>
      <c r="E45" s="105" t="s">
        <v>164</v>
      </c>
      <c r="F45" s="105" t="str">
        <f>'Bieu CKGN (ko in)'!C38</f>
        <v>2946a/31.10.19</v>
      </c>
      <c r="G45" s="83">
        <f>'Bieu CKGN (ko in)'!D38</f>
        <v>6950</v>
      </c>
      <c r="H45" s="188">
        <v>6798</v>
      </c>
      <c r="I45" s="83">
        <f>5354+1390</f>
        <v>6744</v>
      </c>
      <c r="J45" s="157">
        <v>49</v>
      </c>
      <c r="K45" s="83">
        <f t="shared" si="34"/>
        <v>49</v>
      </c>
      <c r="L45" s="300">
        <v>6700</v>
      </c>
      <c r="M45" s="84"/>
      <c r="N45" s="84">
        <f>O45</f>
        <v>0</v>
      </c>
      <c r="O45" s="84"/>
      <c r="P45" s="84"/>
      <c r="Q45" s="84"/>
      <c r="R45" s="186">
        <f t="shared" si="31"/>
        <v>49</v>
      </c>
      <c r="S45" s="186">
        <f t="shared" si="32"/>
        <v>49</v>
      </c>
      <c r="T45" s="84"/>
      <c r="U45" s="84">
        <f t="shared" si="33"/>
        <v>49</v>
      </c>
      <c r="V45" s="84"/>
      <c r="W45" s="84"/>
      <c r="X45" s="97"/>
      <c r="Y45" s="98"/>
      <c r="Z45" s="98"/>
      <c r="AA45" s="226" t="s">
        <v>126</v>
      </c>
      <c r="AB45" s="233" t="s">
        <v>271</v>
      </c>
      <c r="AC45" s="74"/>
      <c r="AD45" s="74"/>
      <c r="AE45" s="74"/>
      <c r="AF45" s="74"/>
      <c r="AG45" s="74"/>
      <c r="AL45" s="74"/>
      <c r="AM45" s="77">
        <f t="shared" si="14"/>
        <v>49</v>
      </c>
      <c r="AN45" s="77">
        <f t="shared" si="15"/>
        <v>6700</v>
      </c>
      <c r="AO45" s="74"/>
      <c r="AP45" s="74"/>
      <c r="AQ45" s="74"/>
      <c r="AR45" s="74"/>
      <c r="AS45" s="74"/>
      <c r="AT45" s="74"/>
      <c r="AU45" s="74"/>
      <c r="AV45" s="74"/>
      <c r="AW45" s="74"/>
      <c r="AX45" s="74"/>
      <c r="AY45" s="74"/>
      <c r="AZ45" s="74"/>
      <c r="BA45" s="74"/>
      <c r="BB45" s="74"/>
    </row>
    <row r="46" spans="1:54" s="150" customFormat="1" ht="13.5" x14ac:dyDescent="0.2">
      <c r="A46" s="353" t="s">
        <v>32</v>
      </c>
      <c r="B46" s="152" t="s">
        <v>456</v>
      </c>
      <c r="C46" s="154"/>
      <c r="D46" s="154"/>
      <c r="E46" s="154"/>
      <c r="F46" s="153"/>
      <c r="G46" s="155">
        <f>SUM(G47:G54)</f>
        <v>31350</v>
      </c>
      <c r="H46" s="155">
        <f>SUM(H47:H54)</f>
        <v>30788.795999999998</v>
      </c>
      <c r="I46" s="155">
        <f>SUM(I47:I54)</f>
        <v>25230</v>
      </c>
      <c r="J46" s="155">
        <f t="shared" ref="J46:V46" si="37">SUM(J47:J54)</f>
        <v>5432.5780000000004</v>
      </c>
      <c r="K46" s="155">
        <f t="shared" si="37"/>
        <v>5432.5780000000004</v>
      </c>
      <c r="L46" s="156">
        <f>SUM(L47:L54)</f>
        <v>30658.495999999999</v>
      </c>
      <c r="M46" s="156">
        <f t="shared" si="37"/>
        <v>0</v>
      </c>
      <c r="N46" s="156">
        <f t="shared" si="37"/>
        <v>3714.9</v>
      </c>
      <c r="O46" s="156">
        <f t="shared" si="37"/>
        <v>3714.9</v>
      </c>
      <c r="P46" s="156">
        <f t="shared" si="37"/>
        <v>0</v>
      </c>
      <c r="Q46" s="156">
        <f t="shared" si="37"/>
        <v>0</v>
      </c>
      <c r="R46" s="156">
        <f t="shared" si="37"/>
        <v>5432.5780000000004</v>
      </c>
      <c r="S46" s="156">
        <f t="shared" si="37"/>
        <v>5432.5780000000004</v>
      </c>
      <c r="T46" s="156">
        <f t="shared" si="37"/>
        <v>0</v>
      </c>
      <c r="U46" s="156">
        <f t="shared" si="37"/>
        <v>1717.6779999999999</v>
      </c>
      <c r="V46" s="156">
        <f t="shared" si="37"/>
        <v>0</v>
      </c>
      <c r="W46" s="156"/>
      <c r="X46" s="354"/>
      <c r="Y46" s="205"/>
      <c r="Z46" s="205"/>
      <c r="AA46" s="227"/>
      <c r="AB46" s="231"/>
      <c r="AC46" s="95"/>
      <c r="AD46" s="95"/>
      <c r="AE46" s="95"/>
      <c r="AF46" s="95"/>
      <c r="AG46" s="95"/>
      <c r="AL46" s="95"/>
      <c r="AM46" s="77"/>
      <c r="AN46" s="77"/>
      <c r="AO46" s="95"/>
      <c r="AP46" s="95"/>
      <c r="AQ46" s="95"/>
      <c r="AR46" s="95"/>
      <c r="AS46" s="95"/>
      <c r="AT46" s="95"/>
      <c r="AU46" s="95"/>
      <c r="AV46" s="95"/>
      <c r="AW46" s="95"/>
      <c r="AX46" s="95"/>
      <c r="AY46" s="95"/>
      <c r="AZ46" s="95"/>
      <c r="BA46" s="95"/>
      <c r="BB46" s="95"/>
    </row>
    <row r="47" spans="1:54" ht="45" x14ac:dyDescent="0.2">
      <c r="A47" s="350">
        <f>'Bieu CKGN (ko in)'!A40</f>
        <v>1</v>
      </c>
      <c r="B47" s="82" t="str">
        <f>'Bieu CKGN (ko in)'!B40</f>
        <v>Xây dựng bổ sung trường PTDTBT TH, THCS xã Can Hồ</v>
      </c>
      <c r="C47" s="287" t="s">
        <v>149</v>
      </c>
      <c r="D47" s="287" t="s">
        <v>154</v>
      </c>
      <c r="E47" s="105" t="s">
        <v>165</v>
      </c>
      <c r="F47" s="105" t="str">
        <f>'Bieu CKGN (ko in)'!C40</f>
        <v>3557-31/12/2020</v>
      </c>
      <c r="G47" s="83">
        <f>'Bieu CKGN (ko in)'!D40</f>
        <v>6000</v>
      </c>
      <c r="H47" s="83">
        <v>5907.4949999999999</v>
      </c>
      <c r="I47" s="83">
        <f>2000+2850</f>
        <v>4850</v>
      </c>
      <c r="J47" s="157">
        <v>1057.4949999999999</v>
      </c>
      <c r="K47" s="83">
        <f t="shared" si="34"/>
        <v>1057.4949999999999</v>
      </c>
      <c r="L47" s="84">
        <f>5912.496+68</f>
        <v>5980.4960000000001</v>
      </c>
      <c r="M47" s="84"/>
      <c r="N47" s="187">
        <f t="shared" ref="N47:N54" si="38">O47</f>
        <v>828.67</v>
      </c>
      <c r="O47" s="187">
        <v>828.67</v>
      </c>
      <c r="P47" s="84"/>
      <c r="Q47" s="84"/>
      <c r="R47" s="186">
        <f t="shared" si="31"/>
        <v>1057.4949999999999</v>
      </c>
      <c r="S47" s="186">
        <f t="shared" si="32"/>
        <v>1057.4949999999999</v>
      </c>
      <c r="T47" s="84"/>
      <c r="U47" s="84">
        <f t="shared" si="33"/>
        <v>228.82499999999993</v>
      </c>
      <c r="V47" s="84"/>
      <c r="W47" s="84"/>
      <c r="X47" s="97"/>
      <c r="Y47" s="98"/>
      <c r="Z47" s="98"/>
      <c r="AA47" s="226" t="s">
        <v>126</v>
      </c>
      <c r="AB47" s="233" t="s">
        <v>271</v>
      </c>
      <c r="AM47" s="77">
        <f t="shared" si="14"/>
        <v>228.82499999999993</v>
      </c>
      <c r="AN47" s="77">
        <f t="shared" si="15"/>
        <v>5151.826</v>
      </c>
      <c r="AO47" s="74"/>
      <c r="AP47" s="74"/>
      <c r="AQ47" s="74"/>
    </row>
    <row r="48" spans="1:54" ht="45" x14ac:dyDescent="0.2">
      <c r="A48" s="350">
        <f>'Bieu CKGN (ko in)'!A41</f>
        <v>2</v>
      </c>
      <c r="B48" s="82" t="str">
        <f>'Bieu CKGN (ko in)'!B41</f>
        <v>Nhà hiệu bộ, phòng học chức năng trường THCS Thu Lũm</v>
      </c>
      <c r="C48" s="287" t="s">
        <v>146</v>
      </c>
      <c r="D48" s="287" t="s">
        <v>155</v>
      </c>
      <c r="E48" s="105" t="s">
        <v>165</v>
      </c>
      <c r="F48" s="105" t="str">
        <f>'Bieu CKGN (ko in)'!C41</f>
        <v>3559-31/12/2020</v>
      </c>
      <c r="G48" s="83">
        <f>'Bieu CKGN (ko in)'!D41</f>
        <v>6500</v>
      </c>
      <c r="H48" s="83">
        <v>6496.9889999999996</v>
      </c>
      <c r="I48" s="83">
        <f>2150+3050</f>
        <v>5200</v>
      </c>
      <c r="J48" s="157">
        <v>1296.989</v>
      </c>
      <c r="K48" s="83">
        <f t="shared" si="34"/>
        <v>1296.989</v>
      </c>
      <c r="L48" s="84">
        <v>6497</v>
      </c>
      <c r="M48" s="84"/>
      <c r="N48" s="187">
        <f t="shared" si="38"/>
        <v>1143.44</v>
      </c>
      <c r="O48" s="187">
        <v>1143.44</v>
      </c>
      <c r="P48" s="84"/>
      <c r="Q48" s="84"/>
      <c r="R48" s="186">
        <f t="shared" si="31"/>
        <v>1296.989</v>
      </c>
      <c r="S48" s="186">
        <f t="shared" si="32"/>
        <v>1296.989</v>
      </c>
      <c r="T48" s="84"/>
      <c r="U48" s="84">
        <f t="shared" si="33"/>
        <v>153.54899999999998</v>
      </c>
      <c r="V48" s="84"/>
      <c r="W48" s="84"/>
      <c r="X48" s="97"/>
      <c r="Y48" s="98"/>
      <c r="Z48" s="98"/>
      <c r="AA48" s="226" t="s">
        <v>126</v>
      </c>
      <c r="AB48" s="233" t="s">
        <v>271</v>
      </c>
      <c r="AC48" s="80"/>
      <c r="AM48" s="77">
        <f t="shared" si="14"/>
        <v>153.54899999999998</v>
      </c>
      <c r="AN48" s="77">
        <f t="shared" si="15"/>
        <v>5353.5599999999995</v>
      </c>
      <c r="AO48" s="74"/>
      <c r="AP48" s="74"/>
      <c r="AQ48" s="74"/>
    </row>
    <row r="49" spans="1:43" ht="33.75" x14ac:dyDescent="0.2">
      <c r="A49" s="350">
        <f>'Bieu CKGN (ko in)'!A42</f>
        <v>3</v>
      </c>
      <c r="B49" s="82" t="str">
        <f>'Bieu CKGN (ko in)'!B42</f>
        <v>Phòng học chức năng trường TH, THCS Bum Nưa</v>
      </c>
      <c r="C49" s="287" t="s">
        <v>150</v>
      </c>
      <c r="D49" s="287" t="s">
        <v>156</v>
      </c>
      <c r="E49" s="105" t="s">
        <v>165</v>
      </c>
      <c r="F49" s="105" t="str">
        <f>'Bieu CKGN (ko in)'!C42</f>
        <v>3558-31/12/2020</v>
      </c>
      <c r="G49" s="83">
        <f>'Bieu CKGN (ko in)'!D42</f>
        <v>4200</v>
      </c>
      <c r="H49" s="83">
        <v>4192.3190000000004</v>
      </c>
      <c r="I49" s="83">
        <f>1500+1860</f>
        <v>3360</v>
      </c>
      <c r="J49" s="157">
        <v>832.31899999999996</v>
      </c>
      <c r="K49" s="83">
        <f t="shared" si="34"/>
        <v>832.31899999999996</v>
      </c>
      <c r="L49" s="84">
        <v>4196</v>
      </c>
      <c r="M49" s="84"/>
      <c r="N49" s="187">
        <f t="shared" si="38"/>
        <v>698.96</v>
      </c>
      <c r="O49" s="187">
        <v>698.96</v>
      </c>
      <c r="P49" s="84"/>
      <c r="Q49" s="84"/>
      <c r="R49" s="186">
        <f t="shared" si="31"/>
        <v>832.31899999999996</v>
      </c>
      <c r="S49" s="186">
        <f t="shared" si="32"/>
        <v>832.31899999999996</v>
      </c>
      <c r="T49" s="84"/>
      <c r="U49" s="84">
        <f t="shared" si="33"/>
        <v>133.35899999999992</v>
      </c>
      <c r="V49" s="84"/>
      <c r="W49" s="84"/>
      <c r="X49" s="97"/>
      <c r="Y49" s="98"/>
      <c r="Z49" s="98"/>
      <c r="AA49" s="226" t="s">
        <v>126</v>
      </c>
      <c r="AB49" s="233" t="s">
        <v>271</v>
      </c>
      <c r="AC49" s="80"/>
      <c r="AM49" s="77">
        <f t="shared" si="14"/>
        <v>133.35899999999992</v>
      </c>
      <c r="AN49" s="77">
        <f t="shared" si="15"/>
        <v>3497.04</v>
      </c>
      <c r="AO49" s="74"/>
      <c r="AP49" s="74"/>
      <c r="AQ49" s="74"/>
    </row>
    <row r="50" spans="1:43" ht="33.75" x14ac:dyDescent="0.2">
      <c r="A50" s="350">
        <f>'Bieu CKGN (ko in)'!A43</f>
        <v>4</v>
      </c>
      <c r="B50" s="82" t="str">
        <f>'Bieu CKGN (ko in)'!B43</f>
        <v>Sửa chữa nhà lớp học, nhà bán trú và các HMPT trường THCS xã Mù Cả</v>
      </c>
      <c r="C50" s="105" t="s">
        <v>151</v>
      </c>
      <c r="D50" s="106"/>
      <c r="E50" s="105" t="s">
        <v>165</v>
      </c>
      <c r="F50" s="105" t="str">
        <f>'Bieu CKGN (ko in)'!C43</f>
        <v>3561-31/12/2020</v>
      </c>
      <c r="G50" s="83">
        <f>'Bieu CKGN (ko in)'!D43</f>
        <v>2050</v>
      </c>
      <c r="H50" s="83">
        <v>2040</v>
      </c>
      <c r="I50" s="83">
        <f>1000+600</f>
        <v>1600</v>
      </c>
      <c r="J50" s="157">
        <v>380</v>
      </c>
      <c r="K50" s="83">
        <f t="shared" si="34"/>
        <v>380</v>
      </c>
      <c r="L50" s="84">
        <v>1800</v>
      </c>
      <c r="M50" s="84"/>
      <c r="N50" s="187">
        <f t="shared" si="38"/>
        <v>0</v>
      </c>
      <c r="O50" s="187"/>
      <c r="P50" s="84"/>
      <c r="Q50" s="84"/>
      <c r="R50" s="186">
        <f t="shared" si="31"/>
        <v>380</v>
      </c>
      <c r="S50" s="186">
        <f t="shared" si="32"/>
        <v>380</v>
      </c>
      <c r="T50" s="84"/>
      <c r="U50" s="84">
        <f t="shared" si="33"/>
        <v>380</v>
      </c>
      <c r="V50" s="84"/>
      <c r="W50" s="84"/>
      <c r="X50" s="97"/>
      <c r="Y50" s="98"/>
      <c r="Z50" s="98"/>
      <c r="AA50" s="226" t="s">
        <v>126</v>
      </c>
      <c r="AB50" s="238" t="s">
        <v>412</v>
      </c>
      <c r="AM50" s="77">
        <f t="shared" si="14"/>
        <v>380</v>
      </c>
      <c r="AN50" s="77">
        <f t="shared" si="15"/>
        <v>1800</v>
      </c>
      <c r="AO50" s="74"/>
      <c r="AP50" s="74"/>
      <c r="AQ50" s="74"/>
    </row>
    <row r="51" spans="1:43" ht="33.75" x14ac:dyDescent="0.2">
      <c r="A51" s="350">
        <f>'Bieu CKGN (ko in)'!A44</f>
        <v>5</v>
      </c>
      <c r="B51" s="82" t="str">
        <f>'Bieu CKGN (ko in)'!B44</f>
        <v>Kè chống sạt bảo vệ trường TH, THCS, xã Tá Bạ</v>
      </c>
      <c r="C51" s="287" t="s">
        <v>147</v>
      </c>
      <c r="D51" s="287" t="s">
        <v>157</v>
      </c>
      <c r="E51" s="105" t="s">
        <v>165</v>
      </c>
      <c r="F51" s="105" t="str">
        <f>'Bieu CKGN (ko in)'!C44</f>
        <v>3491-29/12/2020</v>
      </c>
      <c r="G51" s="83">
        <f>'Bieu CKGN (ko in)'!D44</f>
        <v>2100</v>
      </c>
      <c r="H51" s="83">
        <v>2098.768</v>
      </c>
      <c r="I51" s="83">
        <f>1000+720</f>
        <v>1720</v>
      </c>
      <c r="J51" s="157">
        <v>312.55</v>
      </c>
      <c r="K51" s="83">
        <f t="shared" si="34"/>
        <v>312.55</v>
      </c>
      <c r="L51" s="84">
        <f>1687+397</f>
        <v>2084</v>
      </c>
      <c r="M51" s="84"/>
      <c r="N51" s="187">
        <f t="shared" si="38"/>
        <v>168.96</v>
      </c>
      <c r="O51" s="187">
        <v>168.96</v>
      </c>
      <c r="P51" s="84"/>
      <c r="Q51" s="84"/>
      <c r="R51" s="186">
        <f t="shared" si="31"/>
        <v>312.55</v>
      </c>
      <c r="S51" s="186">
        <f t="shared" si="32"/>
        <v>312.55</v>
      </c>
      <c r="T51" s="84"/>
      <c r="U51" s="84">
        <f t="shared" si="33"/>
        <v>143.59</v>
      </c>
      <c r="V51" s="84"/>
      <c r="W51" s="84"/>
      <c r="X51" s="97"/>
      <c r="Y51" s="98"/>
      <c r="Z51" s="98"/>
      <c r="AA51" s="226" t="s">
        <v>126</v>
      </c>
      <c r="AB51" s="233" t="s">
        <v>271</v>
      </c>
      <c r="AM51" s="77">
        <f t="shared" si="14"/>
        <v>143.59</v>
      </c>
      <c r="AN51" s="77">
        <f t="shared" si="15"/>
        <v>1915.04</v>
      </c>
      <c r="AO51" s="74"/>
      <c r="AP51" s="74"/>
      <c r="AQ51" s="74"/>
    </row>
    <row r="52" spans="1:43" ht="33.75" x14ac:dyDescent="0.2">
      <c r="A52" s="350">
        <f>'Bieu CKGN (ko in)'!A45</f>
        <v>6</v>
      </c>
      <c r="B52" s="82" t="str">
        <f>'Bieu CKGN (ko in)'!B45</f>
        <v>Thủy lợi Nhù Cư Ló Cá, xã Thu Lũm</v>
      </c>
      <c r="C52" s="287" t="s">
        <v>146</v>
      </c>
      <c r="D52" s="287" t="s">
        <v>158</v>
      </c>
      <c r="E52" s="105" t="s">
        <v>165</v>
      </c>
      <c r="F52" s="105" t="str">
        <f>'Bieu CKGN (ko in)'!C45</f>
        <v>3552-31/12/2020</v>
      </c>
      <c r="G52" s="83">
        <f>'Bieu CKGN (ko in)'!D45</f>
        <v>3500</v>
      </c>
      <c r="H52" s="83">
        <v>3420.828</v>
      </c>
      <c r="I52" s="83">
        <f>1350+1500</f>
        <v>2850</v>
      </c>
      <c r="J52" s="157">
        <v>570.82799999999997</v>
      </c>
      <c r="K52" s="83">
        <f t="shared" si="34"/>
        <v>570.82799999999997</v>
      </c>
      <c r="L52" s="84">
        <v>3449</v>
      </c>
      <c r="M52" s="84"/>
      <c r="N52" s="187">
        <f t="shared" si="38"/>
        <v>385.27</v>
      </c>
      <c r="O52" s="187">
        <v>385.27</v>
      </c>
      <c r="P52" s="84"/>
      <c r="Q52" s="84"/>
      <c r="R52" s="186">
        <f t="shared" si="31"/>
        <v>570.82799999999997</v>
      </c>
      <c r="S52" s="186">
        <f t="shared" si="32"/>
        <v>570.82799999999997</v>
      </c>
      <c r="T52" s="84"/>
      <c r="U52" s="84">
        <f t="shared" si="33"/>
        <v>185.55799999999999</v>
      </c>
      <c r="V52" s="84"/>
      <c r="W52" s="84"/>
      <c r="X52" s="97"/>
      <c r="Y52" s="98"/>
      <c r="Z52" s="98"/>
      <c r="AA52" s="226" t="s">
        <v>126</v>
      </c>
      <c r="AB52" s="233" t="s">
        <v>271</v>
      </c>
      <c r="AC52" s="80"/>
      <c r="AM52" s="77">
        <f t="shared" si="14"/>
        <v>185.55799999999999</v>
      </c>
      <c r="AN52" s="77">
        <f t="shared" si="15"/>
        <v>3063.73</v>
      </c>
      <c r="AO52" s="74"/>
      <c r="AP52" s="74"/>
      <c r="AQ52" s="74"/>
    </row>
    <row r="53" spans="1:43" ht="33.75" x14ac:dyDescent="0.2">
      <c r="A53" s="350">
        <f>'Bieu CKGN (ko in)'!A46</f>
        <v>7</v>
      </c>
      <c r="B53" s="82" t="str">
        <f>'Bieu CKGN (ko in)'!B46</f>
        <v>Thủy lợi Phu Khà Ló Cá, xã Thu Lũm</v>
      </c>
      <c r="C53" s="287" t="s">
        <v>146</v>
      </c>
      <c r="D53" s="287" t="s">
        <v>159</v>
      </c>
      <c r="E53" s="105" t="s">
        <v>165</v>
      </c>
      <c r="F53" s="105" t="str">
        <f>'Bieu CKGN (ko in)'!C46</f>
        <v>3554-31/12/2020</v>
      </c>
      <c r="G53" s="83">
        <f>'Bieu CKGN (ko in)'!D46</f>
        <v>3600</v>
      </c>
      <c r="H53" s="83">
        <v>3543.5630000000001</v>
      </c>
      <c r="I53" s="83">
        <f>1400+1500</f>
        <v>2900</v>
      </c>
      <c r="J53" s="157">
        <v>643.56299999999999</v>
      </c>
      <c r="K53" s="83">
        <f t="shared" si="34"/>
        <v>643.56299999999999</v>
      </c>
      <c r="L53" s="84">
        <v>3563</v>
      </c>
      <c r="M53" s="84"/>
      <c r="N53" s="187">
        <f t="shared" si="38"/>
        <v>489.6</v>
      </c>
      <c r="O53" s="187">
        <v>489.6</v>
      </c>
      <c r="P53" s="84"/>
      <c r="Q53" s="84"/>
      <c r="R53" s="186">
        <f t="shared" si="31"/>
        <v>643.56299999999999</v>
      </c>
      <c r="S53" s="186">
        <f t="shared" si="32"/>
        <v>643.56299999999999</v>
      </c>
      <c r="T53" s="84"/>
      <c r="U53" s="84">
        <f t="shared" si="33"/>
        <v>153.96299999999997</v>
      </c>
      <c r="V53" s="84"/>
      <c r="W53" s="84"/>
      <c r="X53" s="97"/>
      <c r="Y53" s="98"/>
      <c r="Z53" s="98"/>
      <c r="AA53" s="226" t="s">
        <v>126</v>
      </c>
      <c r="AB53" s="233" t="s">
        <v>271</v>
      </c>
      <c r="AM53" s="77">
        <f t="shared" si="14"/>
        <v>153.96299999999997</v>
      </c>
      <c r="AN53" s="77">
        <f t="shared" si="15"/>
        <v>3073.4</v>
      </c>
      <c r="AO53" s="74"/>
      <c r="AP53" s="74"/>
      <c r="AQ53" s="74"/>
    </row>
    <row r="54" spans="1:43" ht="33.75" x14ac:dyDescent="0.2">
      <c r="A54" s="350">
        <f>'Bieu CKGN (ko in)'!A47</f>
        <v>8</v>
      </c>
      <c r="B54" s="82" t="str">
        <f>'Bieu CKGN (ko in)'!B47</f>
        <v>Nâng cấp thủy lợi Nậm Dính, xã Tà Tổng</v>
      </c>
      <c r="C54" s="287" t="s">
        <v>140</v>
      </c>
      <c r="D54" s="287" t="s">
        <v>160</v>
      </c>
      <c r="E54" s="105" t="s">
        <v>165</v>
      </c>
      <c r="F54" s="105" t="str">
        <f>'Bieu CKGN (ko in)'!C47</f>
        <v>3553-31/12/2020</v>
      </c>
      <c r="G54" s="83">
        <f>'Bieu CKGN (ko in)'!D47</f>
        <v>3400</v>
      </c>
      <c r="H54" s="83">
        <v>3088.8339999999998</v>
      </c>
      <c r="I54" s="83">
        <f>1250+1500</f>
        <v>2750</v>
      </c>
      <c r="J54" s="157">
        <v>338.834</v>
      </c>
      <c r="K54" s="83">
        <f t="shared" si="34"/>
        <v>338.834</v>
      </c>
      <c r="L54" s="84">
        <v>3089</v>
      </c>
      <c r="M54" s="84"/>
      <c r="N54" s="187">
        <f t="shared" si="38"/>
        <v>0</v>
      </c>
      <c r="O54" s="187"/>
      <c r="P54" s="84"/>
      <c r="Q54" s="84"/>
      <c r="R54" s="186">
        <f t="shared" si="31"/>
        <v>338.834</v>
      </c>
      <c r="S54" s="186">
        <f t="shared" si="32"/>
        <v>338.834</v>
      </c>
      <c r="T54" s="84"/>
      <c r="U54" s="84">
        <f t="shared" si="33"/>
        <v>338.834</v>
      </c>
      <c r="V54" s="84"/>
      <c r="W54" s="84"/>
      <c r="X54" s="97"/>
      <c r="Y54" s="98"/>
      <c r="Z54" s="98"/>
      <c r="AA54" s="226" t="s">
        <v>126</v>
      </c>
      <c r="AB54" s="233" t="s">
        <v>271</v>
      </c>
      <c r="AM54" s="77">
        <f t="shared" si="14"/>
        <v>338.834</v>
      </c>
      <c r="AN54" s="77">
        <f t="shared" si="15"/>
        <v>3089</v>
      </c>
      <c r="AO54" s="74"/>
      <c r="AP54" s="74"/>
      <c r="AQ54" s="74"/>
    </row>
    <row r="55" spans="1:43" s="95" customFormat="1" ht="13.5" x14ac:dyDescent="0.2">
      <c r="A55" s="353" t="s">
        <v>36</v>
      </c>
      <c r="B55" s="190" t="s">
        <v>426</v>
      </c>
      <c r="C55" s="154"/>
      <c r="D55" s="154"/>
      <c r="E55" s="154"/>
      <c r="F55" s="180"/>
      <c r="G55" s="155">
        <f>SUM(G56:G58)</f>
        <v>15450</v>
      </c>
      <c r="H55" s="155">
        <f t="shared" ref="H55:S55" si="39">SUM(H56:H58)</f>
        <v>15368.988000000001</v>
      </c>
      <c r="I55" s="155">
        <f t="shared" si="39"/>
        <v>4700</v>
      </c>
      <c r="J55" s="155">
        <f t="shared" si="39"/>
        <v>8550.2910000000011</v>
      </c>
      <c r="K55" s="155">
        <f t="shared" si="39"/>
        <v>8550.2910000000011</v>
      </c>
      <c r="L55" s="155">
        <f t="shared" si="39"/>
        <v>13704.089</v>
      </c>
      <c r="M55" s="155">
        <f t="shared" si="39"/>
        <v>0</v>
      </c>
      <c r="N55" s="155">
        <f t="shared" si="39"/>
        <v>5892.3</v>
      </c>
      <c r="O55" s="155">
        <f t="shared" si="39"/>
        <v>5892.3</v>
      </c>
      <c r="P55" s="155">
        <f t="shared" si="39"/>
        <v>0</v>
      </c>
      <c r="Q55" s="155">
        <f t="shared" si="39"/>
        <v>0</v>
      </c>
      <c r="R55" s="155">
        <f t="shared" si="39"/>
        <v>8550.2910000000011</v>
      </c>
      <c r="S55" s="155">
        <f t="shared" si="39"/>
        <v>8550.2910000000011</v>
      </c>
      <c r="T55" s="156">
        <f>SUM(T56:T60)</f>
        <v>5500</v>
      </c>
      <c r="U55" s="156">
        <f>SUM(U56:U60)</f>
        <v>4314.1909999999998</v>
      </c>
      <c r="V55" s="156">
        <f>SUM(V56:V60)</f>
        <v>0</v>
      </c>
      <c r="W55" s="156">
        <f>N55/J55*100</f>
        <v>68.913443998572674</v>
      </c>
      <c r="X55" s="354"/>
      <c r="Y55" s="205"/>
      <c r="Z55" s="205"/>
      <c r="AA55" s="227"/>
      <c r="AB55" s="231"/>
      <c r="AM55" s="77"/>
      <c r="AN55" s="77"/>
    </row>
    <row r="56" spans="1:43" ht="33.75" x14ac:dyDescent="0.2">
      <c r="A56" s="350">
        <f>'Bieu CKGN (ko in)'!A50</f>
        <v>1</v>
      </c>
      <c r="B56" s="82" t="str">
        <f>'Bieu CKGN (ko in)'!B50</f>
        <v>Trường mầm non xã Ka Lăng, huyện Mường Tè (Hạng mục phụ trợ)</v>
      </c>
      <c r="C56" s="287" t="s">
        <v>152</v>
      </c>
      <c r="D56" s="106"/>
      <c r="E56" s="105">
        <v>2022</v>
      </c>
      <c r="F56" s="105" t="str">
        <f>'Bieu CKGN (ko in)'!C50</f>
        <v>2225-15/12/2021</v>
      </c>
      <c r="G56" s="83">
        <f>'Bieu CKGN (ko in)'!D50</f>
        <v>2500</v>
      </c>
      <c r="H56" s="83">
        <v>2500</v>
      </c>
      <c r="I56" s="83">
        <v>900</v>
      </c>
      <c r="J56" s="83">
        <v>1350.2909999999999</v>
      </c>
      <c r="K56" s="83">
        <f>J56</f>
        <v>1350.2909999999999</v>
      </c>
      <c r="L56" s="84">
        <v>1710.0889999999999</v>
      </c>
      <c r="M56" s="84"/>
      <c r="N56" s="87">
        <f>O56</f>
        <v>0</v>
      </c>
      <c r="O56" s="187"/>
      <c r="P56" s="84"/>
      <c r="Q56" s="84"/>
      <c r="R56" s="186">
        <f t="shared" ref="R56:R60" si="40">S56</f>
        <v>1350.2909999999999</v>
      </c>
      <c r="S56" s="186">
        <f t="shared" ref="S56:S60" si="41">J56</f>
        <v>1350.2909999999999</v>
      </c>
      <c r="T56" s="84">
        <v>800</v>
      </c>
      <c r="U56" s="84">
        <f t="shared" ref="U56:U60" si="42">J56-N56</f>
        <v>1350.2909999999999</v>
      </c>
      <c r="V56" s="84"/>
      <c r="W56" s="84"/>
      <c r="X56" s="97"/>
      <c r="Y56" s="98"/>
      <c r="Z56" s="98"/>
      <c r="AA56" s="226" t="s">
        <v>127</v>
      </c>
      <c r="AB56" s="233" t="s">
        <v>271</v>
      </c>
      <c r="AC56" s="74">
        <v>1085</v>
      </c>
      <c r="AE56" s="77">
        <f>AC56-M56</f>
        <v>1085</v>
      </c>
      <c r="AF56" s="74">
        <v>900</v>
      </c>
      <c r="AG56" s="80">
        <f>AF56-N56</f>
        <v>900</v>
      </c>
      <c r="AM56" s="77">
        <f t="shared" si="14"/>
        <v>1350.2909999999999</v>
      </c>
      <c r="AN56" s="77">
        <f t="shared" si="15"/>
        <v>1710.0889999999999</v>
      </c>
      <c r="AO56" s="74"/>
      <c r="AP56" s="74"/>
      <c r="AQ56" s="74"/>
    </row>
    <row r="57" spans="1:43" ht="33.75" x14ac:dyDescent="0.2">
      <c r="A57" s="350">
        <f>'Bieu CKGN (ko in)'!A51</f>
        <v>2</v>
      </c>
      <c r="B57" s="82" t="str">
        <f>'Bieu CKGN (ko in)'!B51</f>
        <v>Phòng họp trực tuyến Huyện ủy, huyện Mường Tè (GĐII)</v>
      </c>
      <c r="C57" s="287" t="s">
        <v>143</v>
      </c>
      <c r="D57" s="106"/>
      <c r="E57" s="105">
        <v>2022</v>
      </c>
      <c r="F57" s="105" t="str">
        <f>'Bieu CKGN (ko in)'!C51</f>
        <v>2224-15/12/2021</v>
      </c>
      <c r="G57" s="83">
        <f>'Bieu CKGN (ko in)'!D51</f>
        <v>6950</v>
      </c>
      <c r="H57" s="83">
        <v>6875</v>
      </c>
      <c r="I57" s="83">
        <v>2000</v>
      </c>
      <c r="J57" s="83">
        <v>3900</v>
      </c>
      <c r="K57" s="83">
        <f t="shared" ref="K57:K63" si="43">J57</f>
        <v>3900</v>
      </c>
      <c r="L57" s="84">
        <v>6000</v>
      </c>
      <c r="M57" s="84"/>
      <c r="N57" s="87">
        <f>O57</f>
        <v>2800</v>
      </c>
      <c r="O57" s="187">
        <v>2800</v>
      </c>
      <c r="P57" s="84"/>
      <c r="Q57" s="84"/>
      <c r="R57" s="187">
        <f t="shared" si="40"/>
        <v>3900</v>
      </c>
      <c r="S57" s="187">
        <f t="shared" si="41"/>
        <v>3900</v>
      </c>
      <c r="T57" s="84">
        <v>2500</v>
      </c>
      <c r="U57" s="84">
        <f t="shared" si="42"/>
        <v>1100</v>
      </c>
      <c r="V57" s="84"/>
      <c r="W57" s="84"/>
      <c r="X57" s="97"/>
      <c r="Y57" s="98"/>
      <c r="Z57" s="98"/>
      <c r="AA57" s="226" t="s">
        <v>127</v>
      </c>
      <c r="AB57" s="233" t="s">
        <v>271</v>
      </c>
      <c r="AC57" s="77">
        <v>2200</v>
      </c>
      <c r="AF57" s="74">
        <v>1843.35</v>
      </c>
      <c r="AM57" s="77">
        <f t="shared" si="14"/>
        <v>1100</v>
      </c>
      <c r="AN57" s="77">
        <f t="shared" si="15"/>
        <v>3200</v>
      </c>
      <c r="AO57" s="74"/>
      <c r="AP57" s="74"/>
      <c r="AQ57" s="74"/>
    </row>
    <row r="58" spans="1:43" ht="33.75" x14ac:dyDescent="0.2">
      <c r="A58" s="350">
        <f>'Bieu CKGN (ko in)'!A52</f>
        <v>3</v>
      </c>
      <c r="B58" s="82" t="str">
        <f>'Bieu CKGN (ko in)'!B52</f>
        <v>Nhà đa năng trường THCS thị trấn, huyện Mường Tè</v>
      </c>
      <c r="C58" s="287" t="s">
        <v>143</v>
      </c>
      <c r="D58" s="106"/>
      <c r="E58" s="105">
        <v>2022</v>
      </c>
      <c r="F58" s="105" t="str">
        <f>'Bieu CKGN (ko in)'!C52</f>
        <v>2223-15/12/2021</v>
      </c>
      <c r="G58" s="83">
        <f>'Bieu CKGN (ko in)'!D52</f>
        <v>6000</v>
      </c>
      <c r="H58" s="83">
        <v>5993.9880000000003</v>
      </c>
      <c r="I58" s="83">
        <v>1800</v>
      </c>
      <c r="J58" s="83">
        <v>3300</v>
      </c>
      <c r="K58" s="83">
        <f t="shared" si="43"/>
        <v>3300</v>
      </c>
      <c r="L58" s="84">
        <f>5300+694</f>
        <v>5994</v>
      </c>
      <c r="M58" s="84"/>
      <c r="N58" s="87">
        <f>O58</f>
        <v>3092.3</v>
      </c>
      <c r="O58" s="187">
        <v>3092.3</v>
      </c>
      <c r="P58" s="84"/>
      <c r="Q58" s="84"/>
      <c r="R58" s="186">
        <f t="shared" si="40"/>
        <v>3300</v>
      </c>
      <c r="S58" s="186">
        <f t="shared" si="41"/>
        <v>3300</v>
      </c>
      <c r="T58" s="84">
        <v>2200</v>
      </c>
      <c r="U58" s="84">
        <f t="shared" si="42"/>
        <v>207.69999999999982</v>
      </c>
      <c r="V58" s="84"/>
      <c r="W58" s="84"/>
      <c r="X58" s="97"/>
      <c r="Y58" s="98"/>
      <c r="Z58" s="98"/>
      <c r="AA58" s="226" t="s">
        <v>127</v>
      </c>
      <c r="AB58" s="233" t="s">
        <v>271</v>
      </c>
      <c r="AC58" s="77">
        <v>1800</v>
      </c>
      <c r="AE58" s="151">
        <v>1843.347</v>
      </c>
      <c r="AF58" s="77">
        <f>AC58-AE58</f>
        <v>-43.34699999999998</v>
      </c>
      <c r="AM58" s="77">
        <f t="shared" si="14"/>
        <v>207.69999999999982</v>
      </c>
      <c r="AN58" s="77">
        <f t="shared" si="15"/>
        <v>2901.7</v>
      </c>
      <c r="AO58" s="74"/>
      <c r="AP58" s="74"/>
      <c r="AQ58" s="74"/>
    </row>
    <row r="59" spans="1:43" ht="13.5" x14ac:dyDescent="0.2">
      <c r="A59" s="353" t="s">
        <v>166</v>
      </c>
      <c r="B59" s="190" t="s">
        <v>427</v>
      </c>
      <c r="C59" s="287"/>
      <c r="D59" s="106"/>
      <c r="E59" s="105"/>
      <c r="F59" s="105"/>
      <c r="G59" s="155">
        <f>SUM(G60:G63)</f>
        <v>27170</v>
      </c>
      <c r="H59" s="155">
        <f t="shared" ref="H59:S59" si="44">SUM(H60:H63)</f>
        <v>20000</v>
      </c>
      <c r="I59" s="155">
        <f t="shared" si="44"/>
        <v>2228.4079999999999</v>
      </c>
      <c r="J59" s="155">
        <f t="shared" si="44"/>
        <v>11730</v>
      </c>
      <c r="K59" s="155">
        <f t="shared" si="44"/>
        <v>11730</v>
      </c>
      <c r="L59" s="155">
        <f t="shared" si="44"/>
        <v>9950</v>
      </c>
      <c r="M59" s="155">
        <f t="shared" si="44"/>
        <v>0</v>
      </c>
      <c r="N59" s="155">
        <f t="shared" si="44"/>
        <v>7343.8</v>
      </c>
      <c r="O59" s="155">
        <f t="shared" si="44"/>
        <v>3793.8</v>
      </c>
      <c r="P59" s="155">
        <f t="shared" si="44"/>
        <v>0</v>
      </c>
      <c r="Q59" s="155">
        <f t="shared" si="44"/>
        <v>0</v>
      </c>
      <c r="R59" s="155">
        <f t="shared" si="44"/>
        <v>11730</v>
      </c>
      <c r="S59" s="155">
        <f t="shared" si="44"/>
        <v>11730</v>
      </c>
      <c r="T59" s="84"/>
      <c r="U59" s="84"/>
      <c r="V59" s="84"/>
      <c r="W59" s="84"/>
      <c r="X59" s="97"/>
      <c r="Y59" s="98"/>
      <c r="Z59" s="98"/>
      <c r="AB59" s="233"/>
      <c r="AC59" s="77"/>
      <c r="AE59" s="151"/>
      <c r="AF59" s="77"/>
      <c r="AM59" s="77"/>
      <c r="AN59" s="77"/>
      <c r="AO59" s="74"/>
      <c r="AP59" s="74"/>
      <c r="AQ59" s="74"/>
    </row>
    <row r="60" spans="1:43" ht="33.75" x14ac:dyDescent="0.2">
      <c r="A60" s="350">
        <v>1</v>
      </c>
      <c r="B60" s="82" t="str">
        <f>'Bieu CKGN (ko in)'!B53</f>
        <v>Hạ tầng đô thị, điện chiếu sáng thị trấn Mường Tè, huyện Mường Tè</v>
      </c>
      <c r="C60" s="287" t="s">
        <v>143</v>
      </c>
      <c r="D60" s="106"/>
      <c r="E60" s="105">
        <v>2022</v>
      </c>
      <c r="F60" s="105" t="str">
        <f>'Bieu CKGN (ko in)'!C53</f>
        <v>2207-10/12/2021</v>
      </c>
      <c r="G60" s="83">
        <f>'Bieu CKGN (ko in)'!D53</f>
        <v>20000</v>
      </c>
      <c r="H60" s="83">
        <v>20000</v>
      </c>
      <c r="I60" s="83">
        <v>2000</v>
      </c>
      <c r="J60" s="83">
        <v>9000</v>
      </c>
      <c r="K60" s="83">
        <f t="shared" si="43"/>
        <v>9000</v>
      </c>
      <c r="L60" s="84">
        <f>9500+200</f>
        <v>9700</v>
      </c>
      <c r="M60" s="84"/>
      <c r="N60" s="84">
        <v>7343.8</v>
      </c>
      <c r="O60" s="187">
        <f>N60-3550</f>
        <v>3793.8</v>
      </c>
      <c r="P60" s="84"/>
      <c r="Q60" s="84"/>
      <c r="R60" s="84">
        <f t="shared" si="40"/>
        <v>9000</v>
      </c>
      <c r="S60" s="84">
        <f t="shared" si="41"/>
        <v>9000</v>
      </c>
      <c r="T60" s="84"/>
      <c r="U60" s="84">
        <f t="shared" si="42"/>
        <v>1656.1999999999998</v>
      </c>
      <c r="V60" s="84"/>
      <c r="W60" s="84"/>
      <c r="X60" s="97"/>
      <c r="Y60" s="98"/>
      <c r="Z60" s="98"/>
      <c r="AA60" s="226" t="s">
        <v>123</v>
      </c>
      <c r="AB60" s="233" t="s">
        <v>271</v>
      </c>
      <c r="AC60" s="79"/>
      <c r="AF60" s="74">
        <v>1463.46</v>
      </c>
      <c r="AM60" s="77">
        <f t="shared" si="14"/>
        <v>1656.1999999999998</v>
      </c>
      <c r="AN60" s="77">
        <f t="shared" si="15"/>
        <v>5906.2</v>
      </c>
      <c r="AO60" s="74"/>
      <c r="AP60" s="74"/>
      <c r="AQ60" s="74"/>
    </row>
    <row r="61" spans="1:43" ht="45" x14ac:dyDescent="0.2">
      <c r="A61" s="350">
        <v>2</v>
      </c>
      <c r="B61" s="301" t="s">
        <v>457</v>
      </c>
      <c r="C61" s="302" t="s">
        <v>229</v>
      </c>
      <c r="D61" s="303" t="s">
        <v>460</v>
      </c>
      <c r="E61" s="303" t="s">
        <v>182</v>
      </c>
      <c r="F61" s="105" t="s">
        <v>459</v>
      </c>
      <c r="G61" s="83">
        <v>5000</v>
      </c>
      <c r="H61" s="83"/>
      <c r="I61" s="157">
        <v>128.40799999999999</v>
      </c>
      <c r="J61" s="83">
        <v>1600</v>
      </c>
      <c r="K61" s="83">
        <f t="shared" si="43"/>
        <v>1600</v>
      </c>
      <c r="L61" s="84">
        <v>150</v>
      </c>
      <c r="M61" s="84"/>
      <c r="N61" s="84">
        <f t="shared" ref="N61:N63" si="45">O61</f>
        <v>0</v>
      </c>
      <c r="O61" s="186"/>
      <c r="P61" s="84"/>
      <c r="Q61" s="84"/>
      <c r="R61" s="84">
        <f t="shared" ref="R61" si="46">S61</f>
        <v>1600</v>
      </c>
      <c r="S61" s="84">
        <f t="shared" ref="S61" si="47">J61</f>
        <v>1600</v>
      </c>
      <c r="T61" s="84"/>
      <c r="U61" s="84"/>
      <c r="V61" s="84"/>
      <c r="W61" s="84"/>
      <c r="X61" s="97"/>
      <c r="Y61" s="98"/>
      <c r="Z61" s="98"/>
      <c r="AA61" s="226" t="s">
        <v>123</v>
      </c>
      <c r="AB61" s="233" t="s">
        <v>271</v>
      </c>
      <c r="AC61" s="79"/>
      <c r="AM61" s="77"/>
      <c r="AN61" s="77"/>
      <c r="AO61" s="74"/>
      <c r="AP61" s="74"/>
      <c r="AQ61" s="74"/>
    </row>
    <row r="62" spans="1:43" ht="25.5" x14ac:dyDescent="0.2">
      <c r="A62" s="350">
        <v>3</v>
      </c>
      <c r="B62" s="301" t="s">
        <v>415</v>
      </c>
      <c r="C62" s="302" t="s">
        <v>144</v>
      </c>
      <c r="D62" s="303" t="s">
        <v>461</v>
      </c>
      <c r="E62" s="303" t="s">
        <v>182</v>
      </c>
      <c r="F62" s="105" t="s">
        <v>416</v>
      </c>
      <c r="G62" s="83">
        <v>1800</v>
      </c>
      <c r="H62" s="83"/>
      <c r="I62" s="83">
        <v>100</v>
      </c>
      <c r="J62" s="83">
        <v>900</v>
      </c>
      <c r="K62" s="83">
        <f t="shared" si="43"/>
        <v>900</v>
      </c>
      <c r="L62" s="84">
        <v>100</v>
      </c>
      <c r="M62" s="84"/>
      <c r="N62" s="84">
        <f t="shared" si="45"/>
        <v>0</v>
      </c>
      <c r="O62" s="186"/>
      <c r="P62" s="84"/>
      <c r="Q62" s="84"/>
      <c r="R62" s="84">
        <f t="shared" ref="R62:R63" si="48">S62</f>
        <v>900</v>
      </c>
      <c r="S62" s="84">
        <f t="shared" ref="S62:S63" si="49">J62</f>
        <v>900</v>
      </c>
      <c r="T62" s="84"/>
      <c r="U62" s="84"/>
      <c r="V62" s="84"/>
      <c r="W62" s="84"/>
      <c r="X62" s="97"/>
      <c r="Y62" s="98"/>
      <c r="Z62" s="98"/>
      <c r="AA62" s="226" t="s">
        <v>123</v>
      </c>
      <c r="AB62" s="233" t="s">
        <v>271</v>
      </c>
      <c r="AC62" s="79"/>
      <c r="AM62" s="77"/>
      <c r="AN62" s="77"/>
      <c r="AO62" s="74"/>
      <c r="AP62" s="74"/>
      <c r="AQ62" s="74"/>
    </row>
    <row r="63" spans="1:43" ht="38.25" x14ac:dyDescent="0.2">
      <c r="A63" s="350">
        <v>4</v>
      </c>
      <c r="B63" s="301" t="s">
        <v>458</v>
      </c>
      <c r="C63" s="302" t="s">
        <v>229</v>
      </c>
      <c r="D63" s="303" t="s">
        <v>461</v>
      </c>
      <c r="E63" s="303" t="s">
        <v>182</v>
      </c>
      <c r="F63" s="224" t="s">
        <v>462</v>
      </c>
      <c r="G63" s="83">
        <v>370</v>
      </c>
      <c r="H63" s="83"/>
      <c r="I63" s="83"/>
      <c r="J63" s="83">
        <v>230</v>
      </c>
      <c r="K63" s="83">
        <f t="shared" si="43"/>
        <v>230</v>
      </c>
      <c r="L63" s="84"/>
      <c r="M63" s="84"/>
      <c r="N63" s="84">
        <f t="shared" si="45"/>
        <v>0</v>
      </c>
      <c r="O63" s="186"/>
      <c r="P63" s="84"/>
      <c r="Q63" s="84"/>
      <c r="R63" s="84">
        <f t="shared" si="48"/>
        <v>230</v>
      </c>
      <c r="S63" s="84">
        <f t="shared" si="49"/>
        <v>230</v>
      </c>
      <c r="T63" s="84"/>
      <c r="U63" s="84"/>
      <c r="V63" s="84"/>
      <c r="W63" s="84"/>
      <c r="X63" s="97"/>
      <c r="Y63" s="98"/>
      <c r="Z63" s="98"/>
      <c r="AA63" s="226" t="s">
        <v>123</v>
      </c>
      <c r="AB63" s="233" t="s">
        <v>271</v>
      </c>
      <c r="AC63" s="79"/>
      <c r="AM63" s="77"/>
      <c r="AN63" s="77"/>
      <c r="AO63" s="74"/>
      <c r="AP63" s="74"/>
      <c r="AQ63" s="74"/>
    </row>
    <row r="64" spans="1:43" s="142" customFormat="1" x14ac:dyDescent="0.2">
      <c r="A64" s="352" t="s">
        <v>543</v>
      </c>
      <c r="B64" s="160" t="s">
        <v>465</v>
      </c>
      <c r="C64" s="304"/>
      <c r="D64" s="141"/>
      <c r="E64" s="136"/>
      <c r="F64" s="136"/>
      <c r="G64" s="162">
        <f>G65+G67</f>
        <v>13952</v>
      </c>
      <c r="H64" s="162">
        <f t="shared" ref="H64:V64" si="50">H65+H67</f>
        <v>13180</v>
      </c>
      <c r="I64" s="162">
        <f t="shared" si="50"/>
        <v>1641</v>
      </c>
      <c r="J64" s="162">
        <f t="shared" si="50"/>
        <v>6616</v>
      </c>
      <c r="K64" s="162">
        <f t="shared" si="50"/>
        <v>0</v>
      </c>
      <c r="L64" s="162">
        <f t="shared" si="50"/>
        <v>1237.865</v>
      </c>
      <c r="M64" s="162">
        <f t="shared" si="50"/>
        <v>0</v>
      </c>
      <c r="N64" s="162">
        <f t="shared" si="50"/>
        <v>1345.57</v>
      </c>
      <c r="O64" s="162">
        <f t="shared" si="50"/>
        <v>595.56999999999994</v>
      </c>
      <c r="P64" s="162">
        <f t="shared" si="50"/>
        <v>0</v>
      </c>
      <c r="Q64" s="162">
        <f t="shared" si="50"/>
        <v>0</v>
      </c>
      <c r="R64" s="162">
        <f t="shared" si="50"/>
        <v>6616</v>
      </c>
      <c r="S64" s="162">
        <f t="shared" si="50"/>
        <v>6616</v>
      </c>
      <c r="T64" s="162">
        <f t="shared" si="50"/>
        <v>0</v>
      </c>
      <c r="U64" s="162">
        <f t="shared" si="50"/>
        <v>0</v>
      </c>
      <c r="V64" s="162">
        <f t="shared" si="50"/>
        <v>0</v>
      </c>
      <c r="W64" s="137"/>
      <c r="X64" s="356"/>
      <c r="Y64" s="213"/>
      <c r="Z64" s="213"/>
      <c r="AA64" s="226"/>
      <c r="AB64" s="233"/>
      <c r="AC64" s="143"/>
      <c r="AM64" s="125"/>
      <c r="AN64" s="125"/>
    </row>
    <row r="65" spans="1:43" s="101" customFormat="1" ht="27" x14ac:dyDescent="0.2">
      <c r="A65" s="353"/>
      <c r="B65" s="152" t="s">
        <v>440</v>
      </c>
      <c r="C65" s="153"/>
      <c r="D65" s="154"/>
      <c r="E65" s="154"/>
      <c r="F65" s="153"/>
      <c r="G65" s="155">
        <f>SUM(G66)</f>
        <v>7752</v>
      </c>
      <c r="H65" s="155">
        <f t="shared" ref="H65:V65" si="51">SUM(H66)</f>
        <v>7570</v>
      </c>
      <c r="I65" s="155">
        <f t="shared" si="51"/>
        <v>904</v>
      </c>
      <c r="J65" s="155">
        <f t="shared" si="51"/>
        <v>3644</v>
      </c>
      <c r="K65" s="155">
        <f t="shared" si="51"/>
        <v>0</v>
      </c>
      <c r="L65" s="155">
        <f t="shared" si="51"/>
        <v>785</v>
      </c>
      <c r="M65" s="155">
        <f t="shared" si="51"/>
        <v>0</v>
      </c>
      <c r="N65" s="155">
        <f t="shared" si="51"/>
        <v>280</v>
      </c>
      <c r="O65" s="155">
        <f t="shared" si="51"/>
        <v>280</v>
      </c>
      <c r="P65" s="155">
        <f t="shared" si="51"/>
        <v>0</v>
      </c>
      <c r="Q65" s="155">
        <f t="shared" si="51"/>
        <v>0</v>
      </c>
      <c r="R65" s="155">
        <f t="shared" si="51"/>
        <v>3644</v>
      </c>
      <c r="S65" s="155">
        <f t="shared" si="51"/>
        <v>3644</v>
      </c>
      <c r="T65" s="155">
        <f t="shared" si="51"/>
        <v>0</v>
      </c>
      <c r="U65" s="155">
        <f t="shared" si="51"/>
        <v>0</v>
      </c>
      <c r="V65" s="155">
        <f t="shared" si="51"/>
        <v>0</v>
      </c>
      <c r="W65" s="156"/>
      <c r="X65" s="283"/>
      <c r="Y65" s="214"/>
      <c r="Z65" s="214"/>
      <c r="AA65" s="227"/>
      <c r="AB65" s="239"/>
      <c r="AD65" s="146"/>
      <c r="AM65" s="103"/>
      <c r="AN65" s="103"/>
    </row>
    <row r="66" spans="1:43" s="85" customFormat="1" ht="33.75" x14ac:dyDescent="0.2">
      <c r="A66" s="350">
        <v>1</v>
      </c>
      <c r="B66" s="82" t="s">
        <v>249</v>
      </c>
      <c r="C66" s="105" t="s">
        <v>439</v>
      </c>
      <c r="D66" s="105" t="s">
        <v>251</v>
      </c>
      <c r="E66" s="105" t="s">
        <v>182</v>
      </c>
      <c r="F66" s="105" t="s">
        <v>254</v>
      </c>
      <c r="G66" s="83">
        <v>7752</v>
      </c>
      <c r="H66" s="83">
        <v>7570</v>
      </c>
      <c r="I66" s="83">
        <v>904</v>
      </c>
      <c r="J66" s="157">
        <v>3644</v>
      </c>
      <c r="K66" s="83"/>
      <c r="L66" s="84">
        <v>785</v>
      </c>
      <c r="M66" s="84"/>
      <c r="N66" s="198">
        <f>O66</f>
        <v>280</v>
      </c>
      <c r="O66" s="199">
        <v>280</v>
      </c>
      <c r="P66" s="84"/>
      <c r="Q66" s="84"/>
      <c r="R66" s="84">
        <f>S66</f>
        <v>3644</v>
      </c>
      <c r="S66" s="84">
        <f>J66</f>
        <v>3644</v>
      </c>
      <c r="T66" s="84"/>
      <c r="U66" s="84"/>
      <c r="V66" s="84"/>
      <c r="W66" s="84"/>
      <c r="X66" s="97"/>
      <c r="Y66" s="209"/>
      <c r="Z66" s="209"/>
      <c r="AA66" s="226" t="s">
        <v>123</v>
      </c>
      <c r="AB66" s="233" t="s">
        <v>271</v>
      </c>
      <c r="AD66" s="86"/>
      <c r="AM66" s="77"/>
      <c r="AN66" s="77"/>
    </row>
    <row r="67" spans="1:43" s="101" customFormat="1" ht="27" x14ac:dyDescent="0.2">
      <c r="A67" s="353"/>
      <c r="B67" s="152" t="s">
        <v>441</v>
      </c>
      <c r="C67" s="153"/>
      <c r="D67" s="153"/>
      <c r="E67" s="153"/>
      <c r="F67" s="153"/>
      <c r="G67" s="155">
        <f>SUM(G68:G69)</f>
        <v>6200</v>
      </c>
      <c r="H67" s="155">
        <f t="shared" ref="H67:S67" si="52">SUM(H68:H69)</f>
        <v>5610</v>
      </c>
      <c r="I67" s="155">
        <f t="shared" si="52"/>
        <v>737</v>
      </c>
      <c r="J67" s="155">
        <f t="shared" si="52"/>
        <v>2972</v>
      </c>
      <c r="K67" s="155">
        <f t="shared" si="52"/>
        <v>0</v>
      </c>
      <c r="L67" s="155">
        <f t="shared" si="52"/>
        <v>452.86500000000001</v>
      </c>
      <c r="M67" s="155">
        <f t="shared" si="52"/>
        <v>0</v>
      </c>
      <c r="N67" s="155">
        <f t="shared" si="52"/>
        <v>1065.57</v>
      </c>
      <c r="O67" s="155">
        <f t="shared" si="52"/>
        <v>315.57</v>
      </c>
      <c r="P67" s="155">
        <f t="shared" si="52"/>
        <v>0</v>
      </c>
      <c r="Q67" s="155">
        <f t="shared" si="52"/>
        <v>0</v>
      </c>
      <c r="R67" s="155">
        <f t="shared" si="52"/>
        <v>2972</v>
      </c>
      <c r="S67" s="155">
        <f t="shared" si="52"/>
        <v>2972</v>
      </c>
      <c r="T67" s="155"/>
      <c r="U67" s="155"/>
      <c r="V67" s="155"/>
      <c r="W67" s="156"/>
      <c r="X67" s="283"/>
      <c r="Y67" s="214"/>
      <c r="Z67" s="214"/>
      <c r="AA67" s="227"/>
      <c r="AB67" s="239"/>
      <c r="AD67" s="146"/>
      <c r="AM67" s="103"/>
      <c r="AN67" s="103"/>
    </row>
    <row r="68" spans="1:43" s="85" customFormat="1" ht="33.75" x14ac:dyDescent="0.2">
      <c r="A68" s="350">
        <v>1</v>
      </c>
      <c r="B68" s="82" t="s">
        <v>247</v>
      </c>
      <c r="C68" s="105" t="s">
        <v>148</v>
      </c>
      <c r="D68" s="105" t="s">
        <v>250</v>
      </c>
      <c r="E68" s="105" t="s">
        <v>182</v>
      </c>
      <c r="F68" s="105" t="s">
        <v>252</v>
      </c>
      <c r="G68" s="83">
        <v>4650</v>
      </c>
      <c r="H68" s="83">
        <v>4490</v>
      </c>
      <c r="I68" s="83">
        <v>553</v>
      </c>
      <c r="J68" s="157">
        <v>2229</v>
      </c>
      <c r="K68" s="83"/>
      <c r="L68" s="84">
        <v>322.10300000000001</v>
      </c>
      <c r="M68" s="84"/>
      <c r="N68" s="198">
        <v>736.62</v>
      </c>
      <c r="O68" s="199">
        <v>196.62</v>
      </c>
      <c r="P68" s="84"/>
      <c r="Q68" s="84"/>
      <c r="R68" s="84">
        <f t="shared" ref="R68:R69" si="53">S68</f>
        <v>2229</v>
      </c>
      <c r="S68" s="84">
        <f t="shared" ref="S68:S69" si="54">J68</f>
        <v>2229</v>
      </c>
      <c r="T68" s="84"/>
      <c r="U68" s="84"/>
      <c r="V68" s="84"/>
      <c r="W68" s="84"/>
      <c r="X68" s="97"/>
      <c r="Y68" s="209"/>
      <c r="Z68" s="209"/>
      <c r="AA68" s="226" t="s">
        <v>123</v>
      </c>
      <c r="AB68" s="233" t="s">
        <v>271</v>
      </c>
      <c r="AD68" s="86"/>
      <c r="AM68" s="77"/>
      <c r="AN68" s="77"/>
    </row>
    <row r="69" spans="1:43" s="85" customFormat="1" ht="33.75" x14ac:dyDescent="0.2">
      <c r="A69" s="350">
        <v>2</v>
      </c>
      <c r="B69" s="82" t="s">
        <v>248</v>
      </c>
      <c r="C69" s="105" t="s">
        <v>148</v>
      </c>
      <c r="D69" s="105" t="s">
        <v>250</v>
      </c>
      <c r="E69" s="105" t="s">
        <v>182</v>
      </c>
      <c r="F69" s="105" t="s">
        <v>253</v>
      </c>
      <c r="G69" s="83">
        <v>1550</v>
      </c>
      <c r="H69" s="83">
        <v>1120</v>
      </c>
      <c r="I69" s="83">
        <v>184</v>
      </c>
      <c r="J69" s="157">
        <v>743</v>
      </c>
      <c r="K69" s="83"/>
      <c r="L69" s="84">
        <v>130.762</v>
      </c>
      <c r="M69" s="84"/>
      <c r="N69" s="198">
        <v>328.95</v>
      </c>
      <c r="O69" s="199">
        <v>118.95</v>
      </c>
      <c r="P69" s="84"/>
      <c r="Q69" s="84"/>
      <c r="R69" s="84">
        <f t="shared" si="53"/>
        <v>743</v>
      </c>
      <c r="S69" s="84">
        <f t="shared" si="54"/>
        <v>743</v>
      </c>
      <c r="T69" s="84"/>
      <c r="U69" s="84"/>
      <c r="V69" s="84"/>
      <c r="W69" s="84"/>
      <c r="X69" s="97"/>
      <c r="Y69" s="209"/>
      <c r="Z69" s="209"/>
      <c r="AA69" s="226" t="s">
        <v>123</v>
      </c>
      <c r="AB69" s="233" t="s">
        <v>271</v>
      </c>
      <c r="AD69" s="86"/>
      <c r="AM69" s="77"/>
      <c r="AN69" s="77"/>
    </row>
    <row r="70" spans="1:43" x14ac:dyDescent="0.2">
      <c r="A70" s="352" t="s">
        <v>464</v>
      </c>
      <c r="B70" s="160" t="str">
        <f>'Bieu CKGN (ko in)'!B54</f>
        <v>Vốn đầu tư từ nguồn thu sử dụng đất</v>
      </c>
      <c r="C70" s="164"/>
      <c r="D70" s="164"/>
      <c r="E70" s="164"/>
      <c r="F70" s="105"/>
      <c r="G70" s="162">
        <f>G71+G74</f>
        <v>34330</v>
      </c>
      <c r="H70" s="162">
        <f t="shared" ref="H70:V70" si="55">H71+H74</f>
        <v>27483</v>
      </c>
      <c r="I70" s="162">
        <f t="shared" si="55"/>
        <v>11736</v>
      </c>
      <c r="J70" s="162">
        <f t="shared" si="55"/>
        <v>12800</v>
      </c>
      <c r="K70" s="162">
        <f t="shared" si="55"/>
        <v>10543</v>
      </c>
      <c r="L70" s="162">
        <f t="shared" si="55"/>
        <v>17319</v>
      </c>
      <c r="M70" s="162">
        <f t="shared" si="55"/>
        <v>0</v>
      </c>
      <c r="N70" s="162">
        <f t="shared" si="55"/>
        <v>0</v>
      </c>
      <c r="O70" s="162">
        <f t="shared" si="55"/>
        <v>0</v>
      </c>
      <c r="P70" s="162">
        <f t="shared" si="55"/>
        <v>0</v>
      </c>
      <c r="Q70" s="162">
        <f t="shared" si="55"/>
        <v>0</v>
      </c>
      <c r="R70" s="162">
        <f t="shared" si="55"/>
        <v>12800</v>
      </c>
      <c r="S70" s="162">
        <f t="shared" si="55"/>
        <v>12800</v>
      </c>
      <c r="T70" s="162">
        <f t="shared" si="55"/>
        <v>0</v>
      </c>
      <c r="U70" s="162">
        <f t="shared" si="55"/>
        <v>0</v>
      </c>
      <c r="V70" s="162">
        <f t="shared" si="55"/>
        <v>0</v>
      </c>
      <c r="W70" s="166">
        <f>N70/J70*100</f>
        <v>0</v>
      </c>
      <c r="X70" s="97"/>
      <c r="Y70" s="210"/>
      <c r="Z70" s="210"/>
      <c r="AB70" s="229"/>
      <c r="AF70" s="88">
        <f>AF60-N58</f>
        <v>-1628.8400000000001</v>
      </c>
      <c r="AM70" s="77"/>
      <c r="AN70" s="77"/>
      <c r="AO70" s="74"/>
      <c r="AP70" s="74"/>
      <c r="AQ70" s="74"/>
    </row>
    <row r="71" spans="1:43" ht="25.5" x14ac:dyDescent="0.2">
      <c r="A71" s="352" t="s">
        <v>544</v>
      </c>
      <c r="B71" s="305" t="s">
        <v>466</v>
      </c>
      <c r="C71" s="164"/>
      <c r="D71" s="164"/>
      <c r="E71" s="164"/>
      <c r="F71" s="105"/>
      <c r="G71" s="162">
        <f t="shared" ref="G71:V71" si="56">SUM(G72:G72)</f>
        <v>28000</v>
      </c>
      <c r="H71" s="162">
        <f t="shared" si="56"/>
        <v>27483</v>
      </c>
      <c r="I71" s="162">
        <f t="shared" si="56"/>
        <v>10000</v>
      </c>
      <c r="J71" s="162">
        <f t="shared" si="56"/>
        <v>10543</v>
      </c>
      <c r="K71" s="162">
        <f t="shared" si="56"/>
        <v>10543</v>
      </c>
      <c r="L71" s="162">
        <f t="shared" si="56"/>
        <v>15119</v>
      </c>
      <c r="M71" s="162">
        <f t="shared" si="56"/>
        <v>0</v>
      </c>
      <c r="N71" s="162">
        <f t="shared" si="56"/>
        <v>0</v>
      </c>
      <c r="O71" s="162">
        <f t="shared" si="56"/>
        <v>0</v>
      </c>
      <c r="P71" s="162">
        <f t="shared" si="56"/>
        <v>0</v>
      </c>
      <c r="Q71" s="162">
        <f t="shared" si="56"/>
        <v>0</v>
      </c>
      <c r="R71" s="162">
        <f t="shared" si="56"/>
        <v>10543</v>
      </c>
      <c r="S71" s="162">
        <f t="shared" si="56"/>
        <v>10543</v>
      </c>
      <c r="T71" s="162">
        <f t="shared" si="56"/>
        <v>0</v>
      </c>
      <c r="U71" s="162">
        <f t="shared" si="56"/>
        <v>0</v>
      </c>
      <c r="V71" s="162">
        <f t="shared" si="56"/>
        <v>0</v>
      </c>
      <c r="W71" s="281"/>
      <c r="X71" s="97"/>
      <c r="Y71" s="98"/>
      <c r="Z71" s="98"/>
      <c r="AB71" s="229"/>
      <c r="AM71" s="77"/>
      <c r="AN71" s="77"/>
      <c r="AO71" s="74"/>
      <c r="AP71" s="74"/>
      <c r="AQ71" s="74"/>
    </row>
    <row r="72" spans="1:43" ht="13.5" x14ac:dyDescent="0.2">
      <c r="A72" s="350"/>
      <c r="B72" s="306" t="s">
        <v>467</v>
      </c>
      <c r="C72" s="106"/>
      <c r="D72" s="106"/>
      <c r="E72" s="106"/>
      <c r="F72" s="105"/>
      <c r="G72" s="155">
        <f>SUM(G73)</f>
        <v>28000</v>
      </c>
      <c r="H72" s="155">
        <f t="shared" ref="H72:S72" si="57">SUM(H73)</f>
        <v>27483</v>
      </c>
      <c r="I72" s="155">
        <f t="shared" si="57"/>
        <v>10000</v>
      </c>
      <c r="J72" s="155">
        <f t="shared" si="57"/>
        <v>10543</v>
      </c>
      <c r="K72" s="155">
        <f t="shared" si="57"/>
        <v>10543</v>
      </c>
      <c r="L72" s="155">
        <f t="shared" si="57"/>
        <v>15119</v>
      </c>
      <c r="M72" s="155">
        <f t="shared" si="57"/>
        <v>0</v>
      </c>
      <c r="N72" s="155">
        <f t="shared" si="57"/>
        <v>0</v>
      </c>
      <c r="O72" s="155">
        <f t="shared" si="57"/>
        <v>0</v>
      </c>
      <c r="P72" s="155">
        <f t="shared" si="57"/>
        <v>0</v>
      </c>
      <c r="Q72" s="155">
        <f t="shared" si="57"/>
        <v>0</v>
      </c>
      <c r="R72" s="155">
        <f t="shared" si="57"/>
        <v>10543</v>
      </c>
      <c r="S72" s="155">
        <f t="shared" si="57"/>
        <v>10543</v>
      </c>
      <c r="T72" s="156"/>
      <c r="U72" s="156"/>
      <c r="V72" s="156"/>
      <c r="W72" s="156"/>
      <c r="X72" s="354"/>
      <c r="Y72" s="205"/>
      <c r="Z72" s="205"/>
      <c r="AB72" s="238"/>
      <c r="AM72" s="77"/>
      <c r="AN72" s="77"/>
      <c r="AO72" s="74"/>
      <c r="AP72" s="74"/>
      <c r="AQ72" s="74"/>
    </row>
    <row r="73" spans="1:43" s="85" customFormat="1" ht="25.5" x14ac:dyDescent="0.2">
      <c r="A73" s="350">
        <f>'Bieu CKGN (ko in)'!A63</f>
        <v>1</v>
      </c>
      <c r="B73" s="82" t="str">
        <f>'Bieu CKGN (ko in)'!B63</f>
        <v>Xây dựng hạ tầng kỹ thuật và chỉnh trang đô thị, thị trấn Mường Tè, huyện Mường Tè</v>
      </c>
      <c r="C73" s="287" t="s">
        <v>143</v>
      </c>
      <c r="D73" s="106"/>
      <c r="E73" s="105">
        <v>2022</v>
      </c>
      <c r="F73" s="105" t="str">
        <f>'Bieu CKGN (ko in)'!C63</f>
        <v>628-02/4/2021</v>
      </c>
      <c r="G73" s="83">
        <v>28000</v>
      </c>
      <c r="H73" s="188">
        <v>27483</v>
      </c>
      <c r="I73" s="83">
        <v>10000</v>
      </c>
      <c r="J73" s="83">
        <v>10543</v>
      </c>
      <c r="K73" s="83">
        <f>J73</f>
        <v>10543</v>
      </c>
      <c r="L73" s="84">
        <f>9819+1000+4300</f>
        <v>15119</v>
      </c>
      <c r="M73" s="84"/>
      <c r="N73" s="198">
        <f>O73</f>
        <v>0</v>
      </c>
      <c r="O73" s="84"/>
      <c r="P73" s="84"/>
      <c r="Q73" s="84"/>
      <c r="R73" s="84">
        <f t="shared" ref="R73" si="58">S73</f>
        <v>10543</v>
      </c>
      <c r="S73" s="84">
        <f t="shared" ref="S73" si="59">J73</f>
        <v>10543</v>
      </c>
      <c r="T73" s="84"/>
      <c r="U73" s="84">
        <f t="shared" ref="U73" si="60">J73-N73</f>
        <v>10543</v>
      </c>
      <c r="V73" s="84"/>
      <c r="W73" s="84"/>
      <c r="X73" s="97"/>
      <c r="Y73" s="209"/>
      <c r="Z73" s="209"/>
      <c r="AA73" s="226" t="s">
        <v>123</v>
      </c>
      <c r="AB73" s="233" t="s">
        <v>271</v>
      </c>
      <c r="AC73" s="158">
        <v>6342</v>
      </c>
      <c r="AE73" s="159">
        <f>N73-AC73</f>
        <v>-6342</v>
      </c>
      <c r="AM73" s="77">
        <f t="shared" si="14"/>
        <v>10543</v>
      </c>
      <c r="AN73" s="77">
        <f t="shared" si="15"/>
        <v>15119</v>
      </c>
    </row>
    <row r="74" spans="1:43" s="85" customFormat="1" x14ac:dyDescent="0.2">
      <c r="A74" s="352" t="s">
        <v>545</v>
      </c>
      <c r="B74" s="160" t="s">
        <v>468</v>
      </c>
      <c r="C74" s="287"/>
      <c r="D74" s="106"/>
      <c r="E74" s="105"/>
      <c r="F74" s="105"/>
      <c r="G74" s="163">
        <f>G75+G77</f>
        <v>6330</v>
      </c>
      <c r="H74" s="163">
        <f t="shared" ref="H74:S74" si="61">H75+H77</f>
        <v>0</v>
      </c>
      <c r="I74" s="163">
        <f t="shared" si="61"/>
        <v>1736</v>
      </c>
      <c r="J74" s="163">
        <f t="shared" si="61"/>
        <v>2257</v>
      </c>
      <c r="K74" s="163">
        <f t="shared" si="61"/>
        <v>0</v>
      </c>
      <c r="L74" s="163">
        <f t="shared" si="61"/>
        <v>2200</v>
      </c>
      <c r="M74" s="163">
        <f t="shared" si="61"/>
        <v>0</v>
      </c>
      <c r="N74" s="163">
        <f t="shared" si="61"/>
        <v>0</v>
      </c>
      <c r="O74" s="163">
        <f t="shared" si="61"/>
        <v>0</v>
      </c>
      <c r="P74" s="163">
        <f t="shared" si="61"/>
        <v>0</v>
      </c>
      <c r="Q74" s="163">
        <f t="shared" si="61"/>
        <v>0</v>
      </c>
      <c r="R74" s="163">
        <f t="shared" si="61"/>
        <v>2257</v>
      </c>
      <c r="S74" s="163">
        <f t="shared" si="61"/>
        <v>2257</v>
      </c>
      <c r="T74" s="84"/>
      <c r="U74" s="84"/>
      <c r="V74" s="84"/>
      <c r="W74" s="84"/>
      <c r="X74" s="97"/>
      <c r="Y74" s="209"/>
      <c r="Z74" s="209"/>
      <c r="AA74" s="226"/>
      <c r="AB74" s="233"/>
      <c r="AC74" s="158"/>
      <c r="AE74" s="159"/>
      <c r="AM74" s="77"/>
      <c r="AN74" s="77"/>
    </row>
    <row r="75" spans="1:43" s="139" customFormat="1" ht="13.5" x14ac:dyDescent="0.2">
      <c r="A75" s="357" t="s">
        <v>28</v>
      </c>
      <c r="B75" s="306" t="s">
        <v>469</v>
      </c>
      <c r="C75" s="304"/>
      <c r="D75" s="141"/>
      <c r="E75" s="136"/>
      <c r="F75" s="136"/>
      <c r="G75" s="161">
        <f>SUM(G76)</f>
        <v>830</v>
      </c>
      <c r="H75" s="155">
        <f t="shared" ref="H75:V75" si="62">SUM(H76)</f>
        <v>0</v>
      </c>
      <c r="I75" s="155">
        <f t="shared" si="62"/>
        <v>0</v>
      </c>
      <c r="J75" s="161">
        <f t="shared" si="62"/>
        <v>57</v>
      </c>
      <c r="K75" s="161">
        <f t="shared" si="62"/>
        <v>0</v>
      </c>
      <c r="L75" s="161">
        <f t="shared" si="62"/>
        <v>0</v>
      </c>
      <c r="M75" s="161">
        <f t="shared" si="62"/>
        <v>0</v>
      </c>
      <c r="N75" s="161">
        <f t="shared" si="62"/>
        <v>0</v>
      </c>
      <c r="O75" s="161">
        <f t="shared" si="62"/>
        <v>0</v>
      </c>
      <c r="P75" s="161">
        <f t="shared" si="62"/>
        <v>0</v>
      </c>
      <c r="Q75" s="161">
        <f t="shared" si="62"/>
        <v>0</v>
      </c>
      <c r="R75" s="161">
        <f t="shared" si="62"/>
        <v>57</v>
      </c>
      <c r="S75" s="161">
        <f t="shared" si="62"/>
        <v>57</v>
      </c>
      <c r="T75" s="155">
        <f t="shared" si="62"/>
        <v>0</v>
      </c>
      <c r="U75" s="155">
        <f t="shared" si="62"/>
        <v>0</v>
      </c>
      <c r="V75" s="155">
        <f t="shared" si="62"/>
        <v>0</v>
      </c>
      <c r="W75" s="137"/>
      <c r="X75" s="356"/>
      <c r="Y75" s="215"/>
      <c r="Z75" s="215"/>
      <c r="AA75" s="226"/>
      <c r="AB75" s="233"/>
      <c r="AC75" s="138"/>
      <c r="AE75" s="140"/>
      <c r="AM75" s="125"/>
      <c r="AN75" s="125"/>
    </row>
    <row r="76" spans="1:43" s="85" customFormat="1" ht="33.75" x14ac:dyDescent="0.2">
      <c r="A76" s="358" t="s">
        <v>470</v>
      </c>
      <c r="B76" s="307" t="s">
        <v>471</v>
      </c>
      <c r="C76" s="293" t="s">
        <v>263</v>
      </c>
      <c r="D76" s="106"/>
      <c r="E76" s="105"/>
      <c r="F76" s="293" t="s">
        <v>472</v>
      </c>
      <c r="G76" s="83">
        <v>830</v>
      </c>
      <c r="H76" s="308"/>
      <c r="I76" s="83"/>
      <c r="J76" s="157">
        <v>57</v>
      </c>
      <c r="K76" s="83"/>
      <c r="L76" s="84"/>
      <c r="M76" s="84"/>
      <c r="N76" s="84">
        <f>O76</f>
        <v>0</v>
      </c>
      <c r="O76" s="84"/>
      <c r="P76" s="84"/>
      <c r="Q76" s="84"/>
      <c r="R76" s="186">
        <f t="shared" ref="R76" si="63">S76</f>
        <v>57</v>
      </c>
      <c r="S76" s="186">
        <f t="shared" ref="S76" si="64">J76</f>
        <v>57</v>
      </c>
      <c r="T76" s="84"/>
      <c r="U76" s="84"/>
      <c r="V76" s="84"/>
      <c r="W76" s="84"/>
      <c r="X76" s="97"/>
      <c r="Y76" s="209"/>
      <c r="Z76" s="209"/>
      <c r="AA76" s="226" t="s">
        <v>125</v>
      </c>
      <c r="AB76" s="233" t="s">
        <v>413</v>
      </c>
      <c r="AC76" s="158"/>
      <c r="AE76" s="159"/>
      <c r="AM76" s="77"/>
      <c r="AN76" s="77"/>
    </row>
    <row r="77" spans="1:43" s="85" customFormat="1" ht="13.5" x14ac:dyDescent="0.2">
      <c r="A77" s="357" t="s">
        <v>30</v>
      </c>
      <c r="B77" s="306" t="s">
        <v>37</v>
      </c>
      <c r="C77" s="287"/>
      <c r="D77" s="106"/>
      <c r="E77" s="105"/>
      <c r="F77" s="105"/>
      <c r="G77" s="155">
        <f>SUM(G78:G79)</f>
        <v>5500</v>
      </c>
      <c r="H77" s="155">
        <f t="shared" ref="H77:S77" si="65">SUM(H78:H79)</f>
        <v>0</v>
      </c>
      <c r="I77" s="155">
        <f t="shared" si="65"/>
        <v>1736</v>
      </c>
      <c r="J77" s="155">
        <f t="shared" si="65"/>
        <v>2200</v>
      </c>
      <c r="K77" s="155">
        <f t="shared" si="65"/>
        <v>0</v>
      </c>
      <c r="L77" s="155">
        <f t="shared" si="65"/>
        <v>2200</v>
      </c>
      <c r="M77" s="155">
        <f t="shared" si="65"/>
        <v>0</v>
      </c>
      <c r="N77" s="155">
        <f t="shared" si="65"/>
        <v>0</v>
      </c>
      <c r="O77" s="155">
        <f t="shared" si="65"/>
        <v>0</v>
      </c>
      <c r="P77" s="155">
        <f t="shared" si="65"/>
        <v>0</v>
      </c>
      <c r="Q77" s="155">
        <f t="shared" si="65"/>
        <v>0</v>
      </c>
      <c r="R77" s="155">
        <f t="shared" si="65"/>
        <v>2200</v>
      </c>
      <c r="S77" s="155">
        <f t="shared" si="65"/>
        <v>2200</v>
      </c>
      <c r="T77" s="84"/>
      <c r="U77" s="84"/>
      <c r="V77" s="84"/>
      <c r="W77" s="84"/>
      <c r="X77" s="97"/>
      <c r="Y77" s="209"/>
      <c r="Z77" s="209"/>
      <c r="AA77" s="226"/>
      <c r="AB77" s="233"/>
      <c r="AC77" s="158"/>
      <c r="AE77" s="159"/>
      <c r="AM77" s="77"/>
      <c r="AN77" s="77"/>
    </row>
    <row r="78" spans="1:43" s="85" customFormat="1" ht="24" x14ac:dyDescent="0.2">
      <c r="A78" s="350">
        <v>1</v>
      </c>
      <c r="B78" s="309" t="s">
        <v>255</v>
      </c>
      <c r="C78" s="302" t="s">
        <v>258</v>
      </c>
      <c r="D78" s="224" t="s">
        <v>265</v>
      </c>
      <c r="E78" s="310" t="s">
        <v>182</v>
      </c>
      <c r="F78" s="310" t="s">
        <v>268</v>
      </c>
      <c r="G78" s="83">
        <v>3000</v>
      </c>
      <c r="H78" s="308"/>
      <c r="I78" s="311">
        <v>736</v>
      </c>
      <c r="J78" s="83">
        <v>1400</v>
      </c>
      <c r="K78" s="83"/>
      <c r="L78" s="83">
        <v>700</v>
      </c>
      <c r="M78" s="84"/>
      <c r="N78" s="84">
        <f t="shared" ref="N78:N79" si="66">O78</f>
        <v>0</v>
      </c>
      <c r="O78" s="84"/>
      <c r="P78" s="84"/>
      <c r="Q78" s="84"/>
      <c r="R78" s="186">
        <f t="shared" ref="R78:R79" si="67">S78</f>
        <v>1400</v>
      </c>
      <c r="S78" s="186">
        <f t="shared" ref="S78:S79" si="68">J78</f>
        <v>1400</v>
      </c>
      <c r="T78" s="84"/>
      <c r="U78" s="84"/>
      <c r="V78" s="84"/>
      <c r="W78" s="84"/>
      <c r="X78" s="97"/>
      <c r="Y78" s="209"/>
      <c r="Z78" s="209"/>
      <c r="AA78" s="226" t="s">
        <v>123</v>
      </c>
      <c r="AB78" s="233" t="s">
        <v>271</v>
      </c>
      <c r="AC78" s="158"/>
      <c r="AE78" s="159"/>
      <c r="AM78" s="77"/>
      <c r="AN78" s="77"/>
    </row>
    <row r="79" spans="1:43" s="85" customFormat="1" ht="25.5" x14ac:dyDescent="0.2">
      <c r="A79" s="350">
        <v>2</v>
      </c>
      <c r="B79" s="309" t="s">
        <v>256</v>
      </c>
      <c r="C79" s="302" t="s">
        <v>258</v>
      </c>
      <c r="D79" s="224" t="s">
        <v>266</v>
      </c>
      <c r="E79" s="310" t="s">
        <v>182</v>
      </c>
      <c r="F79" s="310" t="s">
        <v>269</v>
      </c>
      <c r="G79" s="83">
        <v>2500</v>
      </c>
      <c r="H79" s="308"/>
      <c r="I79" s="83">
        <v>1000</v>
      </c>
      <c r="J79" s="83">
        <v>800</v>
      </c>
      <c r="K79" s="83"/>
      <c r="L79" s="84">
        <v>1500</v>
      </c>
      <c r="M79" s="84"/>
      <c r="N79" s="84">
        <f t="shared" si="66"/>
        <v>0</v>
      </c>
      <c r="O79" s="84"/>
      <c r="P79" s="84"/>
      <c r="Q79" s="84"/>
      <c r="R79" s="186">
        <f t="shared" si="67"/>
        <v>800</v>
      </c>
      <c r="S79" s="186">
        <f t="shared" si="68"/>
        <v>800</v>
      </c>
      <c r="T79" s="84"/>
      <c r="U79" s="84"/>
      <c r="V79" s="84"/>
      <c r="W79" s="84"/>
      <c r="X79" s="97"/>
      <c r="Y79" s="209"/>
      <c r="Z79" s="209"/>
      <c r="AA79" s="226" t="s">
        <v>123</v>
      </c>
      <c r="AB79" s="240" t="s">
        <v>273</v>
      </c>
      <c r="AC79" s="158"/>
      <c r="AE79" s="159"/>
      <c r="AM79" s="77"/>
      <c r="AN79" s="77"/>
    </row>
    <row r="80" spans="1:43" s="142" customFormat="1" x14ac:dyDescent="0.2">
      <c r="A80" s="352"/>
      <c r="B80" s="160" t="s">
        <v>167</v>
      </c>
      <c r="C80" s="164"/>
      <c r="D80" s="164"/>
      <c r="E80" s="164"/>
      <c r="F80" s="105"/>
      <c r="G80" s="162">
        <f>G81+G88+G114</f>
        <v>457297</v>
      </c>
      <c r="H80" s="162">
        <f t="shared" ref="H80:S80" si="69">H81+H88+H114</f>
        <v>0</v>
      </c>
      <c r="I80" s="162">
        <f t="shared" si="69"/>
        <v>137568</v>
      </c>
      <c r="J80" s="162">
        <f t="shared" si="69"/>
        <v>137639</v>
      </c>
      <c r="K80" s="162">
        <f t="shared" si="69"/>
        <v>0</v>
      </c>
      <c r="L80" s="162">
        <f t="shared" si="69"/>
        <v>67882</v>
      </c>
      <c r="M80" s="162">
        <f t="shared" si="69"/>
        <v>0</v>
      </c>
      <c r="N80" s="162">
        <f t="shared" si="69"/>
        <v>9432.8369999999995</v>
      </c>
      <c r="O80" s="162">
        <f t="shared" si="69"/>
        <v>7531.8369999999995</v>
      </c>
      <c r="P80" s="162">
        <f t="shared" si="69"/>
        <v>0</v>
      </c>
      <c r="Q80" s="162">
        <f t="shared" si="69"/>
        <v>0</v>
      </c>
      <c r="R80" s="162">
        <f t="shared" si="69"/>
        <v>135210</v>
      </c>
      <c r="S80" s="162">
        <f t="shared" si="69"/>
        <v>137639</v>
      </c>
      <c r="T80" s="162">
        <f>T81+T88+T114</f>
        <v>0</v>
      </c>
      <c r="U80" s="162">
        <f>U81+U88+U114</f>
        <v>0</v>
      </c>
      <c r="V80" s="162">
        <f>V81+V88+V114</f>
        <v>0</v>
      </c>
      <c r="W80" s="163">
        <f>N80/J80*100</f>
        <v>6.8533170104403549</v>
      </c>
      <c r="X80" s="97"/>
      <c r="Y80" s="204"/>
      <c r="Z80" s="204">
        <f>N80/J80%</f>
        <v>6.853317010440354</v>
      </c>
      <c r="AA80" s="241"/>
      <c r="AB80" s="229"/>
      <c r="AC80" s="145"/>
      <c r="AE80" s="144"/>
      <c r="AM80" s="125"/>
      <c r="AN80" s="125"/>
    </row>
    <row r="81" spans="1:40" s="85" customFormat="1" ht="19.149999999999999" customHeight="1" x14ac:dyDescent="0.2">
      <c r="A81" s="352" t="s">
        <v>15</v>
      </c>
      <c r="B81" s="160" t="s">
        <v>168</v>
      </c>
      <c r="C81" s="312"/>
      <c r="D81" s="164"/>
      <c r="E81" s="165"/>
      <c r="F81" s="165"/>
      <c r="G81" s="162">
        <f>G82+G84</f>
        <v>7590</v>
      </c>
      <c r="H81" s="162">
        <f t="shared" ref="H81:V81" si="70">H82+H84</f>
        <v>0</v>
      </c>
      <c r="I81" s="162">
        <f t="shared" si="70"/>
        <v>2100</v>
      </c>
      <c r="J81" s="162">
        <f t="shared" si="70"/>
        <v>2433</v>
      </c>
      <c r="K81" s="162">
        <f t="shared" si="70"/>
        <v>0</v>
      </c>
      <c r="L81" s="162">
        <f t="shared" si="70"/>
        <v>840</v>
      </c>
      <c r="M81" s="162">
        <f t="shared" si="70"/>
        <v>0</v>
      </c>
      <c r="N81" s="162">
        <f t="shared" si="70"/>
        <v>0</v>
      </c>
      <c r="O81" s="162">
        <f t="shared" si="70"/>
        <v>0</v>
      </c>
      <c r="P81" s="162">
        <f t="shared" si="70"/>
        <v>0</v>
      </c>
      <c r="Q81" s="162">
        <f t="shared" si="70"/>
        <v>0</v>
      </c>
      <c r="R81" s="162">
        <f t="shared" si="70"/>
        <v>2433</v>
      </c>
      <c r="S81" s="162">
        <f t="shared" si="70"/>
        <v>2433</v>
      </c>
      <c r="T81" s="162">
        <f t="shared" si="70"/>
        <v>0</v>
      </c>
      <c r="U81" s="162">
        <f t="shared" si="70"/>
        <v>0</v>
      </c>
      <c r="V81" s="162">
        <f t="shared" si="70"/>
        <v>0</v>
      </c>
      <c r="W81" s="166">
        <f>N81/J81*100</f>
        <v>0</v>
      </c>
      <c r="X81" s="278"/>
      <c r="Y81" s="216"/>
      <c r="Z81" s="216"/>
      <c r="AA81" s="226"/>
      <c r="AB81" s="230"/>
      <c r="AC81" s="158"/>
      <c r="AE81" s="159"/>
      <c r="AM81" s="77"/>
      <c r="AN81" s="77"/>
    </row>
    <row r="82" spans="1:40" s="101" customFormat="1" ht="13.5" x14ac:dyDescent="0.2">
      <c r="A82" s="353" t="s">
        <v>28</v>
      </c>
      <c r="B82" s="191" t="s">
        <v>474</v>
      </c>
      <c r="C82" s="313"/>
      <c r="D82" s="154"/>
      <c r="E82" s="153"/>
      <c r="F82" s="153"/>
      <c r="G82" s="155">
        <f>SUM(G83)</f>
        <v>2800</v>
      </c>
      <c r="H82" s="155">
        <f t="shared" ref="H82:S82" si="71">SUM(H83)</f>
        <v>0</v>
      </c>
      <c r="I82" s="155">
        <f t="shared" si="71"/>
        <v>2100</v>
      </c>
      <c r="J82" s="155">
        <f t="shared" si="71"/>
        <v>511</v>
      </c>
      <c r="K82" s="155">
        <f t="shared" si="71"/>
        <v>0</v>
      </c>
      <c r="L82" s="155">
        <f t="shared" si="71"/>
        <v>840</v>
      </c>
      <c r="M82" s="155">
        <f t="shared" si="71"/>
        <v>0</v>
      </c>
      <c r="N82" s="155">
        <f t="shared" si="71"/>
        <v>0</v>
      </c>
      <c r="O82" s="155">
        <f t="shared" si="71"/>
        <v>0</v>
      </c>
      <c r="P82" s="155">
        <f t="shared" si="71"/>
        <v>0</v>
      </c>
      <c r="Q82" s="155">
        <f t="shared" si="71"/>
        <v>0</v>
      </c>
      <c r="R82" s="155">
        <f t="shared" si="71"/>
        <v>511</v>
      </c>
      <c r="S82" s="155">
        <f t="shared" si="71"/>
        <v>511</v>
      </c>
      <c r="T82" s="155">
        <f>SUM(T83:T87)</f>
        <v>0</v>
      </c>
      <c r="U82" s="155">
        <f>SUM(U83:U87)</f>
        <v>0</v>
      </c>
      <c r="V82" s="155">
        <f>SUM(V83:V87)</f>
        <v>0</v>
      </c>
      <c r="W82" s="156"/>
      <c r="X82" s="283"/>
      <c r="Y82" s="214"/>
      <c r="Z82" s="214"/>
      <c r="AA82" s="227"/>
      <c r="AB82" s="242"/>
      <c r="AC82" s="167"/>
      <c r="AE82" s="168"/>
      <c r="AM82" s="77"/>
      <c r="AN82" s="77"/>
    </row>
    <row r="83" spans="1:40" s="85" customFormat="1" ht="56.25" x14ac:dyDescent="0.2">
      <c r="A83" s="350">
        <v>1</v>
      </c>
      <c r="B83" s="314" t="s">
        <v>257</v>
      </c>
      <c r="C83" s="287" t="s">
        <v>262</v>
      </c>
      <c r="D83" s="105" t="s">
        <v>267</v>
      </c>
      <c r="E83" s="177" t="s">
        <v>170</v>
      </c>
      <c r="F83" s="177" t="s">
        <v>270</v>
      </c>
      <c r="G83" s="315">
        <v>2800</v>
      </c>
      <c r="H83" s="315"/>
      <c r="I83" s="315">
        <v>2100</v>
      </c>
      <c r="J83" s="311">
        <v>511</v>
      </c>
      <c r="K83" s="83"/>
      <c r="L83" s="84">
        <v>840</v>
      </c>
      <c r="M83" s="316"/>
      <c r="N83" s="94">
        <f t="shared" ref="N83" si="72">O83</f>
        <v>0</v>
      </c>
      <c r="O83" s="84"/>
      <c r="P83" s="84"/>
      <c r="Q83" s="84"/>
      <c r="R83" s="84">
        <f t="shared" ref="R83" si="73">S83</f>
        <v>511</v>
      </c>
      <c r="S83" s="311">
        <f t="shared" ref="S83" si="74">J83</f>
        <v>511</v>
      </c>
      <c r="T83" s="84"/>
      <c r="U83" s="84"/>
      <c r="V83" s="84"/>
      <c r="W83" s="84"/>
      <c r="X83" s="97"/>
      <c r="Y83" s="209"/>
      <c r="Z83" s="209"/>
      <c r="AA83" s="226" t="s">
        <v>123</v>
      </c>
      <c r="AB83" s="240" t="s">
        <v>276</v>
      </c>
      <c r="AC83" s="158"/>
      <c r="AE83" s="159"/>
      <c r="AM83" s="77">
        <f t="shared" ref="AM83:AM147" si="75">J83-N83</f>
        <v>511</v>
      </c>
      <c r="AN83" s="77">
        <f t="shared" ref="AN83:AN147" si="76">L83-O83</f>
        <v>840</v>
      </c>
    </row>
    <row r="84" spans="1:40" s="85" customFormat="1" ht="13.5" x14ac:dyDescent="0.2">
      <c r="A84" s="359" t="s">
        <v>30</v>
      </c>
      <c r="B84" s="317" t="s">
        <v>475</v>
      </c>
      <c r="C84" s="287"/>
      <c r="D84" s="105"/>
      <c r="E84" s="177"/>
      <c r="F84" s="177"/>
      <c r="G84" s="318">
        <f>SUM(G85:G87)</f>
        <v>4790</v>
      </c>
      <c r="H84" s="318">
        <f t="shared" ref="H84:V84" si="77">SUM(H85:H87)</f>
        <v>0</v>
      </c>
      <c r="I84" s="318">
        <f t="shared" si="77"/>
        <v>0</v>
      </c>
      <c r="J84" s="318">
        <f t="shared" si="77"/>
        <v>1922</v>
      </c>
      <c r="K84" s="318">
        <f t="shared" si="77"/>
        <v>0</v>
      </c>
      <c r="L84" s="318">
        <f t="shared" si="77"/>
        <v>0</v>
      </c>
      <c r="M84" s="318">
        <f t="shared" si="77"/>
        <v>0</v>
      </c>
      <c r="N84" s="318">
        <f t="shared" si="77"/>
        <v>0</v>
      </c>
      <c r="O84" s="318">
        <f t="shared" si="77"/>
        <v>0</v>
      </c>
      <c r="P84" s="318">
        <f t="shared" si="77"/>
        <v>0</v>
      </c>
      <c r="Q84" s="318">
        <f t="shared" si="77"/>
        <v>0</v>
      </c>
      <c r="R84" s="318">
        <f t="shared" si="77"/>
        <v>1922</v>
      </c>
      <c r="S84" s="318">
        <f t="shared" si="77"/>
        <v>1922</v>
      </c>
      <c r="T84" s="318">
        <f t="shared" si="77"/>
        <v>0</v>
      </c>
      <c r="U84" s="318">
        <f t="shared" si="77"/>
        <v>0</v>
      </c>
      <c r="V84" s="318">
        <f t="shared" si="77"/>
        <v>0</v>
      </c>
      <c r="W84" s="84"/>
      <c r="X84" s="97"/>
      <c r="Y84" s="209"/>
      <c r="Z84" s="209"/>
      <c r="AA84" s="226"/>
      <c r="AB84" s="240"/>
      <c r="AC84" s="158"/>
      <c r="AE84" s="159"/>
      <c r="AM84" s="77"/>
      <c r="AN84" s="77"/>
    </row>
    <row r="85" spans="1:40" s="85" customFormat="1" ht="45" x14ac:dyDescent="0.2">
      <c r="A85" s="350" t="s">
        <v>470</v>
      </c>
      <c r="B85" s="314" t="s">
        <v>476</v>
      </c>
      <c r="C85" s="287" t="s">
        <v>146</v>
      </c>
      <c r="D85" s="105" t="s">
        <v>477</v>
      </c>
      <c r="E85" s="177" t="s">
        <v>478</v>
      </c>
      <c r="F85" s="177" t="s">
        <v>479</v>
      </c>
      <c r="G85" s="315">
        <v>670</v>
      </c>
      <c r="H85" s="315"/>
      <c r="I85" s="315"/>
      <c r="J85" s="311">
        <v>300</v>
      </c>
      <c r="K85" s="83"/>
      <c r="L85" s="84"/>
      <c r="M85" s="316"/>
      <c r="N85" s="94">
        <f>O85</f>
        <v>0</v>
      </c>
      <c r="O85" s="84"/>
      <c r="P85" s="84"/>
      <c r="Q85" s="84"/>
      <c r="R85" s="94">
        <f>S85</f>
        <v>300</v>
      </c>
      <c r="S85" s="311">
        <f>J85</f>
        <v>300</v>
      </c>
      <c r="T85" s="84"/>
      <c r="U85" s="84"/>
      <c r="V85" s="84"/>
      <c r="W85" s="84"/>
      <c r="X85" s="97"/>
      <c r="Y85" s="209"/>
      <c r="Z85" s="209"/>
      <c r="AA85" s="226" t="s">
        <v>124</v>
      </c>
      <c r="AB85" s="240"/>
      <c r="AC85" s="158"/>
      <c r="AE85" s="159"/>
      <c r="AM85" s="77"/>
      <c r="AN85" s="77"/>
    </row>
    <row r="86" spans="1:40" s="85" customFormat="1" ht="33.75" x14ac:dyDescent="0.2">
      <c r="A86" s="350" t="s">
        <v>480</v>
      </c>
      <c r="B86" s="314" t="s">
        <v>481</v>
      </c>
      <c r="C86" s="287" t="s">
        <v>150</v>
      </c>
      <c r="D86" s="105" t="s">
        <v>482</v>
      </c>
      <c r="E86" s="177" t="s">
        <v>478</v>
      </c>
      <c r="F86" s="177" t="s">
        <v>483</v>
      </c>
      <c r="G86" s="315">
        <v>2500</v>
      </c>
      <c r="H86" s="315"/>
      <c r="I86" s="315"/>
      <c r="J86" s="311">
        <v>811</v>
      </c>
      <c r="K86" s="83"/>
      <c r="L86" s="84"/>
      <c r="M86" s="316"/>
      <c r="N86" s="94">
        <f t="shared" ref="N86:N87" si="78">O86</f>
        <v>0</v>
      </c>
      <c r="O86" s="84"/>
      <c r="P86" s="84"/>
      <c r="Q86" s="84"/>
      <c r="R86" s="94">
        <f t="shared" ref="R86:R87" si="79">S86</f>
        <v>811</v>
      </c>
      <c r="S86" s="311">
        <f t="shared" ref="S86:S87" si="80">J86</f>
        <v>811</v>
      </c>
      <c r="T86" s="84"/>
      <c r="U86" s="84"/>
      <c r="V86" s="84"/>
      <c r="W86" s="84"/>
      <c r="X86" s="97"/>
      <c r="Y86" s="209"/>
      <c r="Z86" s="209"/>
      <c r="AA86" s="226" t="s">
        <v>124</v>
      </c>
      <c r="AB86" s="240"/>
      <c r="AC86" s="158"/>
      <c r="AE86" s="159"/>
      <c r="AM86" s="77"/>
      <c r="AN86" s="77"/>
    </row>
    <row r="87" spans="1:40" s="85" customFormat="1" ht="22.9" customHeight="1" x14ac:dyDescent="0.2">
      <c r="A87" s="350" t="s">
        <v>484</v>
      </c>
      <c r="B87" s="314" t="s">
        <v>485</v>
      </c>
      <c r="C87" s="287" t="s">
        <v>142</v>
      </c>
      <c r="D87" s="105" t="s">
        <v>486</v>
      </c>
      <c r="E87" s="177" t="s">
        <v>478</v>
      </c>
      <c r="F87" s="177" t="s">
        <v>487</v>
      </c>
      <c r="G87" s="315">
        <v>1620</v>
      </c>
      <c r="H87" s="315"/>
      <c r="I87" s="315"/>
      <c r="J87" s="311">
        <v>811</v>
      </c>
      <c r="K87" s="83"/>
      <c r="L87" s="84"/>
      <c r="M87" s="316"/>
      <c r="N87" s="94">
        <f t="shared" si="78"/>
        <v>0</v>
      </c>
      <c r="O87" s="84"/>
      <c r="P87" s="84"/>
      <c r="Q87" s="84"/>
      <c r="R87" s="94">
        <f t="shared" si="79"/>
        <v>811</v>
      </c>
      <c r="S87" s="311">
        <f t="shared" si="80"/>
        <v>811</v>
      </c>
      <c r="T87" s="84"/>
      <c r="U87" s="84"/>
      <c r="V87" s="84"/>
      <c r="W87" s="84"/>
      <c r="X87" s="97"/>
      <c r="Y87" s="209"/>
      <c r="Z87" s="209"/>
      <c r="AA87" s="226" t="s">
        <v>124</v>
      </c>
      <c r="AB87" s="240"/>
      <c r="AC87" s="158"/>
      <c r="AE87" s="159"/>
      <c r="AM87" s="77"/>
      <c r="AN87" s="77"/>
    </row>
    <row r="88" spans="1:40" s="85" customFormat="1" ht="19.149999999999999" customHeight="1" x14ac:dyDescent="0.2">
      <c r="A88" s="352" t="s">
        <v>25</v>
      </c>
      <c r="B88" s="160" t="s">
        <v>409</v>
      </c>
      <c r="C88" s="312"/>
      <c r="D88" s="164"/>
      <c r="E88" s="165"/>
      <c r="F88" s="165"/>
      <c r="G88" s="162">
        <f>G89+G112</f>
        <v>195447</v>
      </c>
      <c r="H88" s="162">
        <f t="shared" ref="H88:S88" si="81">H89+H112</f>
        <v>0</v>
      </c>
      <c r="I88" s="162">
        <f t="shared" si="81"/>
        <v>69103</v>
      </c>
      <c r="J88" s="162">
        <f t="shared" si="81"/>
        <v>43931</v>
      </c>
      <c r="K88" s="162">
        <f t="shared" si="81"/>
        <v>0</v>
      </c>
      <c r="L88" s="162">
        <f t="shared" si="81"/>
        <v>30221</v>
      </c>
      <c r="M88" s="162">
        <f t="shared" si="81"/>
        <v>0</v>
      </c>
      <c r="N88" s="162">
        <f t="shared" si="81"/>
        <v>2662.027</v>
      </c>
      <c r="O88" s="162">
        <f t="shared" si="81"/>
        <v>2557.027</v>
      </c>
      <c r="P88" s="162">
        <f t="shared" si="81"/>
        <v>0</v>
      </c>
      <c r="Q88" s="162">
        <f t="shared" si="81"/>
        <v>0</v>
      </c>
      <c r="R88" s="162">
        <f t="shared" si="81"/>
        <v>43931</v>
      </c>
      <c r="S88" s="162">
        <f t="shared" si="81"/>
        <v>43931</v>
      </c>
      <c r="T88" s="162">
        <f t="shared" ref="T88:V88" si="82">T89</f>
        <v>0</v>
      </c>
      <c r="U88" s="162">
        <f t="shared" si="82"/>
        <v>0</v>
      </c>
      <c r="V88" s="162">
        <f t="shared" si="82"/>
        <v>0</v>
      </c>
      <c r="W88" s="166">
        <f>N88/J88*100</f>
        <v>6.059563861510096</v>
      </c>
      <c r="X88" s="278"/>
      <c r="Y88" s="216"/>
      <c r="Z88" s="216"/>
      <c r="AA88" s="226"/>
      <c r="AB88" s="230"/>
      <c r="AC88" s="158"/>
      <c r="AE88" s="159"/>
      <c r="AM88" s="77"/>
      <c r="AN88" s="77"/>
    </row>
    <row r="89" spans="1:40" s="101" customFormat="1" ht="17.45" customHeight="1" x14ac:dyDescent="0.2">
      <c r="A89" s="353"/>
      <c r="B89" s="191" t="s">
        <v>474</v>
      </c>
      <c r="C89" s="313"/>
      <c r="D89" s="154"/>
      <c r="E89" s="153"/>
      <c r="F89" s="153"/>
      <c r="G89" s="155">
        <f>SUM(G90:G111)</f>
        <v>194447</v>
      </c>
      <c r="H89" s="155">
        <f>SUM(H90:H111)</f>
        <v>0</v>
      </c>
      <c r="I89" s="155">
        <f>SUM(I90:I111)</f>
        <v>69103</v>
      </c>
      <c r="J89" s="155">
        <f>SUM(J90:J111)</f>
        <v>43731</v>
      </c>
      <c r="K89" s="155">
        <f t="shared" ref="K89:V89" si="83">SUM(K90:K111)</f>
        <v>0</v>
      </c>
      <c r="L89" s="155">
        <f t="shared" si="83"/>
        <v>30221</v>
      </c>
      <c r="M89" s="155">
        <f t="shared" si="83"/>
        <v>0</v>
      </c>
      <c r="N89" s="175">
        <f t="shared" si="83"/>
        <v>2662.027</v>
      </c>
      <c r="O89" s="175">
        <f t="shared" si="83"/>
        <v>2557.027</v>
      </c>
      <c r="P89" s="155">
        <f t="shared" si="83"/>
        <v>0</v>
      </c>
      <c r="Q89" s="155">
        <f t="shared" si="83"/>
        <v>0</v>
      </c>
      <c r="R89" s="155">
        <f t="shared" si="83"/>
        <v>43731</v>
      </c>
      <c r="S89" s="155">
        <f t="shared" si="83"/>
        <v>43731</v>
      </c>
      <c r="T89" s="155">
        <f t="shared" si="83"/>
        <v>0</v>
      </c>
      <c r="U89" s="155">
        <f t="shared" si="83"/>
        <v>0</v>
      </c>
      <c r="V89" s="155">
        <f t="shared" si="83"/>
        <v>0</v>
      </c>
      <c r="W89" s="156"/>
      <c r="X89" s="283"/>
      <c r="Y89" s="214"/>
      <c r="Z89" s="214"/>
      <c r="AA89" s="227"/>
      <c r="AB89" s="242"/>
      <c r="AC89" s="167"/>
      <c r="AE89" s="168"/>
      <c r="AM89" s="77"/>
      <c r="AN89" s="77"/>
    </row>
    <row r="90" spans="1:40" s="85" customFormat="1" ht="25.5" x14ac:dyDescent="0.2">
      <c r="A90" s="350">
        <v>1</v>
      </c>
      <c r="B90" s="314" t="s">
        <v>171</v>
      </c>
      <c r="C90" s="287" t="s">
        <v>147</v>
      </c>
      <c r="D90" s="106"/>
      <c r="E90" s="105" t="s">
        <v>182</v>
      </c>
      <c r="F90" s="177" t="s">
        <v>187</v>
      </c>
      <c r="G90" s="315">
        <v>20000</v>
      </c>
      <c r="H90" s="315"/>
      <c r="I90" s="315">
        <v>8000</v>
      </c>
      <c r="J90" s="83">
        <v>4000</v>
      </c>
      <c r="K90" s="83"/>
      <c r="L90" s="84">
        <v>1970</v>
      </c>
      <c r="M90" s="319"/>
      <c r="N90" s="199">
        <f>O90</f>
        <v>0</v>
      </c>
      <c r="O90" s="319"/>
      <c r="P90" s="84"/>
      <c r="Q90" s="84"/>
      <c r="R90" s="84">
        <f t="shared" ref="R90:R101" si="84">S90</f>
        <v>4000</v>
      </c>
      <c r="S90" s="83">
        <f>J90</f>
        <v>4000</v>
      </c>
      <c r="T90" s="84"/>
      <c r="U90" s="84"/>
      <c r="V90" s="84"/>
      <c r="W90" s="84"/>
      <c r="X90" s="97"/>
      <c r="Y90" s="209"/>
      <c r="Z90" s="209"/>
      <c r="AA90" s="226" t="s">
        <v>123</v>
      </c>
      <c r="AB90" s="233" t="s">
        <v>271</v>
      </c>
      <c r="AC90" s="158"/>
      <c r="AE90" s="159"/>
      <c r="AM90" s="77">
        <f t="shared" si="75"/>
        <v>4000</v>
      </c>
      <c r="AN90" s="77">
        <f t="shared" si="76"/>
        <v>1970</v>
      </c>
    </row>
    <row r="91" spans="1:40" s="85" customFormat="1" ht="45" x14ac:dyDescent="0.2">
      <c r="A91" s="350">
        <v>2</v>
      </c>
      <c r="B91" s="314" t="s">
        <v>172</v>
      </c>
      <c r="C91" s="287" t="s">
        <v>183</v>
      </c>
      <c r="D91" s="106"/>
      <c r="E91" s="105" t="s">
        <v>182</v>
      </c>
      <c r="F91" s="177" t="s">
        <v>188</v>
      </c>
      <c r="G91" s="315">
        <v>35000</v>
      </c>
      <c r="H91" s="315"/>
      <c r="I91" s="315">
        <v>9612</v>
      </c>
      <c r="J91" s="83">
        <v>6251</v>
      </c>
      <c r="K91" s="83"/>
      <c r="L91" s="84">
        <v>2000</v>
      </c>
      <c r="M91" s="319"/>
      <c r="N91" s="199">
        <v>65</v>
      </c>
      <c r="O91" s="319"/>
      <c r="P91" s="84"/>
      <c r="Q91" s="84"/>
      <c r="R91" s="84">
        <f t="shared" si="84"/>
        <v>6251</v>
      </c>
      <c r="S91" s="83">
        <f t="shared" ref="S91:S111" si="85">J91</f>
        <v>6251</v>
      </c>
      <c r="T91" s="84"/>
      <c r="U91" s="84"/>
      <c r="V91" s="84"/>
      <c r="W91" s="84"/>
      <c r="X91" s="97"/>
      <c r="Y91" s="209"/>
      <c r="Z91" s="209"/>
      <c r="AA91" s="226" t="s">
        <v>123</v>
      </c>
      <c r="AB91" s="233" t="s">
        <v>271</v>
      </c>
      <c r="AC91" s="158"/>
      <c r="AE91" s="159"/>
      <c r="AM91" s="77">
        <f t="shared" si="75"/>
        <v>6186</v>
      </c>
      <c r="AN91" s="77">
        <f t="shared" si="76"/>
        <v>2000</v>
      </c>
    </row>
    <row r="92" spans="1:40" s="85" customFormat="1" ht="25.5" x14ac:dyDescent="0.2">
      <c r="A92" s="350">
        <v>3</v>
      </c>
      <c r="B92" s="314" t="s">
        <v>173</v>
      </c>
      <c r="C92" s="287" t="s">
        <v>184</v>
      </c>
      <c r="D92" s="106"/>
      <c r="E92" s="105" t="s">
        <v>182</v>
      </c>
      <c r="F92" s="177" t="s">
        <v>189</v>
      </c>
      <c r="G92" s="315">
        <v>35000</v>
      </c>
      <c r="H92" s="315"/>
      <c r="I92" s="315">
        <v>9613</v>
      </c>
      <c r="J92" s="83">
        <v>8000</v>
      </c>
      <c r="K92" s="83"/>
      <c r="L92" s="84">
        <v>3231</v>
      </c>
      <c r="M92" s="319"/>
      <c r="N92" s="199">
        <f t="shared" ref="N92:N111" si="86">O92</f>
        <v>0</v>
      </c>
      <c r="O92" s="187"/>
      <c r="P92" s="84"/>
      <c r="Q92" s="84"/>
      <c r="R92" s="84">
        <f t="shared" si="84"/>
        <v>8000</v>
      </c>
      <c r="S92" s="83">
        <f t="shared" si="85"/>
        <v>8000</v>
      </c>
      <c r="T92" s="84"/>
      <c r="U92" s="84"/>
      <c r="V92" s="84"/>
      <c r="W92" s="84"/>
      <c r="X92" s="97"/>
      <c r="Y92" s="209"/>
      <c r="Z92" s="209"/>
      <c r="AA92" s="226" t="s">
        <v>123</v>
      </c>
      <c r="AB92" s="233" t="s">
        <v>271</v>
      </c>
      <c r="AC92" s="158"/>
      <c r="AE92" s="159"/>
      <c r="AM92" s="77">
        <f t="shared" si="75"/>
        <v>8000</v>
      </c>
      <c r="AN92" s="77">
        <f t="shared" si="76"/>
        <v>3231</v>
      </c>
    </row>
    <row r="93" spans="1:40" s="85" customFormat="1" ht="24" x14ac:dyDescent="0.2">
      <c r="A93" s="350">
        <v>4</v>
      </c>
      <c r="B93" s="314" t="s">
        <v>174</v>
      </c>
      <c r="C93" s="287" t="s">
        <v>185</v>
      </c>
      <c r="D93" s="106"/>
      <c r="E93" s="105" t="s">
        <v>182</v>
      </c>
      <c r="F93" s="177" t="s">
        <v>190</v>
      </c>
      <c r="G93" s="315">
        <v>4556</v>
      </c>
      <c r="H93" s="315"/>
      <c r="I93" s="315">
        <v>1823</v>
      </c>
      <c r="J93" s="83">
        <v>1300</v>
      </c>
      <c r="K93" s="83"/>
      <c r="L93" s="84">
        <v>1500</v>
      </c>
      <c r="M93" s="319"/>
      <c r="N93" s="199">
        <f t="shared" si="86"/>
        <v>0</v>
      </c>
      <c r="O93" s="187"/>
      <c r="P93" s="84"/>
      <c r="Q93" s="84"/>
      <c r="R93" s="84">
        <f t="shared" si="84"/>
        <v>1300</v>
      </c>
      <c r="S93" s="83">
        <f t="shared" si="85"/>
        <v>1300</v>
      </c>
      <c r="T93" s="84"/>
      <c r="U93" s="84"/>
      <c r="V93" s="84"/>
      <c r="W93" s="84"/>
      <c r="X93" s="97"/>
      <c r="Y93" s="209"/>
      <c r="Z93" s="209"/>
      <c r="AA93" s="226" t="s">
        <v>123</v>
      </c>
      <c r="AB93" s="233" t="s">
        <v>271</v>
      </c>
      <c r="AC93" s="158"/>
      <c r="AE93" s="159"/>
      <c r="AM93" s="77">
        <f t="shared" si="75"/>
        <v>1300</v>
      </c>
      <c r="AN93" s="77">
        <f t="shared" si="76"/>
        <v>1500</v>
      </c>
    </row>
    <row r="94" spans="1:40" s="85" customFormat="1" ht="24" x14ac:dyDescent="0.2">
      <c r="A94" s="350">
        <v>5</v>
      </c>
      <c r="B94" s="314" t="s">
        <v>175</v>
      </c>
      <c r="C94" s="287" t="s">
        <v>185</v>
      </c>
      <c r="D94" s="106"/>
      <c r="E94" s="105" t="s">
        <v>182</v>
      </c>
      <c r="F94" s="177" t="s">
        <v>191</v>
      </c>
      <c r="G94" s="315">
        <v>4000</v>
      </c>
      <c r="H94" s="315"/>
      <c r="I94" s="315">
        <v>1600</v>
      </c>
      <c r="J94" s="83">
        <v>1200</v>
      </c>
      <c r="K94" s="83"/>
      <c r="L94" s="84">
        <v>900</v>
      </c>
      <c r="M94" s="319"/>
      <c r="N94" s="199">
        <f t="shared" si="86"/>
        <v>276.85000000000002</v>
      </c>
      <c r="O94" s="187">
        <v>276.85000000000002</v>
      </c>
      <c r="P94" s="84"/>
      <c r="Q94" s="84"/>
      <c r="R94" s="84">
        <f t="shared" si="84"/>
        <v>1200</v>
      </c>
      <c r="S94" s="83">
        <f t="shared" si="85"/>
        <v>1200</v>
      </c>
      <c r="T94" s="84"/>
      <c r="U94" s="84"/>
      <c r="V94" s="84"/>
      <c r="W94" s="84"/>
      <c r="X94" s="97"/>
      <c r="Y94" s="209"/>
      <c r="Z94" s="209"/>
      <c r="AA94" s="226" t="s">
        <v>123</v>
      </c>
      <c r="AB94" s="233" t="s">
        <v>271</v>
      </c>
      <c r="AC94" s="158"/>
      <c r="AE94" s="159"/>
      <c r="AM94" s="77">
        <f t="shared" si="75"/>
        <v>923.15</v>
      </c>
      <c r="AN94" s="77">
        <f t="shared" si="76"/>
        <v>623.15</v>
      </c>
    </row>
    <row r="95" spans="1:40" s="85" customFormat="1" ht="24" x14ac:dyDescent="0.2">
      <c r="A95" s="350">
        <v>6</v>
      </c>
      <c r="B95" s="314" t="s">
        <v>176</v>
      </c>
      <c r="C95" s="287" t="s">
        <v>146</v>
      </c>
      <c r="D95" s="106"/>
      <c r="E95" s="105" t="s">
        <v>182</v>
      </c>
      <c r="F95" s="177" t="s">
        <v>192</v>
      </c>
      <c r="G95" s="315">
        <v>5400</v>
      </c>
      <c r="H95" s="315"/>
      <c r="I95" s="315">
        <v>2160</v>
      </c>
      <c r="J95" s="83">
        <v>1600</v>
      </c>
      <c r="K95" s="83"/>
      <c r="L95" s="84">
        <v>950</v>
      </c>
      <c r="M95" s="319"/>
      <c r="N95" s="199">
        <f t="shared" si="86"/>
        <v>0</v>
      </c>
      <c r="O95" s="187"/>
      <c r="P95" s="84"/>
      <c r="Q95" s="84"/>
      <c r="R95" s="84">
        <f t="shared" si="84"/>
        <v>1600</v>
      </c>
      <c r="S95" s="83">
        <f t="shared" si="85"/>
        <v>1600</v>
      </c>
      <c r="T95" s="84"/>
      <c r="U95" s="84"/>
      <c r="V95" s="84"/>
      <c r="W95" s="84"/>
      <c r="X95" s="97"/>
      <c r="Y95" s="209"/>
      <c r="Z95" s="209"/>
      <c r="AA95" s="226" t="s">
        <v>123</v>
      </c>
      <c r="AB95" s="233" t="s">
        <v>271</v>
      </c>
      <c r="AC95" s="158"/>
      <c r="AE95" s="159"/>
      <c r="AM95" s="77">
        <f t="shared" si="75"/>
        <v>1600</v>
      </c>
      <c r="AN95" s="77">
        <f t="shared" si="76"/>
        <v>950</v>
      </c>
    </row>
    <row r="96" spans="1:40" s="85" customFormat="1" ht="24" x14ac:dyDescent="0.2">
      <c r="A96" s="350">
        <v>7</v>
      </c>
      <c r="B96" s="314" t="s">
        <v>177</v>
      </c>
      <c r="C96" s="287" t="s">
        <v>185</v>
      </c>
      <c r="D96" s="106"/>
      <c r="E96" s="105" t="s">
        <v>182</v>
      </c>
      <c r="F96" s="177" t="s">
        <v>193</v>
      </c>
      <c r="G96" s="315">
        <v>5000</v>
      </c>
      <c r="H96" s="315"/>
      <c r="I96" s="315">
        <v>2000</v>
      </c>
      <c r="J96" s="83">
        <v>1500</v>
      </c>
      <c r="K96" s="83"/>
      <c r="L96" s="84">
        <v>800</v>
      </c>
      <c r="M96" s="319"/>
      <c r="N96" s="199">
        <f t="shared" si="86"/>
        <v>531.01</v>
      </c>
      <c r="O96" s="187">
        <v>531.01</v>
      </c>
      <c r="P96" s="84"/>
      <c r="Q96" s="84"/>
      <c r="R96" s="84">
        <f t="shared" si="84"/>
        <v>1500</v>
      </c>
      <c r="S96" s="83">
        <f t="shared" si="85"/>
        <v>1500</v>
      </c>
      <c r="T96" s="84"/>
      <c r="U96" s="84"/>
      <c r="V96" s="84"/>
      <c r="W96" s="84"/>
      <c r="X96" s="97"/>
      <c r="Y96" s="209"/>
      <c r="Z96" s="209"/>
      <c r="AA96" s="226" t="s">
        <v>123</v>
      </c>
      <c r="AB96" s="233" t="s">
        <v>271</v>
      </c>
      <c r="AC96" s="158"/>
      <c r="AE96" s="159"/>
      <c r="AM96" s="77">
        <f t="shared" si="75"/>
        <v>968.99</v>
      </c>
      <c r="AN96" s="77">
        <f t="shared" si="76"/>
        <v>268.99</v>
      </c>
    </row>
    <row r="97" spans="1:40" s="85" customFormat="1" ht="25.5" x14ac:dyDescent="0.2">
      <c r="A97" s="350">
        <v>8</v>
      </c>
      <c r="B97" s="314" t="s">
        <v>178</v>
      </c>
      <c r="C97" s="287" t="s">
        <v>185</v>
      </c>
      <c r="D97" s="106"/>
      <c r="E97" s="105" t="s">
        <v>182</v>
      </c>
      <c r="F97" s="177" t="s">
        <v>194</v>
      </c>
      <c r="G97" s="315">
        <v>4500</v>
      </c>
      <c r="H97" s="315"/>
      <c r="I97" s="315">
        <v>1800</v>
      </c>
      <c r="J97" s="83">
        <v>1350</v>
      </c>
      <c r="K97" s="83"/>
      <c r="L97" s="84">
        <v>1500</v>
      </c>
      <c r="M97" s="319"/>
      <c r="N97" s="199">
        <f t="shared" si="86"/>
        <v>1012.597</v>
      </c>
      <c r="O97" s="187">
        <f>63.17+949.427</f>
        <v>1012.597</v>
      </c>
      <c r="P97" s="84"/>
      <c r="Q97" s="84"/>
      <c r="R97" s="84">
        <f t="shared" si="84"/>
        <v>1350</v>
      </c>
      <c r="S97" s="83">
        <f t="shared" si="85"/>
        <v>1350</v>
      </c>
      <c r="T97" s="84"/>
      <c r="U97" s="84"/>
      <c r="V97" s="84"/>
      <c r="W97" s="84"/>
      <c r="X97" s="97"/>
      <c r="Y97" s="209"/>
      <c r="Z97" s="209"/>
      <c r="AA97" s="226" t="s">
        <v>123</v>
      </c>
      <c r="AB97" s="233" t="s">
        <v>271</v>
      </c>
      <c r="AC97" s="158"/>
      <c r="AE97" s="159"/>
      <c r="AM97" s="77">
        <f t="shared" si="75"/>
        <v>337.40300000000002</v>
      </c>
      <c r="AN97" s="77">
        <f t="shared" si="76"/>
        <v>487.40300000000002</v>
      </c>
    </row>
    <row r="98" spans="1:40" s="85" customFormat="1" ht="38.25" x14ac:dyDescent="0.2">
      <c r="A98" s="350">
        <v>9</v>
      </c>
      <c r="B98" s="314" t="s">
        <v>179</v>
      </c>
      <c r="C98" s="287" t="s">
        <v>186</v>
      </c>
      <c r="D98" s="106"/>
      <c r="E98" s="105" t="s">
        <v>182</v>
      </c>
      <c r="F98" s="177" t="s">
        <v>195</v>
      </c>
      <c r="G98" s="315">
        <v>24841</v>
      </c>
      <c r="H98" s="315"/>
      <c r="I98" s="315">
        <v>7000</v>
      </c>
      <c r="J98" s="83">
        <v>5000</v>
      </c>
      <c r="K98" s="83"/>
      <c r="L98" s="84">
        <v>3100</v>
      </c>
      <c r="M98" s="319"/>
      <c r="N98" s="199">
        <v>40</v>
      </c>
      <c r="O98" s="187"/>
      <c r="P98" s="84"/>
      <c r="Q98" s="84"/>
      <c r="R98" s="84">
        <f t="shared" si="84"/>
        <v>5000</v>
      </c>
      <c r="S98" s="83">
        <f t="shared" si="85"/>
        <v>5000</v>
      </c>
      <c r="T98" s="84"/>
      <c r="U98" s="84"/>
      <c r="V98" s="84"/>
      <c r="W98" s="84"/>
      <c r="X98" s="97"/>
      <c r="Y98" s="209"/>
      <c r="Z98" s="209"/>
      <c r="AA98" s="226" t="s">
        <v>123</v>
      </c>
      <c r="AB98" s="233" t="s">
        <v>271</v>
      </c>
      <c r="AC98" s="158"/>
      <c r="AE98" s="159"/>
      <c r="AM98" s="77">
        <f t="shared" si="75"/>
        <v>4960</v>
      </c>
      <c r="AN98" s="77">
        <f t="shared" si="76"/>
        <v>3100</v>
      </c>
    </row>
    <row r="99" spans="1:40" s="85" customFormat="1" ht="23.25" customHeight="1" x14ac:dyDescent="0.2">
      <c r="A99" s="350">
        <v>10</v>
      </c>
      <c r="B99" s="314" t="s">
        <v>180</v>
      </c>
      <c r="C99" s="287" t="s">
        <v>146</v>
      </c>
      <c r="D99" s="106"/>
      <c r="E99" s="105" t="s">
        <v>182</v>
      </c>
      <c r="F99" s="177" t="s">
        <v>196</v>
      </c>
      <c r="G99" s="315">
        <v>4000</v>
      </c>
      <c r="H99" s="315"/>
      <c r="I99" s="315">
        <v>1600</v>
      </c>
      <c r="J99" s="83">
        <v>1200</v>
      </c>
      <c r="K99" s="83"/>
      <c r="L99" s="84">
        <v>710</v>
      </c>
      <c r="M99" s="319"/>
      <c r="N99" s="199">
        <f t="shared" si="86"/>
        <v>0</v>
      </c>
      <c r="O99" s="187"/>
      <c r="P99" s="84"/>
      <c r="Q99" s="84"/>
      <c r="R99" s="84">
        <f t="shared" si="84"/>
        <v>1200</v>
      </c>
      <c r="S99" s="83">
        <f t="shared" si="85"/>
        <v>1200</v>
      </c>
      <c r="T99" s="84"/>
      <c r="U99" s="84"/>
      <c r="V99" s="84"/>
      <c r="W99" s="84"/>
      <c r="X99" s="97"/>
      <c r="Y99" s="209"/>
      <c r="Z99" s="209"/>
      <c r="AA99" s="226" t="s">
        <v>123</v>
      </c>
      <c r="AB99" s="233" t="s">
        <v>271</v>
      </c>
      <c r="AC99" s="158"/>
      <c r="AE99" s="159"/>
      <c r="AM99" s="77">
        <f t="shared" si="75"/>
        <v>1200</v>
      </c>
      <c r="AN99" s="77">
        <f t="shared" si="76"/>
        <v>710</v>
      </c>
    </row>
    <row r="100" spans="1:40" s="85" customFormat="1" ht="24" x14ac:dyDescent="0.2">
      <c r="A100" s="350">
        <v>11</v>
      </c>
      <c r="B100" s="314" t="s">
        <v>181</v>
      </c>
      <c r="C100" s="287" t="s">
        <v>185</v>
      </c>
      <c r="D100" s="106"/>
      <c r="E100" s="105" t="s">
        <v>182</v>
      </c>
      <c r="F100" s="177" t="s">
        <v>197</v>
      </c>
      <c r="G100" s="315">
        <v>1500</v>
      </c>
      <c r="H100" s="315"/>
      <c r="I100" s="315">
        <v>600</v>
      </c>
      <c r="J100" s="83">
        <v>800</v>
      </c>
      <c r="K100" s="83"/>
      <c r="L100" s="84">
        <v>300</v>
      </c>
      <c r="M100" s="319"/>
      <c r="N100" s="199">
        <f t="shared" si="86"/>
        <v>0</v>
      </c>
      <c r="O100" s="187"/>
      <c r="P100" s="84"/>
      <c r="Q100" s="84"/>
      <c r="R100" s="84">
        <f t="shared" si="84"/>
        <v>800</v>
      </c>
      <c r="S100" s="83">
        <f t="shared" si="85"/>
        <v>800</v>
      </c>
      <c r="T100" s="84"/>
      <c r="U100" s="84"/>
      <c r="V100" s="84"/>
      <c r="W100" s="84"/>
      <c r="X100" s="97"/>
      <c r="Y100" s="209"/>
      <c r="Z100" s="209"/>
      <c r="AA100" s="226" t="s">
        <v>123</v>
      </c>
      <c r="AB100" s="233" t="s">
        <v>271</v>
      </c>
      <c r="AC100" s="158"/>
      <c r="AE100" s="159"/>
      <c r="AM100" s="77">
        <f t="shared" si="75"/>
        <v>800</v>
      </c>
      <c r="AN100" s="77">
        <f t="shared" si="76"/>
        <v>300</v>
      </c>
    </row>
    <row r="101" spans="1:40" s="85" customFormat="1" ht="24" x14ac:dyDescent="0.2">
      <c r="A101" s="350">
        <v>12</v>
      </c>
      <c r="B101" s="320" t="s">
        <v>284</v>
      </c>
      <c r="C101" s="177" t="s">
        <v>295</v>
      </c>
      <c r="D101" s="177" t="s">
        <v>298</v>
      </c>
      <c r="E101" s="105" t="s">
        <v>182</v>
      </c>
      <c r="F101" s="177" t="s">
        <v>309</v>
      </c>
      <c r="G101" s="315">
        <v>6000</v>
      </c>
      <c r="H101" s="315"/>
      <c r="I101" s="315">
        <v>2400</v>
      </c>
      <c r="J101" s="83">
        <v>1800</v>
      </c>
      <c r="K101" s="83"/>
      <c r="L101" s="84">
        <v>420.00000000000006</v>
      </c>
      <c r="M101" s="319"/>
      <c r="N101" s="199">
        <f t="shared" si="86"/>
        <v>0</v>
      </c>
      <c r="O101" s="187"/>
      <c r="P101" s="84"/>
      <c r="Q101" s="84"/>
      <c r="R101" s="84">
        <f t="shared" si="84"/>
        <v>1800</v>
      </c>
      <c r="S101" s="83">
        <f t="shared" si="85"/>
        <v>1800</v>
      </c>
      <c r="T101" s="84"/>
      <c r="U101" s="84"/>
      <c r="V101" s="84"/>
      <c r="W101" s="84"/>
      <c r="X101" s="97"/>
      <c r="Y101" s="209"/>
      <c r="Z101" s="209"/>
      <c r="AA101" s="226" t="s">
        <v>123</v>
      </c>
      <c r="AB101" s="233" t="s">
        <v>271</v>
      </c>
      <c r="AC101" s="176" t="s">
        <v>321</v>
      </c>
      <c r="AE101" s="159"/>
      <c r="AM101" s="77">
        <f t="shared" si="75"/>
        <v>1800</v>
      </c>
      <c r="AN101" s="77">
        <f t="shared" si="76"/>
        <v>420.00000000000006</v>
      </c>
    </row>
    <row r="102" spans="1:40" s="85" customFormat="1" ht="67.5" x14ac:dyDescent="0.2">
      <c r="A102" s="350">
        <v>13</v>
      </c>
      <c r="B102" s="320" t="s">
        <v>285</v>
      </c>
      <c r="C102" s="177" t="s">
        <v>295</v>
      </c>
      <c r="D102" s="321" t="s">
        <v>299</v>
      </c>
      <c r="E102" s="105" t="s">
        <v>182</v>
      </c>
      <c r="F102" s="177" t="s">
        <v>310</v>
      </c>
      <c r="G102" s="315">
        <v>4000</v>
      </c>
      <c r="H102" s="315"/>
      <c r="I102" s="315">
        <v>1600</v>
      </c>
      <c r="J102" s="83">
        <v>1200</v>
      </c>
      <c r="K102" s="83"/>
      <c r="L102" s="84">
        <v>580</v>
      </c>
      <c r="M102" s="319"/>
      <c r="N102" s="199">
        <f t="shared" si="86"/>
        <v>0</v>
      </c>
      <c r="O102" s="187"/>
      <c r="P102" s="84"/>
      <c r="Q102" s="84"/>
      <c r="R102" s="84">
        <f t="shared" ref="R102:R111" si="87">S102</f>
        <v>1200</v>
      </c>
      <c r="S102" s="83">
        <f t="shared" si="85"/>
        <v>1200</v>
      </c>
      <c r="T102" s="84"/>
      <c r="U102" s="84"/>
      <c r="V102" s="84"/>
      <c r="W102" s="84"/>
      <c r="X102" s="97"/>
      <c r="Y102" s="209"/>
      <c r="Z102" s="209"/>
      <c r="AA102" s="226" t="s">
        <v>123</v>
      </c>
      <c r="AB102" s="233" t="s">
        <v>271</v>
      </c>
      <c r="AC102" s="176" t="s">
        <v>321</v>
      </c>
      <c r="AE102" s="159"/>
      <c r="AM102" s="77">
        <f t="shared" si="75"/>
        <v>1200</v>
      </c>
      <c r="AN102" s="77">
        <f t="shared" si="76"/>
        <v>580</v>
      </c>
    </row>
    <row r="103" spans="1:40" s="85" customFormat="1" ht="67.5" x14ac:dyDescent="0.2">
      <c r="A103" s="350">
        <v>14</v>
      </c>
      <c r="B103" s="320" t="s">
        <v>286</v>
      </c>
      <c r="C103" s="321" t="s">
        <v>145</v>
      </c>
      <c r="D103" s="321" t="s">
        <v>300</v>
      </c>
      <c r="E103" s="105" t="s">
        <v>182</v>
      </c>
      <c r="F103" s="177" t="s">
        <v>311</v>
      </c>
      <c r="G103" s="315">
        <v>7000</v>
      </c>
      <c r="H103" s="315"/>
      <c r="I103" s="315">
        <v>2800</v>
      </c>
      <c r="J103" s="83">
        <v>2100</v>
      </c>
      <c r="K103" s="83"/>
      <c r="L103" s="84">
        <v>1600</v>
      </c>
      <c r="M103" s="319"/>
      <c r="N103" s="199">
        <f t="shared" si="86"/>
        <v>0</v>
      </c>
      <c r="O103" s="187"/>
      <c r="P103" s="84"/>
      <c r="Q103" s="84"/>
      <c r="R103" s="84">
        <f t="shared" si="87"/>
        <v>2100</v>
      </c>
      <c r="S103" s="83">
        <f t="shared" si="85"/>
        <v>2100</v>
      </c>
      <c r="T103" s="84"/>
      <c r="U103" s="84"/>
      <c r="V103" s="84"/>
      <c r="W103" s="84"/>
      <c r="X103" s="97"/>
      <c r="Y103" s="209"/>
      <c r="Z103" s="209"/>
      <c r="AA103" s="226" t="s">
        <v>123</v>
      </c>
      <c r="AB103" s="233" t="s">
        <v>271</v>
      </c>
      <c r="AC103" s="176" t="s">
        <v>321</v>
      </c>
      <c r="AE103" s="159"/>
      <c r="AM103" s="77">
        <f t="shared" si="75"/>
        <v>2100</v>
      </c>
      <c r="AN103" s="77">
        <f t="shared" si="76"/>
        <v>1600</v>
      </c>
    </row>
    <row r="104" spans="1:40" s="85" customFormat="1" ht="56.25" x14ac:dyDescent="0.2">
      <c r="A104" s="350">
        <v>15</v>
      </c>
      <c r="B104" s="320" t="s">
        <v>287</v>
      </c>
      <c r="C104" s="321" t="s">
        <v>145</v>
      </c>
      <c r="D104" s="321" t="s">
        <v>301</v>
      </c>
      <c r="E104" s="105" t="s">
        <v>182</v>
      </c>
      <c r="F104" s="177" t="s">
        <v>312</v>
      </c>
      <c r="G104" s="315">
        <v>6000</v>
      </c>
      <c r="H104" s="315"/>
      <c r="I104" s="315">
        <v>2400</v>
      </c>
      <c r="J104" s="83">
        <v>1800</v>
      </c>
      <c r="K104" s="83"/>
      <c r="L104" s="84">
        <v>1600</v>
      </c>
      <c r="M104" s="319"/>
      <c r="N104" s="199">
        <f t="shared" si="86"/>
        <v>0</v>
      </c>
      <c r="O104" s="84"/>
      <c r="P104" s="84"/>
      <c r="Q104" s="84"/>
      <c r="R104" s="84">
        <f t="shared" si="87"/>
        <v>1800</v>
      </c>
      <c r="S104" s="83">
        <f t="shared" si="85"/>
        <v>1800</v>
      </c>
      <c r="T104" s="84"/>
      <c r="U104" s="84"/>
      <c r="V104" s="84"/>
      <c r="W104" s="84"/>
      <c r="X104" s="97"/>
      <c r="Y104" s="209"/>
      <c r="Z104" s="209"/>
      <c r="AA104" s="226" t="s">
        <v>123</v>
      </c>
      <c r="AB104" s="233" t="s">
        <v>271</v>
      </c>
      <c r="AC104" s="176" t="s">
        <v>321</v>
      </c>
      <c r="AE104" s="159"/>
      <c r="AM104" s="77">
        <f t="shared" si="75"/>
        <v>1800</v>
      </c>
      <c r="AN104" s="77">
        <f t="shared" si="76"/>
        <v>1600</v>
      </c>
    </row>
    <row r="105" spans="1:40" s="85" customFormat="1" ht="78.75" x14ac:dyDescent="0.2">
      <c r="A105" s="350">
        <v>16</v>
      </c>
      <c r="B105" s="178" t="s">
        <v>288</v>
      </c>
      <c r="C105" s="177" t="s">
        <v>145</v>
      </c>
      <c r="D105" s="177" t="s">
        <v>302</v>
      </c>
      <c r="E105" s="105" t="s">
        <v>182</v>
      </c>
      <c r="F105" s="177" t="s">
        <v>313</v>
      </c>
      <c r="G105" s="315">
        <v>7000</v>
      </c>
      <c r="H105" s="315"/>
      <c r="I105" s="315">
        <v>2800</v>
      </c>
      <c r="J105" s="83">
        <v>1500</v>
      </c>
      <c r="K105" s="83"/>
      <c r="L105" s="84">
        <v>1500</v>
      </c>
      <c r="M105" s="319"/>
      <c r="N105" s="199">
        <f t="shared" si="86"/>
        <v>736.57</v>
      </c>
      <c r="O105" s="187">
        <v>736.57</v>
      </c>
      <c r="P105" s="84"/>
      <c r="Q105" s="84"/>
      <c r="R105" s="84">
        <f t="shared" si="87"/>
        <v>1500</v>
      </c>
      <c r="S105" s="83">
        <f t="shared" si="85"/>
        <v>1500</v>
      </c>
      <c r="T105" s="84"/>
      <c r="U105" s="84"/>
      <c r="V105" s="84"/>
      <c r="W105" s="84"/>
      <c r="X105" s="97"/>
      <c r="Y105" s="209"/>
      <c r="Z105" s="209"/>
      <c r="AA105" s="226" t="s">
        <v>123</v>
      </c>
      <c r="AB105" s="233" t="s">
        <v>271</v>
      </c>
      <c r="AC105" s="176" t="s">
        <v>321</v>
      </c>
      <c r="AE105" s="159"/>
      <c r="AM105" s="77">
        <f t="shared" si="75"/>
        <v>763.43</v>
      </c>
      <c r="AN105" s="77">
        <f t="shared" si="76"/>
        <v>763.43</v>
      </c>
    </row>
    <row r="106" spans="1:40" s="85" customFormat="1" ht="25.5" x14ac:dyDescent="0.2">
      <c r="A106" s="350">
        <v>17</v>
      </c>
      <c r="B106" s="178" t="s">
        <v>289</v>
      </c>
      <c r="C106" s="177" t="s">
        <v>296</v>
      </c>
      <c r="D106" s="177" t="s">
        <v>303</v>
      </c>
      <c r="E106" s="105" t="s">
        <v>182</v>
      </c>
      <c r="F106" s="177" t="s">
        <v>314</v>
      </c>
      <c r="G106" s="315">
        <v>3150</v>
      </c>
      <c r="H106" s="315"/>
      <c r="I106" s="315">
        <v>1800</v>
      </c>
      <c r="J106" s="83">
        <v>400</v>
      </c>
      <c r="K106" s="83"/>
      <c r="L106" s="84">
        <v>945</v>
      </c>
      <c r="M106" s="319"/>
      <c r="N106" s="199">
        <f t="shared" si="86"/>
        <v>0</v>
      </c>
      <c r="O106" s="84"/>
      <c r="P106" s="84"/>
      <c r="Q106" s="84"/>
      <c r="R106" s="84">
        <f t="shared" si="87"/>
        <v>400</v>
      </c>
      <c r="S106" s="83">
        <f t="shared" si="85"/>
        <v>400</v>
      </c>
      <c r="T106" s="84"/>
      <c r="U106" s="84"/>
      <c r="V106" s="84"/>
      <c r="W106" s="84"/>
      <c r="X106" s="97"/>
      <c r="Y106" s="209"/>
      <c r="Z106" s="209"/>
      <c r="AA106" s="226" t="s">
        <v>123</v>
      </c>
      <c r="AB106" s="243" t="s">
        <v>277</v>
      </c>
      <c r="AC106" s="158"/>
      <c r="AE106" s="159"/>
      <c r="AM106" s="77">
        <f t="shared" si="75"/>
        <v>400</v>
      </c>
      <c r="AN106" s="77">
        <f t="shared" si="76"/>
        <v>945</v>
      </c>
    </row>
    <row r="107" spans="1:40" s="85" customFormat="1" ht="78.75" x14ac:dyDescent="0.2">
      <c r="A107" s="350">
        <v>18</v>
      </c>
      <c r="B107" s="178" t="s">
        <v>290</v>
      </c>
      <c r="C107" s="177" t="s">
        <v>297</v>
      </c>
      <c r="D107" s="177" t="s">
        <v>304</v>
      </c>
      <c r="E107" s="105" t="s">
        <v>182</v>
      </c>
      <c r="F107" s="177" t="s">
        <v>315</v>
      </c>
      <c r="G107" s="315">
        <v>2000</v>
      </c>
      <c r="H107" s="315"/>
      <c r="I107" s="315">
        <v>1000</v>
      </c>
      <c r="J107" s="83">
        <v>400</v>
      </c>
      <c r="K107" s="83"/>
      <c r="L107" s="84">
        <v>515</v>
      </c>
      <c r="M107" s="319"/>
      <c r="N107" s="199">
        <f t="shared" si="86"/>
        <v>0</v>
      </c>
      <c r="O107" s="84"/>
      <c r="P107" s="84"/>
      <c r="Q107" s="84"/>
      <c r="R107" s="84">
        <f t="shared" si="87"/>
        <v>400</v>
      </c>
      <c r="S107" s="83">
        <f t="shared" si="85"/>
        <v>400</v>
      </c>
      <c r="T107" s="84"/>
      <c r="U107" s="84"/>
      <c r="V107" s="84"/>
      <c r="W107" s="84"/>
      <c r="X107" s="97"/>
      <c r="Y107" s="209"/>
      <c r="Z107" s="209"/>
      <c r="AA107" s="226" t="s">
        <v>123</v>
      </c>
      <c r="AB107" s="244" t="s">
        <v>277</v>
      </c>
      <c r="AC107" s="158"/>
      <c r="AE107" s="159"/>
      <c r="AM107" s="77">
        <f t="shared" si="75"/>
        <v>400</v>
      </c>
      <c r="AN107" s="77">
        <f t="shared" si="76"/>
        <v>515</v>
      </c>
    </row>
    <row r="108" spans="1:40" s="85" customFormat="1" ht="67.5" x14ac:dyDescent="0.2">
      <c r="A108" s="350">
        <v>19</v>
      </c>
      <c r="B108" s="320" t="s">
        <v>291</v>
      </c>
      <c r="C108" s="177" t="s">
        <v>185</v>
      </c>
      <c r="D108" s="321" t="s">
        <v>305</v>
      </c>
      <c r="E108" s="105" t="s">
        <v>182</v>
      </c>
      <c r="F108" s="177" t="s">
        <v>316</v>
      </c>
      <c r="G108" s="315">
        <v>4000</v>
      </c>
      <c r="H108" s="315"/>
      <c r="I108" s="315">
        <v>2215</v>
      </c>
      <c r="J108" s="83">
        <v>580</v>
      </c>
      <c r="K108" s="83"/>
      <c r="L108" s="84">
        <v>2500</v>
      </c>
      <c r="M108" s="319"/>
      <c r="N108" s="199">
        <f t="shared" si="86"/>
        <v>0</v>
      </c>
      <c r="O108" s="84"/>
      <c r="P108" s="84"/>
      <c r="Q108" s="84"/>
      <c r="R108" s="84">
        <f t="shared" si="87"/>
        <v>580</v>
      </c>
      <c r="S108" s="83">
        <f t="shared" si="85"/>
        <v>580</v>
      </c>
      <c r="T108" s="84"/>
      <c r="U108" s="84"/>
      <c r="V108" s="84"/>
      <c r="W108" s="84"/>
      <c r="X108" s="97"/>
      <c r="Y108" s="209"/>
      <c r="Z108" s="209"/>
      <c r="AA108" s="226" t="s">
        <v>123</v>
      </c>
      <c r="AB108" s="243" t="s">
        <v>281</v>
      </c>
      <c r="AC108" s="158"/>
      <c r="AE108" s="159"/>
      <c r="AM108" s="77">
        <f t="shared" si="75"/>
        <v>580</v>
      </c>
      <c r="AN108" s="77">
        <f t="shared" si="76"/>
        <v>2500</v>
      </c>
    </row>
    <row r="109" spans="1:40" s="85" customFormat="1" ht="56.25" x14ac:dyDescent="0.2">
      <c r="A109" s="350">
        <v>20</v>
      </c>
      <c r="B109" s="320" t="s">
        <v>292</v>
      </c>
      <c r="C109" s="177" t="s">
        <v>185</v>
      </c>
      <c r="D109" s="321" t="s">
        <v>306</v>
      </c>
      <c r="E109" s="105" t="s">
        <v>182</v>
      </c>
      <c r="F109" s="177" t="s">
        <v>317</v>
      </c>
      <c r="G109" s="315">
        <v>5000</v>
      </c>
      <c r="H109" s="315"/>
      <c r="I109" s="315">
        <v>2980</v>
      </c>
      <c r="J109" s="83">
        <v>500</v>
      </c>
      <c r="K109" s="83"/>
      <c r="L109" s="84">
        <v>1500</v>
      </c>
      <c r="M109" s="319"/>
      <c r="N109" s="199">
        <f t="shared" si="86"/>
        <v>0</v>
      </c>
      <c r="O109" s="84"/>
      <c r="P109" s="84"/>
      <c r="Q109" s="84"/>
      <c r="R109" s="84">
        <f t="shared" si="87"/>
        <v>500</v>
      </c>
      <c r="S109" s="83">
        <f t="shared" si="85"/>
        <v>500</v>
      </c>
      <c r="T109" s="84"/>
      <c r="U109" s="84"/>
      <c r="V109" s="84"/>
      <c r="W109" s="84"/>
      <c r="X109" s="97"/>
      <c r="Y109" s="209"/>
      <c r="Z109" s="209"/>
      <c r="AA109" s="226" t="s">
        <v>123</v>
      </c>
      <c r="AB109" s="243" t="s">
        <v>281</v>
      </c>
      <c r="AC109" s="158"/>
      <c r="AE109" s="159"/>
      <c r="AM109" s="77">
        <f t="shared" si="75"/>
        <v>500</v>
      </c>
      <c r="AN109" s="77">
        <f t="shared" si="76"/>
        <v>1500</v>
      </c>
    </row>
    <row r="110" spans="1:40" s="85" customFormat="1" ht="25.5" x14ac:dyDescent="0.2">
      <c r="A110" s="350">
        <v>21</v>
      </c>
      <c r="B110" s="320" t="s">
        <v>293</v>
      </c>
      <c r="C110" s="177" t="s">
        <v>262</v>
      </c>
      <c r="D110" s="321" t="s">
        <v>307</v>
      </c>
      <c r="E110" s="105" t="s">
        <v>182</v>
      </c>
      <c r="F110" s="177" t="s">
        <v>318</v>
      </c>
      <c r="G110" s="315">
        <v>4500</v>
      </c>
      <c r="H110" s="315"/>
      <c r="I110" s="315">
        <v>2500</v>
      </c>
      <c r="J110" s="83">
        <v>650</v>
      </c>
      <c r="K110" s="83"/>
      <c r="L110" s="84">
        <v>1500</v>
      </c>
      <c r="M110" s="319"/>
      <c r="N110" s="199">
        <f t="shared" si="86"/>
        <v>0</v>
      </c>
      <c r="O110" s="84"/>
      <c r="P110" s="84"/>
      <c r="Q110" s="84"/>
      <c r="R110" s="84">
        <f t="shared" si="87"/>
        <v>650</v>
      </c>
      <c r="S110" s="83">
        <f t="shared" si="85"/>
        <v>650</v>
      </c>
      <c r="T110" s="84"/>
      <c r="U110" s="84"/>
      <c r="V110" s="84"/>
      <c r="W110" s="84"/>
      <c r="X110" s="97"/>
      <c r="Y110" s="209"/>
      <c r="Z110" s="209"/>
      <c r="AA110" s="226" t="s">
        <v>123</v>
      </c>
      <c r="AB110" s="243" t="s">
        <v>276</v>
      </c>
      <c r="AC110" s="158"/>
      <c r="AE110" s="159"/>
      <c r="AM110" s="77">
        <f t="shared" si="75"/>
        <v>650</v>
      </c>
      <c r="AN110" s="77">
        <f t="shared" si="76"/>
        <v>1500</v>
      </c>
    </row>
    <row r="111" spans="1:40" s="85" customFormat="1" ht="45" x14ac:dyDescent="0.2">
      <c r="A111" s="350">
        <v>22</v>
      </c>
      <c r="B111" s="320" t="s">
        <v>294</v>
      </c>
      <c r="C111" s="177" t="s">
        <v>262</v>
      </c>
      <c r="D111" s="321" t="s">
        <v>308</v>
      </c>
      <c r="E111" s="105" t="s">
        <v>182</v>
      </c>
      <c r="F111" s="177" t="s">
        <v>319</v>
      </c>
      <c r="G111" s="315">
        <v>2000</v>
      </c>
      <c r="H111" s="315"/>
      <c r="I111" s="315">
        <v>800</v>
      </c>
      <c r="J111" s="83">
        <v>600</v>
      </c>
      <c r="K111" s="83"/>
      <c r="L111" s="84">
        <v>600</v>
      </c>
      <c r="M111" s="319"/>
      <c r="N111" s="199">
        <f t="shared" si="86"/>
        <v>0</v>
      </c>
      <c r="O111" s="84"/>
      <c r="P111" s="84"/>
      <c r="Q111" s="84"/>
      <c r="R111" s="84">
        <f t="shared" si="87"/>
        <v>600</v>
      </c>
      <c r="S111" s="83">
        <f t="shared" si="85"/>
        <v>600</v>
      </c>
      <c r="T111" s="84"/>
      <c r="U111" s="84"/>
      <c r="V111" s="84"/>
      <c r="W111" s="84"/>
      <c r="X111" s="97"/>
      <c r="Y111" s="209"/>
      <c r="Z111" s="209"/>
      <c r="AA111" s="226" t="s">
        <v>123</v>
      </c>
      <c r="AB111" s="243" t="s">
        <v>276</v>
      </c>
      <c r="AC111" s="158"/>
      <c r="AE111" s="159"/>
      <c r="AM111" s="77">
        <f t="shared" si="75"/>
        <v>600</v>
      </c>
      <c r="AN111" s="77">
        <f t="shared" si="76"/>
        <v>600</v>
      </c>
    </row>
    <row r="112" spans="1:40" s="172" customFormat="1" ht="13.5" x14ac:dyDescent="0.2">
      <c r="A112" s="353" t="s">
        <v>30</v>
      </c>
      <c r="B112" s="317" t="s">
        <v>475</v>
      </c>
      <c r="C112" s="322"/>
      <c r="D112" s="323"/>
      <c r="E112" s="153"/>
      <c r="F112" s="322"/>
      <c r="G112" s="318">
        <f>SUM(G113)</f>
        <v>1000</v>
      </c>
      <c r="H112" s="318">
        <f t="shared" ref="H112:S112" si="88">SUM(H113)</f>
        <v>0</v>
      </c>
      <c r="I112" s="318">
        <f t="shared" si="88"/>
        <v>0</v>
      </c>
      <c r="J112" s="318">
        <f t="shared" si="88"/>
        <v>200</v>
      </c>
      <c r="K112" s="318">
        <f t="shared" si="88"/>
        <v>0</v>
      </c>
      <c r="L112" s="318">
        <f t="shared" si="88"/>
        <v>0</v>
      </c>
      <c r="M112" s="318">
        <f t="shared" si="88"/>
        <v>0</v>
      </c>
      <c r="N112" s="318">
        <f t="shared" si="88"/>
        <v>0</v>
      </c>
      <c r="O112" s="318">
        <f t="shared" si="88"/>
        <v>0</v>
      </c>
      <c r="P112" s="318">
        <f t="shared" si="88"/>
        <v>0</v>
      </c>
      <c r="Q112" s="318">
        <f t="shared" si="88"/>
        <v>0</v>
      </c>
      <c r="R112" s="318">
        <f t="shared" si="88"/>
        <v>200</v>
      </c>
      <c r="S112" s="318">
        <f t="shared" si="88"/>
        <v>200</v>
      </c>
      <c r="T112" s="156"/>
      <c r="U112" s="156"/>
      <c r="V112" s="156"/>
      <c r="W112" s="156"/>
      <c r="X112" s="283"/>
      <c r="Y112" s="214"/>
      <c r="Z112" s="214"/>
      <c r="AA112" s="245"/>
      <c r="AB112" s="246"/>
      <c r="AC112" s="171"/>
      <c r="AE112" s="173"/>
      <c r="AM112" s="174"/>
      <c r="AN112" s="174"/>
    </row>
    <row r="113" spans="1:40" s="85" customFormat="1" ht="45" x14ac:dyDescent="0.2">
      <c r="A113" s="350">
        <v>1</v>
      </c>
      <c r="B113" s="324" t="s">
        <v>488</v>
      </c>
      <c r="C113" s="310" t="s">
        <v>262</v>
      </c>
      <c r="D113" s="325" t="s">
        <v>489</v>
      </c>
      <c r="E113" s="224" t="s">
        <v>490</v>
      </c>
      <c r="F113" s="310" t="s">
        <v>491</v>
      </c>
      <c r="G113" s="315">
        <v>1000</v>
      </c>
      <c r="H113" s="315"/>
      <c r="I113" s="315"/>
      <c r="J113" s="315">
        <v>200</v>
      </c>
      <c r="K113" s="83"/>
      <c r="L113" s="84"/>
      <c r="M113" s="326"/>
      <c r="N113" s="94">
        <f>O113</f>
        <v>0</v>
      </c>
      <c r="O113" s="84"/>
      <c r="P113" s="84"/>
      <c r="Q113" s="84"/>
      <c r="R113" s="84">
        <f t="shared" ref="R113" si="89">S113</f>
        <v>200</v>
      </c>
      <c r="S113" s="83">
        <f t="shared" ref="S113" si="90">J113</f>
        <v>200</v>
      </c>
      <c r="T113" s="84"/>
      <c r="U113" s="84"/>
      <c r="V113" s="84"/>
      <c r="W113" s="84"/>
      <c r="X113" s="97"/>
      <c r="Y113" s="209"/>
      <c r="Z113" s="209"/>
      <c r="AA113" s="226" t="s">
        <v>124</v>
      </c>
      <c r="AB113" s="243" t="s">
        <v>276</v>
      </c>
      <c r="AC113" s="158"/>
      <c r="AE113" s="159"/>
      <c r="AM113" s="77"/>
      <c r="AN113" s="77"/>
    </row>
    <row r="114" spans="1:40" s="85" customFormat="1" ht="25.5" x14ac:dyDescent="0.2">
      <c r="A114" s="352" t="s">
        <v>546</v>
      </c>
      <c r="B114" s="160" t="s">
        <v>198</v>
      </c>
      <c r="C114" s="312"/>
      <c r="D114" s="164"/>
      <c r="E114" s="165"/>
      <c r="F114" s="165"/>
      <c r="G114" s="162">
        <f>G115+G122+G126++G128+G155+G162+G186</f>
        <v>254260</v>
      </c>
      <c r="H114" s="162">
        <f t="shared" ref="H114:S114" si="91">H115+H122+H126++H128+H155+H162+H186</f>
        <v>0</v>
      </c>
      <c r="I114" s="162">
        <f t="shared" si="91"/>
        <v>66365</v>
      </c>
      <c r="J114" s="162">
        <f t="shared" si="91"/>
        <v>91275</v>
      </c>
      <c r="K114" s="162">
        <f t="shared" si="91"/>
        <v>0</v>
      </c>
      <c r="L114" s="162">
        <f t="shared" si="91"/>
        <v>36821</v>
      </c>
      <c r="M114" s="162">
        <f t="shared" si="91"/>
        <v>0</v>
      </c>
      <c r="N114" s="162">
        <f t="shared" si="91"/>
        <v>6770.8099999999995</v>
      </c>
      <c r="O114" s="162">
        <f t="shared" si="91"/>
        <v>4974.8099999999995</v>
      </c>
      <c r="P114" s="162">
        <f t="shared" si="91"/>
        <v>0</v>
      </c>
      <c r="Q114" s="162">
        <f t="shared" si="91"/>
        <v>0</v>
      </c>
      <c r="R114" s="162">
        <f t="shared" si="91"/>
        <v>88846</v>
      </c>
      <c r="S114" s="162">
        <f t="shared" si="91"/>
        <v>91275</v>
      </c>
      <c r="T114" s="162">
        <f t="shared" ref="T114:V114" si="92">T115+T122+T126+T128+T155+T162+T186</f>
        <v>0</v>
      </c>
      <c r="U114" s="162">
        <f t="shared" si="92"/>
        <v>0</v>
      </c>
      <c r="V114" s="162">
        <f t="shared" si="92"/>
        <v>0</v>
      </c>
      <c r="W114" s="166">
        <f>N114/J114*100</f>
        <v>7.4180334155026024</v>
      </c>
      <c r="X114" s="278"/>
      <c r="Y114" s="216"/>
      <c r="Z114" s="216"/>
      <c r="AA114" s="226"/>
      <c r="AB114" s="230"/>
      <c r="AC114" s="158"/>
      <c r="AE114" s="159"/>
      <c r="AM114" s="77"/>
      <c r="AN114" s="77"/>
    </row>
    <row r="115" spans="1:40" s="95" customFormat="1" ht="25.5" x14ac:dyDescent="0.2">
      <c r="A115" s="360"/>
      <c r="B115" s="327" t="s">
        <v>199</v>
      </c>
      <c r="C115" s="328"/>
      <c r="D115" s="179"/>
      <c r="E115" s="180"/>
      <c r="F115" s="180"/>
      <c r="G115" s="169">
        <f>G116+G119</f>
        <v>10784</v>
      </c>
      <c r="H115" s="169">
        <f t="shared" ref="H115:S115" si="93">H116+H119</f>
        <v>0</v>
      </c>
      <c r="I115" s="169">
        <f t="shared" si="93"/>
        <v>4433</v>
      </c>
      <c r="J115" s="169">
        <f t="shared" si="93"/>
        <v>5020</v>
      </c>
      <c r="K115" s="169">
        <f t="shared" si="93"/>
        <v>0</v>
      </c>
      <c r="L115" s="169">
        <f t="shared" si="93"/>
        <v>4300</v>
      </c>
      <c r="M115" s="169">
        <f t="shared" si="93"/>
        <v>0</v>
      </c>
      <c r="N115" s="169">
        <f t="shared" si="93"/>
        <v>0</v>
      </c>
      <c r="O115" s="169">
        <f t="shared" si="93"/>
        <v>0</v>
      </c>
      <c r="P115" s="169">
        <f t="shared" si="93"/>
        <v>0</v>
      </c>
      <c r="Q115" s="169">
        <f t="shared" si="93"/>
        <v>0</v>
      </c>
      <c r="R115" s="169">
        <f t="shared" si="93"/>
        <v>5020</v>
      </c>
      <c r="S115" s="169">
        <f t="shared" si="93"/>
        <v>5020</v>
      </c>
      <c r="T115" s="169">
        <f t="shared" ref="T115:V115" si="94">SUM(T117:T118)</f>
        <v>0</v>
      </c>
      <c r="U115" s="169">
        <f t="shared" si="94"/>
        <v>0</v>
      </c>
      <c r="V115" s="169">
        <f t="shared" si="94"/>
        <v>0</v>
      </c>
      <c r="W115" s="329">
        <f>N115/J115*100</f>
        <v>0</v>
      </c>
      <c r="X115" s="354"/>
      <c r="Y115" s="217"/>
      <c r="Z115" s="217"/>
      <c r="AA115" s="247"/>
      <c r="AB115" s="231"/>
      <c r="AC115" s="181"/>
      <c r="AE115" s="182"/>
      <c r="AM115" s="77"/>
      <c r="AN115" s="77"/>
    </row>
    <row r="116" spans="1:40" s="95" customFormat="1" ht="13.5" x14ac:dyDescent="0.2">
      <c r="A116" s="360"/>
      <c r="B116" s="191" t="s">
        <v>474</v>
      </c>
      <c r="C116" s="328"/>
      <c r="D116" s="179"/>
      <c r="E116" s="180"/>
      <c r="F116" s="180"/>
      <c r="G116" s="155">
        <f>SUM(G117:G118)</f>
        <v>5811</v>
      </c>
      <c r="H116" s="155">
        <f t="shared" ref="H116:S116" si="95">SUM(H117:H118)</f>
        <v>0</v>
      </c>
      <c r="I116" s="155">
        <f t="shared" si="95"/>
        <v>4433</v>
      </c>
      <c r="J116" s="155">
        <f t="shared" si="95"/>
        <v>1280</v>
      </c>
      <c r="K116" s="155">
        <f t="shared" si="95"/>
        <v>0</v>
      </c>
      <c r="L116" s="155">
        <f t="shared" si="95"/>
        <v>4300</v>
      </c>
      <c r="M116" s="155">
        <f t="shared" si="95"/>
        <v>0</v>
      </c>
      <c r="N116" s="155">
        <f t="shared" si="95"/>
        <v>0</v>
      </c>
      <c r="O116" s="155">
        <f t="shared" si="95"/>
        <v>0</v>
      </c>
      <c r="P116" s="155">
        <f t="shared" si="95"/>
        <v>0</v>
      </c>
      <c r="Q116" s="155">
        <f t="shared" si="95"/>
        <v>0</v>
      </c>
      <c r="R116" s="155">
        <f t="shared" si="95"/>
        <v>1280</v>
      </c>
      <c r="S116" s="155">
        <f t="shared" si="95"/>
        <v>1280</v>
      </c>
      <c r="T116" s="169">
        <f t="shared" ref="T116:V116" si="96">SUM(T117:T118)</f>
        <v>0</v>
      </c>
      <c r="U116" s="169">
        <f t="shared" si="96"/>
        <v>0</v>
      </c>
      <c r="V116" s="169">
        <f t="shared" si="96"/>
        <v>0</v>
      </c>
      <c r="W116" s="329"/>
      <c r="X116" s="354"/>
      <c r="Y116" s="205"/>
      <c r="Z116" s="205"/>
      <c r="AA116" s="247"/>
      <c r="AB116" s="231"/>
      <c r="AC116" s="181"/>
      <c r="AE116" s="182"/>
      <c r="AM116" s="77"/>
      <c r="AN116" s="77"/>
    </row>
    <row r="117" spans="1:40" s="85" customFormat="1" ht="25.5" x14ac:dyDescent="0.2">
      <c r="A117" s="350">
        <v>1</v>
      </c>
      <c r="B117" s="314" t="s">
        <v>200</v>
      </c>
      <c r="C117" s="287" t="s">
        <v>148</v>
      </c>
      <c r="D117" s="106"/>
      <c r="E117" s="105" t="s">
        <v>182</v>
      </c>
      <c r="F117" s="330" t="s">
        <v>202</v>
      </c>
      <c r="G117" s="83">
        <v>2905</v>
      </c>
      <c r="H117" s="83"/>
      <c r="I117" s="83">
        <v>2250</v>
      </c>
      <c r="J117" s="83">
        <v>600</v>
      </c>
      <c r="K117" s="83"/>
      <c r="L117" s="84">
        <v>2400</v>
      </c>
      <c r="M117" s="84"/>
      <c r="N117" s="187">
        <f>O117</f>
        <v>0</v>
      </c>
      <c r="O117" s="187"/>
      <c r="P117" s="84"/>
      <c r="Q117" s="84"/>
      <c r="R117" s="84">
        <f t="shared" ref="R117:R125" si="97">S117</f>
        <v>600</v>
      </c>
      <c r="S117" s="83">
        <f>J117</f>
        <v>600</v>
      </c>
      <c r="T117" s="84"/>
      <c r="U117" s="84"/>
      <c r="V117" s="84"/>
      <c r="W117" s="84"/>
      <c r="X117" s="97"/>
      <c r="Y117" s="209"/>
      <c r="Z117" s="209"/>
      <c r="AA117" s="226" t="s">
        <v>123</v>
      </c>
      <c r="AB117" s="233" t="s">
        <v>271</v>
      </c>
      <c r="AC117" s="158"/>
      <c r="AE117" s="159"/>
      <c r="AM117" s="77">
        <f t="shared" si="75"/>
        <v>600</v>
      </c>
      <c r="AN117" s="77">
        <f t="shared" si="76"/>
        <v>2400</v>
      </c>
    </row>
    <row r="118" spans="1:40" s="85" customFormat="1" ht="25.5" x14ac:dyDescent="0.2">
      <c r="A118" s="350">
        <v>2</v>
      </c>
      <c r="B118" s="314" t="s">
        <v>201</v>
      </c>
      <c r="C118" s="287" t="s">
        <v>148</v>
      </c>
      <c r="D118" s="106"/>
      <c r="E118" s="105" t="s">
        <v>182</v>
      </c>
      <c r="F118" s="330" t="s">
        <v>203</v>
      </c>
      <c r="G118" s="83">
        <v>2906</v>
      </c>
      <c r="H118" s="83"/>
      <c r="I118" s="83">
        <v>2183</v>
      </c>
      <c r="J118" s="83">
        <v>680</v>
      </c>
      <c r="K118" s="83"/>
      <c r="L118" s="84">
        <v>1900</v>
      </c>
      <c r="M118" s="84"/>
      <c r="N118" s="187">
        <f>O118</f>
        <v>0</v>
      </c>
      <c r="O118" s="187"/>
      <c r="P118" s="84"/>
      <c r="Q118" s="84"/>
      <c r="R118" s="84">
        <f t="shared" si="97"/>
        <v>680</v>
      </c>
      <c r="S118" s="83">
        <f>J118</f>
        <v>680</v>
      </c>
      <c r="T118" s="84"/>
      <c r="U118" s="84"/>
      <c r="V118" s="84"/>
      <c r="W118" s="84"/>
      <c r="X118" s="97"/>
      <c r="Y118" s="209"/>
      <c r="Z118" s="209"/>
      <c r="AA118" s="226" t="s">
        <v>123</v>
      </c>
      <c r="AB118" s="233" t="s">
        <v>271</v>
      </c>
      <c r="AC118" s="158"/>
      <c r="AE118" s="159"/>
      <c r="AM118" s="77">
        <f t="shared" si="75"/>
        <v>680</v>
      </c>
      <c r="AN118" s="77">
        <f t="shared" si="76"/>
        <v>1900</v>
      </c>
    </row>
    <row r="119" spans="1:40" s="85" customFormat="1" ht="13.5" x14ac:dyDescent="0.2">
      <c r="A119" s="350"/>
      <c r="B119" s="317" t="s">
        <v>475</v>
      </c>
      <c r="C119" s="287"/>
      <c r="D119" s="106"/>
      <c r="E119" s="105"/>
      <c r="F119" s="330"/>
      <c r="G119" s="155">
        <f>SUM(G120:G121)</f>
        <v>4973</v>
      </c>
      <c r="H119" s="155">
        <f t="shared" ref="H119" si="98">SUM(H120:H121)</f>
        <v>0</v>
      </c>
      <c r="I119" s="155">
        <f t="shared" ref="I119" si="99">SUM(I120:I121)</f>
        <v>0</v>
      </c>
      <c r="J119" s="155">
        <f t="shared" ref="J119" si="100">SUM(J120:J121)</f>
        <v>3740</v>
      </c>
      <c r="K119" s="155">
        <f t="shared" ref="K119" si="101">SUM(K120:K121)</f>
        <v>0</v>
      </c>
      <c r="L119" s="155">
        <f t="shared" ref="L119" si="102">SUM(L120:L121)</f>
        <v>0</v>
      </c>
      <c r="M119" s="155">
        <f t="shared" ref="M119" si="103">SUM(M120:M121)</f>
        <v>0</v>
      </c>
      <c r="N119" s="155">
        <f t="shared" ref="N119" si="104">SUM(N120:N121)</f>
        <v>0</v>
      </c>
      <c r="O119" s="155">
        <f t="shared" ref="O119" si="105">SUM(O120:O121)</f>
        <v>0</v>
      </c>
      <c r="P119" s="155">
        <f t="shared" ref="P119" si="106">SUM(P120:P121)</f>
        <v>0</v>
      </c>
      <c r="Q119" s="155">
        <f t="shared" ref="Q119" si="107">SUM(Q120:Q121)</f>
        <v>0</v>
      </c>
      <c r="R119" s="155">
        <f t="shared" ref="R119" si="108">SUM(R120:R121)</f>
        <v>3740</v>
      </c>
      <c r="S119" s="155">
        <f t="shared" ref="S119" si="109">SUM(S120:S121)</f>
        <v>3740</v>
      </c>
      <c r="T119" s="84"/>
      <c r="U119" s="84"/>
      <c r="V119" s="84"/>
      <c r="W119" s="84"/>
      <c r="X119" s="97"/>
      <c r="Y119" s="209"/>
      <c r="Z119" s="209"/>
      <c r="AA119" s="226"/>
      <c r="AB119" s="233"/>
      <c r="AC119" s="158"/>
      <c r="AE119" s="159"/>
      <c r="AM119" s="77"/>
      <c r="AN119" s="77"/>
    </row>
    <row r="120" spans="1:40" s="85" customFormat="1" ht="33.75" x14ac:dyDescent="0.2">
      <c r="A120" s="358" t="s">
        <v>470</v>
      </c>
      <c r="B120" s="331" t="s">
        <v>492</v>
      </c>
      <c r="C120" s="302" t="s">
        <v>146</v>
      </c>
      <c r="D120" s="224" t="s">
        <v>493</v>
      </c>
      <c r="E120" s="224" t="s">
        <v>490</v>
      </c>
      <c r="F120" s="332" t="s">
        <v>494</v>
      </c>
      <c r="G120" s="83">
        <v>2000</v>
      </c>
      <c r="H120" s="83"/>
      <c r="I120" s="83"/>
      <c r="J120" s="83">
        <v>1800</v>
      </c>
      <c r="K120" s="83"/>
      <c r="L120" s="84"/>
      <c r="M120" s="84"/>
      <c r="N120" s="187">
        <f t="shared" ref="N120:N121" si="110">O120</f>
        <v>0</v>
      </c>
      <c r="O120" s="187"/>
      <c r="P120" s="84"/>
      <c r="Q120" s="84"/>
      <c r="R120" s="84">
        <f t="shared" ref="R120:R121" si="111">S120</f>
        <v>1800</v>
      </c>
      <c r="S120" s="83">
        <f t="shared" ref="S120:S125" si="112">J120</f>
        <v>1800</v>
      </c>
      <c r="T120" s="84"/>
      <c r="U120" s="84"/>
      <c r="V120" s="84"/>
      <c r="W120" s="84"/>
      <c r="X120" s="97"/>
      <c r="Y120" s="209"/>
      <c r="Z120" s="209"/>
      <c r="AA120" s="226" t="s">
        <v>124</v>
      </c>
      <c r="AB120" s="233" t="s">
        <v>271</v>
      </c>
      <c r="AC120" s="158"/>
      <c r="AE120" s="159"/>
      <c r="AM120" s="77"/>
      <c r="AN120" s="77"/>
    </row>
    <row r="121" spans="1:40" s="85" customFormat="1" ht="33.75" x14ac:dyDescent="0.2">
      <c r="A121" s="358" t="s">
        <v>480</v>
      </c>
      <c r="B121" s="331" t="s">
        <v>495</v>
      </c>
      <c r="C121" s="302" t="s">
        <v>140</v>
      </c>
      <c r="D121" s="224" t="s">
        <v>496</v>
      </c>
      <c r="E121" s="224" t="s">
        <v>478</v>
      </c>
      <c r="F121" s="332" t="s">
        <v>497</v>
      </c>
      <c r="G121" s="83">
        <v>2973</v>
      </c>
      <c r="H121" s="83"/>
      <c r="I121" s="83"/>
      <c r="J121" s="83">
        <v>1940</v>
      </c>
      <c r="K121" s="83"/>
      <c r="L121" s="84"/>
      <c r="M121" s="84"/>
      <c r="N121" s="187">
        <f t="shared" si="110"/>
        <v>0</v>
      </c>
      <c r="O121" s="187"/>
      <c r="P121" s="84"/>
      <c r="Q121" s="84"/>
      <c r="R121" s="84">
        <f t="shared" si="111"/>
        <v>1940</v>
      </c>
      <c r="S121" s="83">
        <f t="shared" si="112"/>
        <v>1940</v>
      </c>
      <c r="T121" s="84"/>
      <c r="U121" s="84"/>
      <c r="V121" s="84"/>
      <c r="W121" s="84"/>
      <c r="X121" s="97"/>
      <c r="Y121" s="209"/>
      <c r="Z121" s="209"/>
      <c r="AA121" s="226" t="s">
        <v>124</v>
      </c>
      <c r="AB121" s="233" t="s">
        <v>271</v>
      </c>
      <c r="AC121" s="158"/>
      <c r="AE121" s="159"/>
      <c r="AM121" s="77"/>
      <c r="AN121" s="77"/>
    </row>
    <row r="122" spans="1:40" s="85" customFormat="1" ht="25.5" x14ac:dyDescent="0.2">
      <c r="A122" s="350"/>
      <c r="B122" s="327" t="s">
        <v>204</v>
      </c>
      <c r="C122" s="287"/>
      <c r="D122" s="106"/>
      <c r="E122" s="105"/>
      <c r="F122" s="105"/>
      <c r="G122" s="169">
        <f>G123</f>
        <v>25400</v>
      </c>
      <c r="H122" s="169">
        <f t="shared" ref="H122:V122" si="113">H123</f>
        <v>0</v>
      </c>
      <c r="I122" s="169">
        <f t="shared" si="113"/>
        <v>3654</v>
      </c>
      <c r="J122" s="169">
        <f t="shared" si="113"/>
        <v>4688</v>
      </c>
      <c r="K122" s="169">
        <f t="shared" si="113"/>
        <v>0</v>
      </c>
      <c r="L122" s="169">
        <f t="shared" si="113"/>
        <v>1320</v>
      </c>
      <c r="M122" s="169">
        <f t="shared" si="113"/>
        <v>0</v>
      </c>
      <c r="N122" s="169">
        <f t="shared" si="113"/>
        <v>1500</v>
      </c>
      <c r="O122" s="169">
        <f t="shared" si="113"/>
        <v>0</v>
      </c>
      <c r="P122" s="169">
        <f t="shared" si="113"/>
        <v>0</v>
      </c>
      <c r="Q122" s="169">
        <f t="shared" si="113"/>
        <v>0</v>
      </c>
      <c r="R122" s="169">
        <f t="shared" si="113"/>
        <v>4688</v>
      </c>
      <c r="S122" s="169">
        <f t="shared" si="113"/>
        <v>4688</v>
      </c>
      <c r="T122" s="169">
        <f t="shared" si="113"/>
        <v>0</v>
      </c>
      <c r="U122" s="169">
        <f t="shared" si="113"/>
        <v>0</v>
      </c>
      <c r="V122" s="169">
        <f t="shared" si="113"/>
        <v>0</v>
      </c>
      <c r="W122" s="329">
        <f>N122/J122*100</f>
        <v>31.996587030716722</v>
      </c>
      <c r="X122" s="97"/>
      <c r="Y122" s="218"/>
      <c r="Z122" s="218"/>
      <c r="AA122" s="226"/>
      <c r="AB122" s="230"/>
      <c r="AC122" s="158"/>
      <c r="AE122" s="159"/>
      <c r="AM122" s="77"/>
      <c r="AN122" s="77"/>
    </row>
    <row r="123" spans="1:40" s="85" customFormat="1" ht="13.5" x14ac:dyDescent="0.2">
      <c r="A123" s="350"/>
      <c r="B123" s="191" t="s">
        <v>474</v>
      </c>
      <c r="C123" s="287"/>
      <c r="D123" s="106"/>
      <c r="E123" s="105"/>
      <c r="F123" s="105"/>
      <c r="G123" s="155">
        <f>SUM(G124:G125)</f>
        <v>25400</v>
      </c>
      <c r="H123" s="155">
        <f t="shared" ref="H123:V123" si="114">SUM(H124:H125)</f>
        <v>0</v>
      </c>
      <c r="I123" s="155">
        <f t="shared" si="114"/>
        <v>3654</v>
      </c>
      <c r="J123" s="155">
        <f t="shared" si="114"/>
        <v>4688</v>
      </c>
      <c r="K123" s="155">
        <f t="shared" si="114"/>
        <v>0</v>
      </c>
      <c r="L123" s="155">
        <f t="shared" si="114"/>
        <v>1320</v>
      </c>
      <c r="M123" s="155">
        <f t="shared" si="114"/>
        <v>0</v>
      </c>
      <c r="N123" s="155">
        <f t="shared" si="114"/>
        <v>1500</v>
      </c>
      <c r="O123" s="155">
        <f t="shared" si="114"/>
        <v>0</v>
      </c>
      <c r="P123" s="155">
        <f t="shared" si="114"/>
        <v>0</v>
      </c>
      <c r="Q123" s="155">
        <f t="shared" si="114"/>
        <v>0</v>
      </c>
      <c r="R123" s="155">
        <f t="shared" si="114"/>
        <v>4688</v>
      </c>
      <c r="S123" s="155">
        <f t="shared" si="114"/>
        <v>4688</v>
      </c>
      <c r="T123" s="155">
        <f t="shared" si="114"/>
        <v>0</v>
      </c>
      <c r="U123" s="155">
        <f t="shared" si="114"/>
        <v>0</v>
      </c>
      <c r="V123" s="155">
        <f t="shared" si="114"/>
        <v>0</v>
      </c>
      <c r="W123" s="329"/>
      <c r="X123" s="97"/>
      <c r="Y123" s="209"/>
      <c r="Z123" s="209"/>
      <c r="AA123" s="226"/>
      <c r="AB123" s="230"/>
      <c r="AC123" s="158"/>
      <c r="AE123" s="159"/>
      <c r="AM123" s="77"/>
      <c r="AN123" s="77"/>
    </row>
    <row r="124" spans="1:40" s="85" customFormat="1" ht="25.5" x14ac:dyDescent="0.2">
      <c r="A124" s="350">
        <v>1</v>
      </c>
      <c r="B124" s="333" t="s">
        <v>207</v>
      </c>
      <c r="C124" s="287" t="s">
        <v>146</v>
      </c>
      <c r="D124" s="106"/>
      <c r="E124" s="105" t="s">
        <v>182</v>
      </c>
      <c r="F124" s="334" t="s">
        <v>205</v>
      </c>
      <c r="G124" s="315">
        <v>5900</v>
      </c>
      <c r="H124" s="315"/>
      <c r="I124" s="83">
        <v>1000</v>
      </c>
      <c r="J124" s="83">
        <v>1000</v>
      </c>
      <c r="K124" s="83"/>
      <c r="L124" s="84">
        <v>350</v>
      </c>
      <c r="M124" s="84"/>
      <c r="N124" s="187">
        <f t="shared" ref="N124" si="115">O124</f>
        <v>0</v>
      </c>
      <c r="O124" s="84"/>
      <c r="P124" s="84"/>
      <c r="Q124" s="84"/>
      <c r="R124" s="84">
        <f t="shared" si="97"/>
        <v>1000</v>
      </c>
      <c r="S124" s="83">
        <f t="shared" si="112"/>
        <v>1000</v>
      </c>
      <c r="T124" s="84"/>
      <c r="U124" s="84"/>
      <c r="V124" s="84"/>
      <c r="W124" s="84"/>
      <c r="X124" s="97"/>
      <c r="Y124" s="209"/>
      <c r="Z124" s="209"/>
      <c r="AA124" s="226" t="s">
        <v>123</v>
      </c>
      <c r="AB124" s="233" t="s">
        <v>271</v>
      </c>
      <c r="AC124" s="158"/>
      <c r="AE124" s="159"/>
      <c r="AM124" s="77">
        <f t="shared" si="75"/>
        <v>1000</v>
      </c>
      <c r="AN124" s="77">
        <f t="shared" si="76"/>
        <v>350</v>
      </c>
    </row>
    <row r="125" spans="1:40" s="85" customFormat="1" ht="25.5" x14ac:dyDescent="0.2">
      <c r="A125" s="350">
        <v>2</v>
      </c>
      <c r="B125" s="333" t="s">
        <v>208</v>
      </c>
      <c r="C125" s="287" t="s">
        <v>148</v>
      </c>
      <c r="D125" s="106"/>
      <c r="E125" s="105" t="s">
        <v>182</v>
      </c>
      <c r="F125" s="334" t="s">
        <v>206</v>
      </c>
      <c r="G125" s="315">
        <v>19500</v>
      </c>
      <c r="H125" s="315"/>
      <c r="I125" s="83">
        <v>2654</v>
      </c>
      <c r="J125" s="83">
        <v>3688</v>
      </c>
      <c r="K125" s="83"/>
      <c r="L125" s="84">
        <v>970</v>
      </c>
      <c r="M125" s="84"/>
      <c r="N125" s="187">
        <v>1500</v>
      </c>
      <c r="O125" s="84"/>
      <c r="P125" s="84"/>
      <c r="Q125" s="84"/>
      <c r="R125" s="84">
        <f t="shared" si="97"/>
        <v>3688</v>
      </c>
      <c r="S125" s="83">
        <f t="shared" si="112"/>
        <v>3688</v>
      </c>
      <c r="T125" s="84"/>
      <c r="U125" s="84"/>
      <c r="V125" s="84"/>
      <c r="W125" s="84"/>
      <c r="X125" s="97"/>
      <c r="Y125" s="209"/>
      <c r="Z125" s="209"/>
      <c r="AA125" s="226" t="s">
        <v>123</v>
      </c>
      <c r="AB125" s="233" t="s">
        <v>271</v>
      </c>
      <c r="AC125" s="158"/>
      <c r="AE125" s="159"/>
      <c r="AM125" s="77">
        <f t="shared" si="75"/>
        <v>2188</v>
      </c>
      <c r="AN125" s="77">
        <f t="shared" si="76"/>
        <v>970</v>
      </c>
    </row>
    <row r="126" spans="1:40" s="85" customFormat="1" ht="25.5" x14ac:dyDescent="0.2">
      <c r="A126" s="350"/>
      <c r="B126" s="327" t="s">
        <v>209</v>
      </c>
      <c r="C126" s="287"/>
      <c r="D126" s="106"/>
      <c r="E126" s="105"/>
      <c r="F126" s="105"/>
      <c r="G126" s="83"/>
      <c r="H126" s="83"/>
      <c r="I126" s="83"/>
      <c r="J126" s="83">
        <f>J127</f>
        <v>2429</v>
      </c>
      <c r="K126" s="83">
        <f t="shared" ref="K126:S126" si="116">K127</f>
        <v>0</v>
      </c>
      <c r="L126" s="83">
        <f t="shared" si="116"/>
        <v>0</v>
      </c>
      <c r="M126" s="83">
        <f t="shared" si="116"/>
        <v>0</v>
      </c>
      <c r="N126" s="83">
        <f t="shared" si="116"/>
        <v>0</v>
      </c>
      <c r="O126" s="83">
        <f t="shared" si="116"/>
        <v>0</v>
      </c>
      <c r="P126" s="83">
        <f t="shared" si="116"/>
        <v>0</v>
      </c>
      <c r="Q126" s="83">
        <f t="shared" si="116"/>
        <v>0</v>
      </c>
      <c r="R126" s="83">
        <f t="shared" si="116"/>
        <v>0</v>
      </c>
      <c r="S126" s="83">
        <f t="shared" si="116"/>
        <v>2429</v>
      </c>
      <c r="T126" s="84"/>
      <c r="U126" s="84"/>
      <c r="V126" s="84"/>
      <c r="W126" s="84"/>
      <c r="X126" s="97"/>
      <c r="Y126" s="218"/>
      <c r="Z126" s="218"/>
      <c r="AA126" s="226"/>
      <c r="AB126" s="230"/>
      <c r="AC126" s="158"/>
      <c r="AE126" s="159"/>
      <c r="AM126" s="77">
        <f t="shared" si="75"/>
        <v>2429</v>
      </c>
      <c r="AN126" s="77">
        <f t="shared" si="76"/>
        <v>0</v>
      </c>
    </row>
    <row r="127" spans="1:40" s="85" customFormat="1" ht="45" x14ac:dyDescent="0.2">
      <c r="A127" s="350">
        <v>1</v>
      </c>
      <c r="B127" s="178" t="s">
        <v>210</v>
      </c>
      <c r="C127" s="287"/>
      <c r="D127" s="106"/>
      <c r="E127" s="105"/>
      <c r="F127" s="105"/>
      <c r="G127" s="83"/>
      <c r="H127" s="83"/>
      <c r="I127" s="83"/>
      <c r="J127" s="83">
        <v>2429</v>
      </c>
      <c r="K127" s="83"/>
      <c r="L127" s="84"/>
      <c r="M127" s="84"/>
      <c r="N127" s="187">
        <f t="shared" ref="N127" si="117">O127</f>
        <v>0</v>
      </c>
      <c r="O127" s="84"/>
      <c r="P127" s="84"/>
      <c r="Q127" s="84"/>
      <c r="R127" s="84"/>
      <c r="S127" s="83">
        <v>2429</v>
      </c>
      <c r="T127" s="84"/>
      <c r="U127" s="84"/>
      <c r="V127" s="84"/>
      <c r="W127" s="84"/>
      <c r="X127" s="105" t="s">
        <v>553</v>
      </c>
      <c r="Y127" s="209"/>
      <c r="Z127" s="209"/>
      <c r="AA127" s="226" t="s">
        <v>123</v>
      </c>
      <c r="AB127" s="230"/>
      <c r="AC127" s="158">
        <f>J127+J185</f>
        <v>3935</v>
      </c>
      <c r="AE127" s="159"/>
      <c r="AM127" s="77">
        <f t="shared" si="75"/>
        <v>2429</v>
      </c>
      <c r="AN127" s="77">
        <f t="shared" si="76"/>
        <v>0</v>
      </c>
    </row>
    <row r="128" spans="1:40" s="85" customFormat="1" ht="25.5" x14ac:dyDescent="0.2">
      <c r="A128" s="350"/>
      <c r="B128" s="327" t="s">
        <v>211</v>
      </c>
      <c r="C128" s="287"/>
      <c r="D128" s="106"/>
      <c r="E128" s="105"/>
      <c r="F128" s="105"/>
      <c r="G128" s="169">
        <f>G129+G148</f>
        <v>146180</v>
      </c>
      <c r="H128" s="169">
        <f t="shared" ref="H128:S128" si="118">H129+H148</f>
        <v>0</v>
      </c>
      <c r="I128" s="169">
        <f t="shared" si="118"/>
        <v>35703</v>
      </c>
      <c r="J128" s="169">
        <f t="shared" si="118"/>
        <v>47860</v>
      </c>
      <c r="K128" s="169">
        <f t="shared" si="118"/>
        <v>0</v>
      </c>
      <c r="L128" s="169">
        <f t="shared" si="118"/>
        <v>19775</v>
      </c>
      <c r="M128" s="169">
        <f t="shared" si="118"/>
        <v>0</v>
      </c>
      <c r="N128" s="169">
        <f t="shared" si="118"/>
        <v>1975.2400000000002</v>
      </c>
      <c r="O128" s="169">
        <f t="shared" si="118"/>
        <v>1975.2400000000002</v>
      </c>
      <c r="P128" s="169">
        <f t="shared" si="118"/>
        <v>0</v>
      </c>
      <c r="Q128" s="169">
        <f t="shared" si="118"/>
        <v>0</v>
      </c>
      <c r="R128" s="169">
        <f t="shared" si="118"/>
        <v>47860</v>
      </c>
      <c r="S128" s="169">
        <f t="shared" si="118"/>
        <v>47860</v>
      </c>
      <c r="T128" s="169">
        <f t="shared" ref="T128:V128" si="119">SUM(T130:T147)</f>
        <v>0</v>
      </c>
      <c r="U128" s="169">
        <f t="shared" si="119"/>
        <v>0</v>
      </c>
      <c r="V128" s="169">
        <f t="shared" si="119"/>
        <v>0</v>
      </c>
      <c r="W128" s="84">
        <f>N128/J128*100</f>
        <v>4.1271207689093199</v>
      </c>
      <c r="X128" s="97"/>
      <c r="Y128" s="218"/>
      <c r="Z128" s="218"/>
      <c r="AA128" s="226"/>
      <c r="AB128" s="230"/>
      <c r="AC128" s="158"/>
      <c r="AE128" s="159"/>
      <c r="AM128" s="77"/>
      <c r="AN128" s="77"/>
    </row>
    <row r="129" spans="1:40" s="85" customFormat="1" ht="13.5" x14ac:dyDescent="0.2">
      <c r="A129" s="350"/>
      <c r="B129" s="191" t="s">
        <v>474</v>
      </c>
      <c r="C129" s="287"/>
      <c r="D129" s="106"/>
      <c r="E129" s="105"/>
      <c r="F129" s="105"/>
      <c r="G129" s="155">
        <f>SUM(G130:G147)</f>
        <v>70540</v>
      </c>
      <c r="H129" s="155">
        <f t="shared" ref="H129:V129" si="120">SUM(H130:H147)</f>
        <v>0</v>
      </c>
      <c r="I129" s="155">
        <f t="shared" si="120"/>
        <v>35703</v>
      </c>
      <c r="J129" s="155">
        <f t="shared" si="120"/>
        <v>22577</v>
      </c>
      <c r="K129" s="155">
        <f t="shared" si="120"/>
        <v>0</v>
      </c>
      <c r="L129" s="155">
        <f t="shared" si="120"/>
        <v>19775</v>
      </c>
      <c r="M129" s="155">
        <f t="shared" si="120"/>
        <v>0</v>
      </c>
      <c r="N129" s="155">
        <f t="shared" si="120"/>
        <v>1393.6100000000001</v>
      </c>
      <c r="O129" s="155">
        <f t="shared" si="120"/>
        <v>1393.6100000000001</v>
      </c>
      <c r="P129" s="155">
        <f t="shared" si="120"/>
        <v>0</v>
      </c>
      <c r="Q129" s="155">
        <f t="shared" si="120"/>
        <v>0</v>
      </c>
      <c r="R129" s="155">
        <f t="shared" si="120"/>
        <v>22577</v>
      </c>
      <c r="S129" s="155">
        <f t="shared" si="120"/>
        <v>22577</v>
      </c>
      <c r="T129" s="155">
        <f t="shared" si="120"/>
        <v>0</v>
      </c>
      <c r="U129" s="155">
        <f t="shared" si="120"/>
        <v>0</v>
      </c>
      <c r="V129" s="155">
        <f t="shared" si="120"/>
        <v>0</v>
      </c>
      <c r="W129" s="84"/>
      <c r="X129" s="97"/>
      <c r="Y129" s="209"/>
      <c r="Z129" s="209"/>
      <c r="AA129" s="226"/>
      <c r="AB129" s="230"/>
      <c r="AC129" s="158"/>
      <c r="AE129" s="159"/>
      <c r="AM129" s="77"/>
      <c r="AN129" s="77"/>
    </row>
    <row r="130" spans="1:40" s="85" customFormat="1" ht="25.5" x14ac:dyDescent="0.2">
      <c r="A130" s="350">
        <v>1</v>
      </c>
      <c r="B130" s="82" t="s">
        <v>212</v>
      </c>
      <c r="C130" s="287" t="s">
        <v>146</v>
      </c>
      <c r="D130" s="106"/>
      <c r="E130" s="105" t="s">
        <v>182</v>
      </c>
      <c r="F130" s="185" t="s">
        <v>220</v>
      </c>
      <c r="G130" s="83">
        <v>5500</v>
      </c>
      <c r="H130" s="83"/>
      <c r="I130" s="83">
        <v>2900</v>
      </c>
      <c r="J130" s="83">
        <v>1800</v>
      </c>
      <c r="K130" s="83"/>
      <c r="L130" s="84">
        <v>1990</v>
      </c>
      <c r="M130" s="84"/>
      <c r="N130" s="187">
        <f>O130</f>
        <v>0</v>
      </c>
      <c r="O130" s="187"/>
      <c r="P130" s="84"/>
      <c r="Q130" s="84"/>
      <c r="R130" s="84">
        <f>S130</f>
        <v>1800</v>
      </c>
      <c r="S130" s="83">
        <f>J130</f>
        <v>1800</v>
      </c>
      <c r="T130" s="84"/>
      <c r="U130" s="84"/>
      <c r="V130" s="84"/>
      <c r="W130" s="84"/>
      <c r="X130" s="97"/>
      <c r="Y130" s="209"/>
      <c r="Z130" s="209"/>
      <c r="AA130" s="226" t="s">
        <v>123</v>
      </c>
      <c r="AB130" s="233" t="s">
        <v>271</v>
      </c>
      <c r="AC130" s="158"/>
      <c r="AE130" s="159"/>
      <c r="AM130" s="77">
        <f t="shared" si="75"/>
        <v>1800</v>
      </c>
      <c r="AN130" s="77">
        <f t="shared" si="76"/>
        <v>1990</v>
      </c>
    </row>
    <row r="131" spans="1:40" s="85" customFormat="1" ht="24" x14ac:dyDescent="0.2">
      <c r="A131" s="350">
        <v>2</v>
      </c>
      <c r="B131" s="82" t="s">
        <v>213</v>
      </c>
      <c r="C131" s="287" t="s">
        <v>151</v>
      </c>
      <c r="D131" s="106"/>
      <c r="E131" s="105" t="s">
        <v>182</v>
      </c>
      <c r="F131" s="185" t="s">
        <v>221</v>
      </c>
      <c r="G131" s="83">
        <v>5100</v>
      </c>
      <c r="H131" s="83"/>
      <c r="I131" s="83">
        <v>2700</v>
      </c>
      <c r="J131" s="83">
        <v>1650</v>
      </c>
      <c r="K131" s="83"/>
      <c r="L131" s="84">
        <v>650</v>
      </c>
      <c r="M131" s="84"/>
      <c r="N131" s="187">
        <f t="shared" ref="N131:N154" si="121">O131</f>
        <v>0</v>
      </c>
      <c r="O131" s="186"/>
      <c r="P131" s="84"/>
      <c r="Q131" s="84"/>
      <c r="R131" s="84">
        <f t="shared" ref="R131:R154" si="122">S131</f>
        <v>1650</v>
      </c>
      <c r="S131" s="83">
        <f t="shared" ref="S131:S147" si="123">J131</f>
        <v>1650</v>
      </c>
      <c r="T131" s="84"/>
      <c r="U131" s="84"/>
      <c r="V131" s="84"/>
      <c r="W131" s="84"/>
      <c r="X131" s="97"/>
      <c r="Y131" s="209"/>
      <c r="Z131" s="209"/>
      <c r="AA131" s="226" t="s">
        <v>123</v>
      </c>
      <c r="AB131" s="233" t="s">
        <v>271</v>
      </c>
      <c r="AC131" s="158"/>
      <c r="AE131" s="159"/>
      <c r="AM131" s="77">
        <f t="shared" si="75"/>
        <v>1650</v>
      </c>
      <c r="AN131" s="77">
        <f t="shared" si="76"/>
        <v>650</v>
      </c>
    </row>
    <row r="132" spans="1:40" s="85" customFormat="1" ht="24" x14ac:dyDescent="0.2">
      <c r="A132" s="350">
        <v>3</v>
      </c>
      <c r="B132" s="82" t="s">
        <v>214</v>
      </c>
      <c r="C132" s="287" t="s">
        <v>144</v>
      </c>
      <c r="D132" s="106"/>
      <c r="E132" s="105" t="s">
        <v>182</v>
      </c>
      <c r="F132" s="185" t="s">
        <v>222</v>
      </c>
      <c r="G132" s="83">
        <v>5800</v>
      </c>
      <c r="H132" s="83"/>
      <c r="I132" s="83">
        <v>3100</v>
      </c>
      <c r="J132" s="83">
        <v>1800</v>
      </c>
      <c r="K132" s="83"/>
      <c r="L132" s="84">
        <v>1300</v>
      </c>
      <c r="M132" s="84"/>
      <c r="N132" s="187">
        <f t="shared" si="121"/>
        <v>0</v>
      </c>
      <c r="O132" s="187"/>
      <c r="P132" s="84"/>
      <c r="Q132" s="84"/>
      <c r="R132" s="84">
        <f t="shared" si="122"/>
        <v>1800</v>
      </c>
      <c r="S132" s="83">
        <f t="shared" si="123"/>
        <v>1800</v>
      </c>
      <c r="T132" s="84"/>
      <c r="U132" s="84"/>
      <c r="V132" s="84"/>
      <c r="W132" s="84"/>
      <c r="X132" s="97"/>
      <c r="Y132" s="209"/>
      <c r="Z132" s="209"/>
      <c r="AA132" s="226" t="s">
        <v>123</v>
      </c>
      <c r="AB132" s="233" t="s">
        <v>271</v>
      </c>
      <c r="AC132" s="158"/>
      <c r="AE132" s="159"/>
      <c r="AM132" s="77">
        <f t="shared" si="75"/>
        <v>1800</v>
      </c>
      <c r="AN132" s="77">
        <f t="shared" si="76"/>
        <v>1300</v>
      </c>
    </row>
    <row r="133" spans="1:40" s="85" customFormat="1" ht="25.5" x14ac:dyDescent="0.2">
      <c r="A133" s="350">
        <v>4</v>
      </c>
      <c r="B133" s="82" t="s">
        <v>215</v>
      </c>
      <c r="C133" s="287" t="s">
        <v>228</v>
      </c>
      <c r="D133" s="106"/>
      <c r="E133" s="105" t="s">
        <v>182</v>
      </c>
      <c r="F133" s="185" t="s">
        <v>223</v>
      </c>
      <c r="G133" s="83">
        <v>6800</v>
      </c>
      <c r="H133" s="83"/>
      <c r="I133" s="83">
        <v>3600</v>
      </c>
      <c r="J133" s="83">
        <v>2200</v>
      </c>
      <c r="K133" s="83"/>
      <c r="L133" s="84">
        <v>1790</v>
      </c>
      <c r="M133" s="84"/>
      <c r="N133" s="187">
        <f t="shared" si="121"/>
        <v>0</v>
      </c>
      <c r="O133" s="187"/>
      <c r="P133" s="84"/>
      <c r="Q133" s="84"/>
      <c r="R133" s="84">
        <f t="shared" si="122"/>
        <v>2200</v>
      </c>
      <c r="S133" s="83">
        <f t="shared" si="123"/>
        <v>2200</v>
      </c>
      <c r="T133" s="84"/>
      <c r="U133" s="84"/>
      <c r="V133" s="84"/>
      <c r="W133" s="84"/>
      <c r="X133" s="97"/>
      <c r="Y133" s="209"/>
      <c r="Z133" s="209"/>
      <c r="AA133" s="226" t="s">
        <v>123</v>
      </c>
      <c r="AB133" s="233" t="s">
        <v>271</v>
      </c>
      <c r="AC133" s="158"/>
      <c r="AE133" s="159"/>
      <c r="AM133" s="77">
        <f t="shared" si="75"/>
        <v>2200</v>
      </c>
      <c r="AN133" s="77">
        <f t="shared" si="76"/>
        <v>1790</v>
      </c>
    </row>
    <row r="134" spans="1:40" s="85" customFormat="1" ht="24" x14ac:dyDescent="0.2">
      <c r="A134" s="350">
        <v>5</v>
      </c>
      <c r="B134" s="82" t="s">
        <v>216</v>
      </c>
      <c r="C134" s="287" t="s">
        <v>146</v>
      </c>
      <c r="D134" s="106"/>
      <c r="E134" s="105" t="s">
        <v>182</v>
      </c>
      <c r="F134" s="185" t="s">
        <v>224</v>
      </c>
      <c r="G134" s="83">
        <v>5300</v>
      </c>
      <c r="H134" s="83"/>
      <c r="I134" s="83">
        <v>1800</v>
      </c>
      <c r="J134" s="83">
        <v>2700</v>
      </c>
      <c r="K134" s="83"/>
      <c r="L134" s="84">
        <v>420</v>
      </c>
      <c r="M134" s="84"/>
      <c r="N134" s="187">
        <f t="shared" si="121"/>
        <v>0</v>
      </c>
      <c r="O134" s="187"/>
      <c r="P134" s="84"/>
      <c r="Q134" s="84"/>
      <c r="R134" s="84">
        <f t="shared" si="122"/>
        <v>2700</v>
      </c>
      <c r="S134" s="83">
        <f t="shared" si="123"/>
        <v>2700</v>
      </c>
      <c r="T134" s="84"/>
      <c r="U134" s="84"/>
      <c r="V134" s="84"/>
      <c r="W134" s="84"/>
      <c r="X134" s="97"/>
      <c r="Y134" s="209"/>
      <c r="Z134" s="209"/>
      <c r="AA134" s="226" t="s">
        <v>123</v>
      </c>
      <c r="AB134" s="233" t="s">
        <v>271</v>
      </c>
      <c r="AC134" s="158"/>
      <c r="AE134" s="159"/>
      <c r="AM134" s="77">
        <f t="shared" si="75"/>
        <v>2700</v>
      </c>
      <c r="AN134" s="77">
        <f t="shared" si="76"/>
        <v>420</v>
      </c>
    </row>
    <row r="135" spans="1:40" s="85" customFormat="1" ht="25.5" x14ac:dyDescent="0.2">
      <c r="A135" s="350">
        <v>6</v>
      </c>
      <c r="B135" s="82" t="s">
        <v>217</v>
      </c>
      <c r="C135" s="287" t="s">
        <v>148</v>
      </c>
      <c r="D135" s="106"/>
      <c r="E135" s="105" t="s">
        <v>182</v>
      </c>
      <c r="F135" s="185" t="s">
        <v>225</v>
      </c>
      <c r="G135" s="83">
        <v>5200</v>
      </c>
      <c r="H135" s="83"/>
      <c r="I135" s="83">
        <v>2800</v>
      </c>
      <c r="J135" s="83">
        <v>1600</v>
      </c>
      <c r="K135" s="83"/>
      <c r="L135" s="84">
        <v>1130</v>
      </c>
      <c r="M135" s="84"/>
      <c r="N135" s="187">
        <f t="shared" si="121"/>
        <v>0</v>
      </c>
      <c r="O135" s="187"/>
      <c r="P135" s="84"/>
      <c r="Q135" s="84"/>
      <c r="R135" s="84">
        <f t="shared" si="122"/>
        <v>1600</v>
      </c>
      <c r="S135" s="83">
        <f t="shared" si="123"/>
        <v>1600</v>
      </c>
      <c r="T135" s="84"/>
      <c r="U135" s="84"/>
      <c r="V135" s="84"/>
      <c r="W135" s="84"/>
      <c r="X135" s="97"/>
      <c r="Y135" s="209"/>
      <c r="Z135" s="209"/>
      <c r="AA135" s="226" t="s">
        <v>123</v>
      </c>
      <c r="AB135" s="233" t="s">
        <v>271</v>
      </c>
      <c r="AC135" s="158"/>
      <c r="AE135" s="159"/>
      <c r="AM135" s="77">
        <f t="shared" si="75"/>
        <v>1600</v>
      </c>
      <c r="AN135" s="77">
        <f t="shared" si="76"/>
        <v>1130</v>
      </c>
    </row>
    <row r="136" spans="1:40" s="85" customFormat="1" ht="24" x14ac:dyDescent="0.2">
      <c r="A136" s="350">
        <v>7</v>
      </c>
      <c r="B136" s="82" t="s">
        <v>218</v>
      </c>
      <c r="C136" s="287" t="s">
        <v>149</v>
      </c>
      <c r="D136" s="106"/>
      <c r="E136" s="105" t="s">
        <v>182</v>
      </c>
      <c r="F136" s="185" t="s">
        <v>226</v>
      </c>
      <c r="G136" s="83">
        <v>8340</v>
      </c>
      <c r="H136" s="83"/>
      <c r="I136" s="83">
        <v>3303</v>
      </c>
      <c r="J136" s="83">
        <v>697</v>
      </c>
      <c r="K136" s="83"/>
      <c r="L136" s="84">
        <v>1500</v>
      </c>
      <c r="M136" s="84"/>
      <c r="N136" s="187">
        <f t="shared" si="121"/>
        <v>697</v>
      </c>
      <c r="O136" s="187">
        <v>697</v>
      </c>
      <c r="P136" s="84"/>
      <c r="Q136" s="84"/>
      <c r="R136" s="84">
        <f t="shared" si="122"/>
        <v>697</v>
      </c>
      <c r="S136" s="83">
        <f t="shared" si="123"/>
        <v>697</v>
      </c>
      <c r="T136" s="84"/>
      <c r="U136" s="84"/>
      <c r="V136" s="84"/>
      <c r="W136" s="84"/>
      <c r="X136" s="97"/>
      <c r="Y136" s="209"/>
      <c r="Z136" s="209"/>
      <c r="AA136" s="226" t="s">
        <v>123</v>
      </c>
      <c r="AB136" s="233" t="s">
        <v>271</v>
      </c>
      <c r="AC136" s="158"/>
      <c r="AE136" s="159"/>
      <c r="AM136" s="77">
        <f t="shared" si="75"/>
        <v>0</v>
      </c>
      <c r="AN136" s="77">
        <f t="shared" si="76"/>
        <v>803</v>
      </c>
    </row>
    <row r="137" spans="1:40" s="85" customFormat="1" ht="25.5" x14ac:dyDescent="0.2">
      <c r="A137" s="350">
        <v>8</v>
      </c>
      <c r="B137" s="82" t="s">
        <v>219</v>
      </c>
      <c r="C137" s="287" t="s">
        <v>229</v>
      </c>
      <c r="D137" s="106"/>
      <c r="E137" s="105" t="s">
        <v>182</v>
      </c>
      <c r="F137" s="185" t="s">
        <v>227</v>
      </c>
      <c r="G137" s="83">
        <v>6100</v>
      </c>
      <c r="H137" s="83"/>
      <c r="I137" s="83">
        <v>3300</v>
      </c>
      <c r="J137" s="83">
        <v>1900</v>
      </c>
      <c r="K137" s="83"/>
      <c r="L137" s="84">
        <v>1900</v>
      </c>
      <c r="M137" s="84"/>
      <c r="N137" s="187">
        <f t="shared" si="121"/>
        <v>696.61</v>
      </c>
      <c r="O137" s="187">
        <v>696.61</v>
      </c>
      <c r="P137" s="84"/>
      <c r="Q137" s="84"/>
      <c r="R137" s="84">
        <f t="shared" si="122"/>
        <v>1900</v>
      </c>
      <c r="S137" s="83">
        <f t="shared" si="123"/>
        <v>1900</v>
      </c>
      <c r="T137" s="84"/>
      <c r="U137" s="84"/>
      <c r="V137" s="84"/>
      <c r="W137" s="84"/>
      <c r="X137" s="97"/>
      <c r="Y137" s="209"/>
      <c r="Z137" s="209"/>
      <c r="AA137" s="226" t="s">
        <v>123</v>
      </c>
      <c r="AB137" s="233" t="s">
        <v>271</v>
      </c>
      <c r="AC137" s="158"/>
      <c r="AE137" s="159"/>
      <c r="AM137" s="77">
        <f t="shared" si="75"/>
        <v>1203.3899999999999</v>
      </c>
      <c r="AN137" s="77">
        <f t="shared" si="76"/>
        <v>1203.3899999999999</v>
      </c>
    </row>
    <row r="138" spans="1:40" s="85" customFormat="1" ht="25.5" x14ac:dyDescent="0.2">
      <c r="A138" s="350">
        <v>9</v>
      </c>
      <c r="B138" s="82" t="s">
        <v>322</v>
      </c>
      <c r="C138" s="185" t="s">
        <v>262</v>
      </c>
      <c r="D138" s="335" t="s">
        <v>338</v>
      </c>
      <c r="E138" s="185" t="s">
        <v>348</v>
      </c>
      <c r="F138" s="185" t="s">
        <v>349</v>
      </c>
      <c r="G138" s="336">
        <v>2400</v>
      </c>
      <c r="H138" s="336"/>
      <c r="I138" s="336">
        <v>1400</v>
      </c>
      <c r="J138" s="83">
        <v>650</v>
      </c>
      <c r="K138" s="83"/>
      <c r="L138" s="84">
        <v>1560</v>
      </c>
      <c r="M138" s="316"/>
      <c r="N138" s="187">
        <f t="shared" si="121"/>
        <v>0</v>
      </c>
      <c r="O138" s="84"/>
      <c r="P138" s="84"/>
      <c r="Q138" s="84"/>
      <c r="R138" s="84">
        <f t="shared" si="122"/>
        <v>650</v>
      </c>
      <c r="S138" s="83">
        <f t="shared" si="123"/>
        <v>650</v>
      </c>
      <c r="T138" s="84"/>
      <c r="U138" s="84"/>
      <c r="V138" s="84"/>
      <c r="W138" s="84"/>
      <c r="X138" s="97"/>
      <c r="Y138" s="209"/>
      <c r="Z138" s="209"/>
      <c r="AA138" s="226" t="s">
        <v>123</v>
      </c>
      <c r="AB138" s="243" t="s">
        <v>276</v>
      </c>
      <c r="AC138" s="158"/>
      <c r="AE138" s="159"/>
      <c r="AM138" s="77">
        <f t="shared" si="75"/>
        <v>650</v>
      </c>
      <c r="AN138" s="77">
        <f t="shared" si="76"/>
        <v>1560</v>
      </c>
    </row>
    <row r="139" spans="1:40" s="85" customFormat="1" ht="25.5" x14ac:dyDescent="0.2">
      <c r="A139" s="350">
        <v>10</v>
      </c>
      <c r="B139" s="82" t="s">
        <v>323</v>
      </c>
      <c r="C139" s="185" t="s">
        <v>332</v>
      </c>
      <c r="D139" s="335" t="s">
        <v>339</v>
      </c>
      <c r="E139" s="185" t="s">
        <v>348</v>
      </c>
      <c r="F139" s="185" t="s">
        <v>350</v>
      </c>
      <c r="G139" s="336">
        <v>2000</v>
      </c>
      <c r="H139" s="336"/>
      <c r="I139" s="336">
        <v>1100</v>
      </c>
      <c r="J139" s="83">
        <v>600</v>
      </c>
      <c r="K139" s="83"/>
      <c r="L139" s="84">
        <v>1000</v>
      </c>
      <c r="M139" s="316"/>
      <c r="N139" s="187">
        <f t="shared" si="121"/>
        <v>0</v>
      </c>
      <c r="O139" s="84"/>
      <c r="P139" s="84"/>
      <c r="Q139" s="84"/>
      <c r="R139" s="84">
        <f t="shared" si="122"/>
        <v>600</v>
      </c>
      <c r="S139" s="83">
        <f t="shared" si="123"/>
        <v>600</v>
      </c>
      <c r="T139" s="84"/>
      <c r="U139" s="84"/>
      <c r="V139" s="84"/>
      <c r="W139" s="84"/>
      <c r="X139" s="97"/>
      <c r="Y139" s="209"/>
      <c r="Z139" s="209"/>
      <c r="AA139" s="226" t="s">
        <v>123</v>
      </c>
      <c r="AB139" s="243" t="s">
        <v>278</v>
      </c>
      <c r="AC139" s="158"/>
      <c r="AE139" s="159"/>
      <c r="AM139" s="77">
        <f t="shared" si="75"/>
        <v>600</v>
      </c>
      <c r="AN139" s="77">
        <f t="shared" si="76"/>
        <v>1000</v>
      </c>
    </row>
    <row r="140" spans="1:40" s="85" customFormat="1" ht="25.5" x14ac:dyDescent="0.2">
      <c r="A140" s="350">
        <v>11</v>
      </c>
      <c r="B140" s="82" t="s">
        <v>324</v>
      </c>
      <c r="C140" s="185" t="s">
        <v>259</v>
      </c>
      <c r="D140" s="335" t="s">
        <v>340</v>
      </c>
      <c r="E140" s="185" t="s">
        <v>348</v>
      </c>
      <c r="F140" s="185" t="s">
        <v>351</v>
      </c>
      <c r="G140" s="336">
        <v>1300</v>
      </c>
      <c r="H140" s="336"/>
      <c r="I140" s="336">
        <v>800</v>
      </c>
      <c r="J140" s="83">
        <v>450</v>
      </c>
      <c r="K140" s="83"/>
      <c r="L140" s="84">
        <v>390</v>
      </c>
      <c r="M140" s="316"/>
      <c r="N140" s="187">
        <f t="shared" si="121"/>
        <v>0</v>
      </c>
      <c r="O140" s="84"/>
      <c r="P140" s="84"/>
      <c r="Q140" s="84"/>
      <c r="R140" s="84">
        <f t="shared" si="122"/>
        <v>450</v>
      </c>
      <c r="S140" s="83">
        <f t="shared" si="123"/>
        <v>450</v>
      </c>
      <c r="T140" s="84"/>
      <c r="U140" s="84"/>
      <c r="V140" s="84"/>
      <c r="W140" s="84"/>
      <c r="X140" s="97"/>
      <c r="Y140" s="209"/>
      <c r="Z140" s="209"/>
      <c r="AA140" s="226" t="s">
        <v>123</v>
      </c>
      <c r="AB140" s="243" t="s">
        <v>272</v>
      </c>
      <c r="AC140" s="158"/>
      <c r="AE140" s="159"/>
      <c r="AM140" s="77">
        <f t="shared" si="75"/>
        <v>450</v>
      </c>
      <c r="AN140" s="77">
        <f t="shared" si="76"/>
        <v>390</v>
      </c>
    </row>
    <row r="141" spans="1:40" s="85" customFormat="1" ht="25.5" x14ac:dyDescent="0.2">
      <c r="A141" s="350">
        <v>12</v>
      </c>
      <c r="B141" s="82" t="s">
        <v>325</v>
      </c>
      <c r="C141" s="185" t="s">
        <v>333</v>
      </c>
      <c r="D141" s="335" t="s">
        <v>341</v>
      </c>
      <c r="E141" s="185" t="s">
        <v>320</v>
      </c>
      <c r="F141" s="185" t="s">
        <v>352</v>
      </c>
      <c r="G141" s="336">
        <v>4300</v>
      </c>
      <c r="H141" s="336"/>
      <c r="I141" s="336">
        <v>1800</v>
      </c>
      <c r="J141" s="83">
        <v>1900</v>
      </c>
      <c r="K141" s="83"/>
      <c r="L141" s="84">
        <v>1505</v>
      </c>
      <c r="M141" s="316"/>
      <c r="N141" s="187">
        <f t="shared" si="121"/>
        <v>0</v>
      </c>
      <c r="O141" s="84"/>
      <c r="P141" s="84"/>
      <c r="Q141" s="84"/>
      <c r="R141" s="84">
        <f t="shared" si="122"/>
        <v>1900</v>
      </c>
      <c r="S141" s="83">
        <f t="shared" si="123"/>
        <v>1900</v>
      </c>
      <c r="T141" s="84"/>
      <c r="U141" s="84"/>
      <c r="V141" s="84"/>
      <c r="W141" s="84"/>
      <c r="X141" s="97"/>
      <c r="Y141" s="209"/>
      <c r="Z141" s="209"/>
      <c r="AA141" s="226" t="s">
        <v>123</v>
      </c>
      <c r="AB141" s="243" t="s">
        <v>275</v>
      </c>
      <c r="AC141" s="158"/>
      <c r="AE141" s="159"/>
      <c r="AM141" s="77">
        <f t="shared" si="75"/>
        <v>1900</v>
      </c>
      <c r="AN141" s="77">
        <f t="shared" si="76"/>
        <v>1505</v>
      </c>
    </row>
    <row r="142" spans="1:40" s="85" customFormat="1" ht="25.5" x14ac:dyDescent="0.2">
      <c r="A142" s="350">
        <v>13</v>
      </c>
      <c r="B142" s="82" t="s">
        <v>326</v>
      </c>
      <c r="C142" s="185" t="s">
        <v>334</v>
      </c>
      <c r="D142" s="335" t="s">
        <v>342</v>
      </c>
      <c r="E142" s="185" t="s">
        <v>320</v>
      </c>
      <c r="F142" s="185" t="s">
        <v>353</v>
      </c>
      <c r="G142" s="336">
        <v>1100</v>
      </c>
      <c r="H142" s="336"/>
      <c r="I142" s="336">
        <v>600</v>
      </c>
      <c r="J142" s="83">
        <v>450</v>
      </c>
      <c r="K142" s="83"/>
      <c r="L142" s="84">
        <v>330</v>
      </c>
      <c r="M142" s="316"/>
      <c r="N142" s="187">
        <f t="shared" si="121"/>
        <v>0</v>
      </c>
      <c r="O142" s="84"/>
      <c r="P142" s="84"/>
      <c r="Q142" s="84"/>
      <c r="R142" s="84">
        <f t="shared" si="122"/>
        <v>450</v>
      </c>
      <c r="S142" s="83">
        <f t="shared" si="123"/>
        <v>450</v>
      </c>
      <c r="T142" s="84"/>
      <c r="U142" s="84"/>
      <c r="V142" s="84"/>
      <c r="W142" s="84"/>
      <c r="X142" s="97"/>
      <c r="Y142" s="209"/>
      <c r="Z142" s="209"/>
      <c r="AA142" s="226" t="s">
        <v>123</v>
      </c>
      <c r="AB142" s="243" t="s">
        <v>274</v>
      </c>
      <c r="AC142" s="158"/>
      <c r="AE142" s="159"/>
      <c r="AM142" s="77">
        <f t="shared" si="75"/>
        <v>450</v>
      </c>
      <c r="AN142" s="77">
        <f t="shared" si="76"/>
        <v>330</v>
      </c>
    </row>
    <row r="143" spans="1:40" s="85" customFormat="1" ht="25.5" x14ac:dyDescent="0.2">
      <c r="A143" s="350">
        <v>14</v>
      </c>
      <c r="B143" s="82" t="s">
        <v>327</v>
      </c>
      <c r="C143" s="185" t="s">
        <v>335</v>
      </c>
      <c r="D143" s="335" t="s">
        <v>343</v>
      </c>
      <c r="E143" s="185" t="s">
        <v>320</v>
      </c>
      <c r="F143" s="185" t="s">
        <v>354</v>
      </c>
      <c r="G143" s="336">
        <v>2800</v>
      </c>
      <c r="H143" s="336"/>
      <c r="I143" s="336">
        <v>1500</v>
      </c>
      <c r="J143" s="83">
        <v>1200</v>
      </c>
      <c r="K143" s="83"/>
      <c r="L143" s="84">
        <v>840</v>
      </c>
      <c r="M143" s="316"/>
      <c r="N143" s="187">
        <f t="shared" si="121"/>
        <v>0</v>
      </c>
      <c r="O143" s="84"/>
      <c r="P143" s="84"/>
      <c r="Q143" s="84"/>
      <c r="R143" s="84">
        <f t="shared" si="122"/>
        <v>1200</v>
      </c>
      <c r="S143" s="83">
        <f t="shared" si="123"/>
        <v>1200</v>
      </c>
      <c r="T143" s="84"/>
      <c r="U143" s="84"/>
      <c r="V143" s="84"/>
      <c r="W143" s="84"/>
      <c r="X143" s="97"/>
      <c r="Y143" s="209"/>
      <c r="Z143" s="209"/>
      <c r="AA143" s="226" t="s">
        <v>123</v>
      </c>
      <c r="AB143" s="243" t="s">
        <v>280</v>
      </c>
      <c r="AC143" s="158"/>
      <c r="AE143" s="159"/>
      <c r="AM143" s="77">
        <f t="shared" si="75"/>
        <v>1200</v>
      </c>
      <c r="AN143" s="77">
        <f t="shared" si="76"/>
        <v>840</v>
      </c>
    </row>
    <row r="144" spans="1:40" s="85" customFormat="1" ht="25.5" x14ac:dyDescent="0.2">
      <c r="A144" s="350">
        <v>15</v>
      </c>
      <c r="B144" s="82" t="s">
        <v>328</v>
      </c>
      <c r="C144" s="185" t="s">
        <v>336</v>
      </c>
      <c r="D144" s="335" t="s">
        <v>344</v>
      </c>
      <c r="E144" s="185" t="s">
        <v>320</v>
      </c>
      <c r="F144" s="185" t="s">
        <v>355</v>
      </c>
      <c r="G144" s="336">
        <v>3600</v>
      </c>
      <c r="H144" s="336"/>
      <c r="I144" s="336">
        <v>1900</v>
      </c>
      <c r="J144" s="83">
        <v>1400</v>
      </c>
      <c r="K144" s="83"/>
      <c r="L144" s="84">
        <v>2000</v>
      </c>
      <c r="M144" s="316"/>
      <c r="N144" s="187">
        <f t="shared" si="121"/>
        <v>0</v>
      </c>
      <c r="O144" s="84"/>
      <c r="P144" s="84"/>
      <c r="Q144" s="84"/>
      <c r="R144" s="84">
        <f t="shared" si="122"/>
        <v>1400</v>
      </c>
      <c r="S144" s="83">
        <f t="shared" si="123"/>
        <v>1400</v>
      </c>
      <c r="T144" s="84"/>
      <c r="U144" s="84"/>
      <c r="V144" s="84"/>
      <c r="W144" s="84"/>
      <c r="X144" s="97"/>
      <c r="Y144" s="209"/>
      <c r="Z144" s="209"/>
      <c r="AA144" s="226" t="s">
        <v>123</v>
      </c>
      <c r="AB144" s="243" t="s">
        <v>359</v>
      </c>
      <c r="AC144" s="158"/>
      <c r="AE144" s="159"/>
      <c r="AM144" s="77">
        <f t="shared" si="75"/>
        <v>1400</v>
      </c>
      <c r="AN144" s="77">
        <f t="shared" si="76"/>
        <v>2000</v>
      </c>
    </row>
    <row r="145" spans="1:40" s="85" customFormat="1" ht="22.5" x14ac:dyDescent="0.2">
      <c r="A145" s="350">
        <v>16</v>
      </c>
      <c r="B145" s="82" t="s">
        <v>329</v>
      </c>
      <c r="C145" s="185" t="s">
        <v>258</v>
      </c>
      <c r="D145" s="335" t="s">
        <v>345</v>
      </c>
      <c r="E145" s="185" t="s">
        <v>320</v>
      </c>
      <c r="F145" s="185" t="s">
        <v>356</v>
      </c>
      <c r="G145" s="336">
        <v>2400</v>
      </c>
      <c r="H145" s="336"/>
      <c r="I145" s="336">
        <v>1500</v>
      </c>
      <c r="J145" s="83">
        <v>780</v>
      </c>
      <c r="K145" s="83"/>
      <c r="L145" s="84">
        <v>720</v>
      </c>
      <c r="M145" s="316"/>
      <c r="N145" s="187">
        <f t="shared" si="121"/>
        <v>0</v>
      </c>
      <c r="O145" s="84"/>
      <c r="P145" s="84"/>
      <c r="Q145" s="84"/>
      <c r="R145" s="84">
        <f t="shared" si="122"/>
        <v>780</v>
      </c>
      <c r="S145" s="83">
        <f t="shared" si="123"/>
        <v>780</v>
      </c>
      <c r="T145" s="84"/>
      <c r="U145" s="84"/>
      <c r="V145" s="84"/>
      <c r="W145" s="84"/>
      <c r="X145" s="97"/>
      <c r="Y145" s="209"/>
      <c r="Z145" s="209"/>
      <c r="AA145" s="226" t="s">
        <v>123</v>
      </c>
      <c r="AB145" s="243" t="s">
        <v>273</v>
      </c>
      <c r="AC145" s="158"/>
      <c r="AE145" s="159"/>
      <c r="AM145" s="77">
        <f t="shared" si="75"/>
        <v>780</v>
      </c>
      <c r="AN145" s="77">
        <f t="shared" si="76"/>
        <v>720</v>
      </c>
    </row>
    <row r="146" spans="1:40" s="85" customFormat="1" ht="25.5" x14ac:dyDescent="0.2">
      <c r="A146" s="350">
        <v>17</v>
      </c>
      <c r="B146" s="82" t="s">
        <v>330</v>
      </c>
      <c r="C146" s="185" t="s">
        <v>264</v>
      </c>
      <c r="D146" s="335" t="s">
        <v>346</v>
      </c>
      <c r="E146" s="185" t="s">
        <v>320</v>
      </c>
      <c r="F146" s="185" t="s">
        <v>357</v>
      </c>
      <c r="G146" s="336">
        <v>1000</v>
      </c>
      <c r="H146" s="336"/>
      <c r="I146" s="336">
        <v>600</v>
      </c>
      <c r="J146" s="83">
        <v>350</v>
      </c>
      <c r="K146" s="83"/>
      <c r="L146" s="84">
        <v>300</v>
      </c>
      <c r="M146" s="316"/>
      <c r="N146" s="187">
        <f t="shared" si="121"/>
        <v>0</v>
      </c>
      <c r="O146" s="84"/>
      <c r="P146" s="84"/>
      <c r="Q146" s="84"/>
      <c r="R146" s="84">
        <f t="shared" si="122"/>
        <v>350</v>
      </c>
      <c r="S146" s="83">
        <f t="shared" si="123"/>
        <v>350</v>
      </c>
      <c r="T146" s="84"/>
      <c r="U146" s="84"/>
      <c r="V146" s="84"/>
      <c r="W146" s="84"/>
      <c r="X146" s="97"/>
      <c r="Y146" s="209"/>
      <c r="Z146" s="209"/>
      <c r="AA146" s="226" t="s">
        <v>123</v>
      </c>
      <c r="AB146" s="243" t="s">
        <v>282</v>
      </c>
      <c r="AC146" s="158"/>
      <c r="AE146" s="159"/>
      <c r="AM146" s="77">
        <f t="shared" si="75"/>
        <v>350</v>
      </c>
      <c r="AN146" s="77">
        <f t="shared" si="76"/>
        <v>300</v>
      </c>
    </row>
    <row r="147" spans="1:40" s="85" customFormat="1" ht="33.75" x14ac:dyDescent="0.2">
      <c r="A147" s="350">
        <v>18</v>
      </c>
      <c r="B147" s="82" t="s">
        <v>331</v>
      </c>
      <c r="C147" s="185" t="s">
        <v>337</v>
      </c>
      <c r="D147" s="335" t="s">
        <v>347</v>
      </c>
      <c r="E147" s="185" t="s">
        <v>320</v>
      </c>
      <c r="F147" s="185" t="s">
        <v>358</v>
      </c>
      <c r="G147" s="336">
        <v>1500</v>
      </c>
      <c r="H147" s="336"/>
      <c r="I147" s="336">
        <v>1000</v>
      </c>
      <c r="J147" s="83">
        <v>450</v>
      </c>
      <c r="K147" s="83"/>
      <c r="L147" s="84">
        <v>450</v>
      </c>
      <c r="M147" s="316"/>
      <c r="N147" s="187">
        <f t="shared" si="121"/>
        <v>0</v>
      </c>
      <c r="O147" s="84"/>
      <c r="P147" s="84"/>
      <c r="Q147" s="84"/>
      <c r="R147" s="84">
        <f t="shared" si="122"/>
        <v>450</v>
      </c>
      <c r="S147" s="83">
        <f t="shared" si="123"/>
        <v>450</v>
      </c>
      <c r="T147" s="84"/>
      <c r="U147" s="84"/>
      <c r="V147" s="84"/>
      <c r="W147" s="84"/>
      <c r="X147" s="97"/>
      <c r="Y147" s="209"/>
      <c r="Z147" s="209"/>
      <c r="AA147" s="226" t="s">
        <v>123</v>
      </c>
      <c r="AB147" s="243" t="s">
        <v>360</v>
      </c>
      <c r="AC147" s="158"/>
      <c r="AE147" s="159"/>
      <c r="AM147" s="77">
        <f t="shared" si="75"/>
        <v>450</v>
      </c>
      <c r="AN147" s="77">
        <f t="shared" si="76"/>
        <v>450</v>
      </c>
    </row>
    <row r="148" spans="1:40" s="85" customFormat="1" ht="13.5" x14ac:dyDescent="0.2">
      <c r="A148" s="350"/>
      <c r="B148" s="317" t="s">
        <v>475</v>
      </c>
      <c r="C148" s="185"/>
      <c r="D148" s="335"/>
      <c r="E148" s="185"/>
      <c r="F148" s="185"/>
      <c r="G148" s="337">
        <f>SUM(G149:G154)</f>
        <v>75640</v>
      </c>
      <c r="H148" s="337">
        <f t="shared" ref="H148:S148" si="124">SUM(H149:H154)</f>
        <v>0</v>
      </c>
      <c r="I148" s="337">
        <f t="shared" si="124"/>
        <v>0</v>
      </c>
      <c r="J148" s="337">
        <f t="shared" si="124"/>
        <v>25283</v>
      </c>
      <c r="K148" s="337">
        <f t="shared" si="124"/>
        <v>0</v>
      </c>
      <c r="L148" s="337">
        <f t="shared" si="124"/>
        <v>0</v>
      </c>
      <c r="M148" s="337">
        <f t="shared" si="124"/>
        <v>0</v>
      </c>
      <c r="N148" s="337">
        <f t="shared" si="124"/>
        <v>581.63</v>
      </c>
      <c r="O148" s="337">
        <f t="shared" si="124"/>
        <v>581.63</v>
      </c>
      <c r="P148" s="337">
        <f t="shared" si="124"/>
        <v>0</v>
      </c>
      <c r="Q148" s="337">
        <f t="shared" si="124"/>
        <v>0</v>
      </c>
      <c r="R148" s="337">
        <f t="shared" si="124"/>
        <v>25283</v>
      </c>
      <c r="S148" s="337">
        <f t="shared" si="124"/>
        <v>25283</v>
      </c>
      <c r="T148" s="84"/>
      <c r="U148" s="84"/>
      <c r="V148" s="84"/>
      <c r="W148" s="84"/>
      <c r="X148" s="97"/>
      <c r="Y148" s="209"/>
      <c r="Z148" s="209"/>
      <c r="AA148" s="226"/>
      <c r="AB148" s="243"/>
      <c r="AC148" s="158"/>
      <c r="AE148" s="159"/>
      <c r="AM148" s="77"/>
      <c r="AN148" s="77"/>
    </row>
    <row r="149" spans="1:40" s="85" customFormat="1" ht="33.75" x14ac:dyDescent="0.2">
      <c r="A149" s="358" t="s">
        <v>470</v>
      </c>
      <c r="B149" s="338" t="s">
        <v>498</v>
      </c>
      <c r="C149" s="293" t="s">
        <v>144</v>
      </c>
      <c r="D149" s="293" t="s">
        <v>504</v>
      </c>
      <c r="E149" s="293" t="s">
        <v>490</v>
      </c>
      <c r="F149" s="293" t="s">
        <v>505</v>
      </c>
      <c r="G149" s="336">
        <v>2000</v>
      </c>
      <c r="H149" s="336"/>
      <c r="I149" s="336"/>
      <c r="J149" s="83">
        <v>1100</v>
      </c>
      <c r="K149" s="83"/>
      <c r="L149" s="84"/>
      <c r="M149" s="339"/>
      <c r="N149" s="187">
        <f t="shared" si="121"/>
        <v>0</v>
      </c>
      <c r="O149" s="84"/>
      <c r="P149" s="84"/>
      <c r="Q149" s="84"/>
      <c r="R149" s="84">
        <f t="shared" si="122"/>
        <v>1100</v>
      </c>
      <c r="S149" s="83">
        <f t="shared" ref="S149" si="125">J149</f>
        <v>1100</v>
      </c>
      <c r="T149" s="84"/>
      <c r="U149" s="84"/>
      <c r="V149" s="84"/>
      <c r="W149" s="84"/>
      <c r="X149" s="97"/>
      <c r="Y149" s="209"/>
      <c r="Z149" s="209"/>
      <c r="AA149" s="226" t="s">
        <v>124</v>
      </c>
      <c r="AB149" s="248" t="s">
        <v>274</v>
      </c>
      <c r="AC149" s="158"/>
      <c r="AE149" s="159"/>
      <c r="AM149" s="77"/>
      <c r="AN149" s="77"/>
    </row>
    <row r="150" spans="1:40" s="85" customFormat="1" ht="33.75" x14ac:dyDescent="0.2">
      <c r="A150" s="358" t="s">
        <v>480</v>
      </c>
      <c r="B150" s="338" t="s">
        <v>499</v>
      </c>
      <c r="C150" s="293" t="s">
        <v>148</v>
      </c>
      <c r="D150" s="293" t="s">
        <v>506</v>
      </c>
      <c r="E150" s="293" t="s">
        <v>490</v>
      </c>
      <c r="F150" s="293" t="s">
        <v>507</v>
      </c>
      <c r="G150" s="336">
        <v>2000</v>
      </c>
      <c r="H150" s="336"/>
      <c r="I150" s="336"/>
      <c r="J150" s="83">
        <v>1100</v>
      </c>
      <c r="K150" s="83"/>
      <c r="L150" s="84"/>
      <c r="M150" s="339"/>
      <c r="N150" s="187">
        <f t="shared" si="121"/>
        <v>0</v>
      </c>
      <c r="O150" s="84"/>
      <c r="P150" s="84"/>
      <c r="Q150" s="84"/>
      <c r="R150" s="84">
        <f t="shared" si="122"/>
        <v>1100</v>
      </c>
      <c r="S150" s="83">
        <f t="shared" ref="S150:S154" si="126">J150</f>
        <v>1100</v>
      </c>
      <c r="T150" s="84"/>
      <c r="U150" s="84"/>
      <c r="V150" s="84"/>
      <c r="W150" s="84"/>
      <c r="X150" s="97"/>
      <c r="Y150" s="209"/>
      <c r="Z150" s="209"/>
      <c r="AA150" s="226" t="s">
        <v>124</v>
      </c>
      <c r="AB150" s="248" t="s">
        <v>279</v>
      </c>
      <c r="AC150" s="158"/>
      <c r="AE150" s="159"/>
      <c r="AM150" s="77"/>
      <c r="AN150" s="77"/>
    </row>
    <row r="151" spans="1:40" s="85" customFormat="1" ht="33.75" x14ac:dyDescent="0.2">
      <c r="A151" s="358" t="s">
        <v>484</v>
      </c>
      <c r="B151" s="338" t="s">
        <v>500</v>
      </c>
      <c r="C151" s="293" t="s">
        <v>152</v>
      </c>
      <c r="D151" s="293" t="s">
        <v>508</v>
      </c>
      <c r="E151" s="293" t="s">
        <v>478</v>
      </c>
      <c r="F151" s="340" t="s">
        <v>509</v>
      </c>
      <c r="G151" s="336">
        <v>3000</v>
      </c>
      <c r="H151" s="336"/>
      <c r="I151" s="336"/>
      <c r="J151" s="83">
        <v>1583</v>
      </c>
      <c r="K151" s="83"/>
      <c r="L151" s="84"/>
      <c r="M151" s="339"/>
      <c r="N151" s="187">
        <f t="shared" si="121"/>
        <v>0</v>
      </c>
      <c r="O151" s="84"/>
      <c r="P151" s="84"/>
      <c r="Q151" s="84"/>
      <c r="R151" s="84">
        <f t="shared" si="122"/>
        <v>1583</v>
      </c>
      <c r="S151" s="83">
        <f t="shared" si="126"/>
        <v>1583</v>
      </c>
      <c r="T151" s="84"/>
      <c r="U151" s="84"/>
      <c r="V151" s="84"/>
      <c r="W151" s="84"/>
      <c r="X151" s="97"/>
      <c r="Y151" s="209"/>
      <c r="Z151" s="209"/>
      <c r="AA151" s="226" t="s">
        <v>124</v>
      </c>
      <c r="AB151" s="248" t="s">
        <v>271</v>
      </c>
      <c r="AC151" s="158"/>
      <c r="AE151" s="159"/>
      <c r="AM151" s="77"/>
      <c r="AN151" s="77"/>
    </row>
    <row r="152" spans="1:40" s="85" customFormat="1" ht="33.75" x14ac:dyDescent="0.2">
      <c r="A152" s="358" t="s">
        <v>516</v>
      </c>
      <c r="B152" s="192" t="s">
        <v>501</v>
      </c>
      <c r="C152" s="293" t="s">
        <v>228</v>
      </c>
      <c r="D152" s="293" t="s">
        <v>510</v>
      </c>
      <c r="E152" s="293" t="s">
        <v>478</v>
      </c>
      <c r="F152" s="340" t="s">
        <v>511</v>
      </c>
      <c r="G152" s="336">
        <v>26330</v>
      </c>
      <c r="H152" s="336"/>
      <c r="I152" s="336"/>
      <c r="J152" s="83">
        <v>8000</v>
      </c>
      <c r="K152" s="83"/>
      <c r="L152" s="84"/>
      <c r="M152" s="339"/>
      <c r="N152" s="187">
        <f t="shared" si="121"/>
        <v>0</v>
      </c>
      <c r="O152" s="84"/>
      <c r="P152" s="84"/>
      <c r="Q152" s="84"/>
      <c r="R152" s="84">
        <f t="shared" si="122"/>
        <v>8000</v>
      </c>
      <c r="S152" s="83">
        <f t="shared" si="126"/>
        <v>8000</v>
      </c>
      <c r="T152" s="84"/>
      <c r="U152" s="84"/>
      <c r="V152" s="84"/>
      <c r="W152" s="84"/>
      <c r="X152" s="97"/>
      <c r="Y152" s="209"/>
      <c r="Z152" s="209"/>
      <c r="AA152" s="226" t="s">
        <v>124</v>
      </c>
      <c r="AB152" s="248" t="s">
        <v>271</v>
      </c>
      <c r="AC152" s="158"/>
      <c r="AE152" s="159"/>
      <c r="AM152" s="77"/>
      <c r="AN152" s="77"/>
    </row>
    <row r="153" spans="1:40" s="85" customFormat="1" ht="33.75" x14ac:dyDescent="0.2">
      <c r="A153" s="358" t="s">
        <v>517</v>
      </c>
      <c r="B153" s="192" t="s">
        <v>502</v>
      </c>
      <c r="C153" s="293" t="s">
        <v>144</v>
      </c>
      <c r="D153" s="293" t="s">
        <v>512</v>
      </c>
      <c r="E153" s="293" t="s">
        <v>478</v>
      </c>
      <c r="F153" s="340" t="s">
        <v>513</v>
      </c>
      <c r="G153" s="336">
        <v>14000</v>
      </c>
      <c r="H153" s="336"/>
      <c r="I153" s="336"/>
      <c r="J153" s="83">
        <v>5000</v>
      </c>
      <c r="K153" s="83"/>
      <c r="L153" s="84"/>
      <c r="M153" s="339"/>
      <c r="N153" s="187">
        <f t="shared" si="121"/>
        <v>0</v>
      </c>
      <c r="O153" s="84"/>
      <c r="P153" s="84"/>
      <c r="Q153" s="84"/>
      <c r="R153" s="84">
        <f t="shared" si="122"/>
        <v>5000</v>
      </c>
      <c r="S153" s="83">
        <f t="shared" si="126"/>
        <v>5000</v>
      </c>
      <c r="T153" s="84"/>
      <c r="U153" s="84"/>
      <c r="V153" s="84"/>
      <c r="W153" s="84"/>
      <c r="X153" s="97"/>
      <c r="Y153" s="209"/>
      <c r="Z153" s="209"/>
      <c r="AA153" s="226" t="s">
        <v>124</v>
      </c>
      <c r="AB153" s="248" t="s">
        <v>271</v>
      </c>
      <c r="AC153" s="158"/>
      <c r="AE153" s="159"/>
      <c r="AM153" s="77"/>
      <c r="AN153" s="77"/>
    </row>
    <row r="154" spans="1:40" s="85" customFormat="1" ht="33.75" x14ac:dyDescent="0.2">
      <c r="A154" s="358" t="s">
        <v>518</v>
      </c>
      <c r="B154" s="193" t="s">
        <v>503</v>
      </c>
      <c r="C154" s="293" t="s">
        <v>146</v>
      </c>
      <c r="D154" s="293" t="s">
        <v>514</v>
      </c>
      <c r="E154" s="293" t="s">
        <v>478</v>
      </c>
      <c r="F154" s="340" t="s">
        <v>515</v>
      </c>
      <c r="G154" s="336">
        <v>28310</v>
      </c>
      <c r="H154" s="336"/>
      <c r="I154" s="336"/>
      <c r="J154" s="83">
        <v>8500</v>
      </c>
      <c r="K154" s="83"/>
      <c r="L154" s="84"/>
      <c r="M154" s="339"/>
      <c r="N154" s="187">
        <f t="shared" si="121"/>
        <v>581.63</v>
      </c>
      <c r="O154" s="187">
        <v>581.63</v>
      </c>
      <c r="P154" s="84"/>
      <c r="Q154" s="84"/>
      <c r="R154" s="84">
        <f t="shared" si="122"/>
        <v>8500</v>
      </c>
      <c r="S154" s="83">
        <f t="shared" si="126"/>
        <v>8500</v>
      </c>
      <c r="T154" s="84"/>
      <c r="U154" s="84"/>
      <c r="V154" s="84"/>
      <c r="W154" s="84"/>
      <c r="X154" s="97"/>
      <c r="Y154" s="209"/>
      <c r="Z154" s="209"/>
      <c r="AA154" s="226" t="s">
        <v>124</v>
      </c>
      <c r="AB154" s="248" t="s">
        <v>271</v>
      </c>
      <c r="AC154" s="158"/>
      <c r="AE154" s="159"/>
      <c r="AM154" s="77"/>
      <c r="AN154" s="77"/>
    </row>
    <row r="155" spans="1:40" s="85" customFormat="1" ht="63.75" x14ac:dyDescent="0.2">
      <c r="A155" s="350"/>
      <c r="B155" s="327" t="s">
        <v>230</v>
      </c>
      <c r="C155" s="287"/>
      <c r="D155" s="106"/>
      <c r="E155" s="105"/>
      <c r="F155" s="105"/>
      <c r="G155" s="169">
        <f>G156+G159</f>
        <v>12352</v>
      </c>
      <c r="H155" s="169">
        <f t="shared" ref="H155:V155" si="127">H156+H159</f>
        <v>0</v>
      </c>
      <c r="I155" s="169">
        <f t="shared" si="127"/>
        <v>3642</v>
      </c>
      <c r="J155" s="169">
        <f t="shared" si="127"/>
        <v>4882</v>
      </c>
      <c r="K155" s="169">
        <f t="shared" si="127"/>
        <v>0</v>
      </c>
      <c r="L155" s="169">
        <f t="shared" si="127"/>
        <v>1790</v>
      </c>
      <c r="M155" s="169">
        <f t="shared" si="127"/>
        <v>0</v>
      </c>
      <c r="N155" s="169">
        <f t="shared" si="127"/>
        <v>353</v>
      </c>
      <c r="O155" s="169">
        <f t="shared" si="127"/>
        <v>57</v>
      </c>
      <c r="P155" s="169">
        <f t="shared" si="127"/>
        <v>0</v>
      </c>
      <c r="Q155" s="169">
        <f t="shared" si="127"/>
        <v>0</v>
      </c>
      <c r="R155" s="169">
        <f t="shared" si="127"/>
        <v>4882</v>
      </c>
      <c r="S155" s="169">
        <f t="shared" si="127"/>
        <v>4882</v>
      </c>
      <c r="T155" s="169">
        <f t="shared" si="127"/>
        <v>0</v>
      </c>
      <c r="U155" s="169">
        <f t="shared" si="127"/>
        <v>0</v>
      </c>
      <c r="V155" s="169">
        <f t="shared" si="127"/>
        <v>0</v>
      </c>
      <c r="W155" s="183"/>
      <c r="X155" s="97"/>
      <c r="Y155" s="218"/>
      <c r="Z155" s="218"/>
      <c r="AA155" s="226"/>
      <c r="AB155" s="230"/>
      <c r="AC155" s="158"/>
      <c r="AE155" s="159"/>
      <c r="AM155" s="77"/>
      <c r="AN155" s="77"/>
    </row>
    <row r="156" spans="1:40" s="85" customFormat="1" ht="13.5" x14ac:dyDescent="0.2">
      <c r="A156" s="350"/>
      <c r="B156" s="191" t="s">
        <v>474</v>
      </c>
      <c r="C156" s="287"/>
      <c r="D156" s="106"/>
      <c r="E156" s="105"/>
      <c r="F156" s="105"/>
      <c r="G156" s="155">
        <f>SUM(G157:G158)</f>
        <v>5923</v>
      </c>
      <c r="H156" s="155">
        <f t="shared" ref="H156:S156" si="128">SUM(H157:H158)</f>
        <v>0</v>
      </c>
      <c r="I156" s="155">
        <f t="shared" si="128"/>
        <v>3642</v>
      </c>
      <c r="J156" s="155">
        <f t="shared" si="128"/>
        <v>1782</v>
      </c>
      <c r="K156" s="155">
        <f t="shared" si="128"/>
        <v>0</v>
      </c>
      <c r="L156" s="155">
        <f t="shared" si="128"/>
        <v>1790</v>
      </c>
      <c r="M156" s="155">
        <f t="shared" si="128"/>
        <v>0</v>
      </c>
      <c r="N156" s="155">
        <f t="shared" si="128"/>
        <v>0</v>
      </c>
      <c r="O156" s="155">
        <f t="shared" si="128"/>
        <v>0</v>
      </c>
      <c r="P156" s="155">
        <f t="shared" si="128"/>
        <v>0</v>
      </c>
      <c r="Q156" s="155">
        <f t="shared" si="128"/>
        <v>0</v>
      </c>
      <c r="R156" s="155">
        <f t="shared" si="128"/>
        <v>1782</v>
      </c>
      <c r="S156" s="155">
        <f t="shared" si="128"/>
        <v>1782</v>
      </c>
      <c r="T156" s="169"/>
      <c r="U156" s="169"/>
      <c r="V156" s="169"/>
      <c r="W156" s="183"/>
      <c r="X156" s="97"/>
      <c r="Y156" s="209"/>
      <c r="Z156" s="209"/>
      <c r="AA156" s="226"/>
      <c r="AB156" s="230"/>
      <c r="AC156" s="158"/>
      <c r="AE156" s="159"/>
      <c r="AM156" s="77"/>
      <c r="AN156" s="77"/>
    </row>
    <row r="157" spans="1:40" s="85" customFormat="1" ht="24" x14ac:dyDescent="0.2">
      <c r="A157" s="350">
        <v>1</v>
      </c>
      <c r="B157" s="82" t="s">
        <v>231</v>
      </c>
      <c r="C157" s="287" t="s">
        <v>148</v>
      </c>
      <c r="D157" s="106"/>
      <c r="E157" s="105" t="s">
        <v>182</v>
      </c>
      <c r="F157" s="185" t="s">
        <v>233</v>
      </c>
      <c r="G157" s="83">
        <v>2763</v>
      </c>
      <c r="H157" s="83"/>
      <c r="I157" s="83">
        <v>1700</v>
      </c>
      <c r="J157" s="83">
        <v>850</v>
      </c>
      <c r="K157" s="83"/>
      <c r="L157" s="84">
        <v>1030</v>
      </c>
      <c r="M157" s="84"/>
      <c r="N157" s="187">
        <f>O157</f>
        <v>0</v>
      </c>
      <c r="O157" s="187"/>
      <c r="P157" s="84"/>
      <c r="Q157" s="84"/>
      <c r="R157" s="84">
        <f>S157</f>
        <v>850</v>
      </c>
      <c r="S157" s="83">
        <f>J157</f>
        <v>850</v>
      </c>
      <c r="T157" s="84"/>
      <c r="U157" s="84"/>
      <c r="V157" s="84"/>
      <c r="W157" s="84"/>
      <c r="X157" s="97"/>
      <c r="Y157" s="209"/>
      <c r="Z157" s="209"/>
      <c r="AA157" s="226" t="s">
        <v>123</v>
      </c>
      <c r="AB157" s="233" t="s">
        <v>271</v>
      </c>
      <c r="AC157" s="158"/>
      <c r="AE157" s="159"/>
      <c r="AM157" s="77">
        <f t="shared" ref="AM157:AM197" si="129">J157-N157</f>
        <v>850</v>
      </c>
      <c r="AN157" s="77">
        <f t="shared" ref="AN157:AN197" si="130">L157-O157</f>
        <v>1030</v>
      </c>
    </row>
    <row r="158" spans="1:40" s="85" customFormat="1" ht="24" x14ac:dyDescent="0.2">
      <c r="A158" s="350">
        <v>2</v>
      </c>
      <c r="B158" s="82" t="s">
        <v>232</v>
      </c>
      <c r="C158" s="287" t="s">
        <v>140</v>
      </c>
      <c r="D158" s="106"/>
      <c r="E158" s="105" t="s">
        <v>182</v>
      </c>
      <c r="F158" s="185" t="s">
        <v>234</v>
      </c>
      <c r="G158" s="83">
        <v>3160</v>
      </c>
      <c r="H158" s="83"/>
      <c r="I158" s="83">
        <v>1942</v>
      </c>
      <c r="J158" s="83">
        <v>932</v>
      </c>
      <c r="K158" s="83"/>
      <c r="L158" s="84">
        <v>760</v>
      </c>
      <c r="M158" s="84"/>
      <c r="N158" s="187">
        <f>O158</f>
        <v>0</v>
      </c>
      <c r="O158" s="187"/>
      <c r="P158" s="84"/>
      <c r="Q158" s="84"/>
      <c r="R158" s="84">
        <f>S158</f>
        <v>932</v>
      </c>
      <c r="S158" s="83">
        <f>J158</f>
        <v>932</v>
      </c>
      <c r="T158" s="84"/>
      <c r="U158" s="84"/>
      <c r="V158" s="84"/>
      <c r="W158" s="84"/>
      <c r="X158" s="97"/>
      <c r="Y158" s="209"/>
      <c r="Z158" s="209"/>
      <c r="AA158" s="226" t="s">
        <v>123</v>
      </c>
      <c r="AB158" s="233" t="s">
        <v>271</v>
      </c>
      <c r="AC158" s="158"/>
      <c r="AE158" s="159"/>
      <c r="AM158" s="77">
        <f t="shared" si="129"/>
        <v>932</v>
      </c>
      <c r="AN158" s="77">
        <f t="shared" si="130"/>
        <v>760</v>
      </c>
    </row>
    <row r="159" spans="1:40" s="85" customFormat="1" ht="13.5" x14ac:dyDescent="0.2">
      <c r="A159" s="350"/>
      <c r="B159" s="317" t="s">
        <v>475</v>
      </c>
      <c r="C159" s="287"/>
      <c r="D159" s="106"/>
      <c r="E159" s="105"/>
      <c r="F159" s="185"/>
      <c r="G159" s="155">
        <f>SUM(G160:G161)</f>
        <v>6429</v>
      </c>
      <c r="H159" s="155">
        <f t="shared" ref="H159:S159" si="131">SUM(H160:H161)</f>
        <v>0</v>
      </c>
      <c r="I159" s="155">
        <f t="shared" si="131"/>
        <v>0</v>
      </c>
      <c r="J159" s="155">
        <f t="shared" si="131"/>
        <v>3100</v>
      </c>
      <c r="K159" s="155">
        <f t="shared" si="131"/>
        <v>0</v>
      </c>
      <c r="L159" s="155">
        <f t="shared" si="131"/>
        <v>0</v>
      </c>
      <c r="M159" s="155">
        <f t="shared" si="131"/>
        <v>0</v>
      </c>
      <c r="N159" s="155">
        <f t="shared" si="131"/>
        <v>353</v>
      </c>
      <c r="O159" s="155">
        <f t="shared" si="131"/>
        <v>57</v>
      </c>
      <c r="P159" s="155">
        <f t="shared" si="131"/>
        <v>0</v>
      </c>
      <c r="Q159" s="155">
        <f t="shared" si="131"/>
        <v>0</v>
      </c>
      <c r="R159" s="155">
        <f t="shared" si="131"/>
        <v>3100</v>
      </c>
      <c r="S159" s="155">
        <f t="shared" si="131"/>
        <v>3100</v>
      </c>
      <c r="T159" s="84"/>
      <c r="U159" s="84"/>
      <c r="V159" s="84"/>
      <c r="W159" s="84"/>
      <c r="X159" s="97"/>
      <c r="Y159" s="209"/>
      <c r="Z159" s="209"/>
      <c r="AA159" s="226"/>
      <c r="AB159" s="233"/>
      <c r="AC159" s="158"/>
      <c r="AE159" s="159"/>
      <c r="AM159" s="77"/>
      <c r="AN159" s="77"/>
    </row>
    <row r="160" spans="1:40" s="85" customFormat="1" ht="101.25" x14ac:dyDescent="0.2">
      <c r="A160" s="358" t="s">
        <v>470</v>
      </c>
      <c r="B160" s="331" t="s">
        <v>519</v>
      </c>
      <c r="C160" s="293" t="s">
        <v>169</v>
      </c>
      <c r="D160" s="310" t="s">
        <v>520</v>
      </c>
      <c r="E160" s="293" t="s">
        <v>478</v>
      </c>
      <c r="F160" s="332" t="s">
        <v>521</v>
      </c>
      <c r="G160" s="83">
        <v>2276</v>
      </c>
      <c r="H160" s="83"/>
      <c r="I160" s="83"/>
      <c r="J160" s="83">
        <v>1100</v>
      </c>
      <c r="K160" s="83"/>
      <c r="L160" s="84"/>
      <c r="M160" s="84"/>
      <c r="N160" s="187">
        <v>353</v>
      </c>
      <c r="O160" s="187">
        <v>57</v>
      </c>
      <c r="P160" s="84"/>
      <c r="Q160" s="84"/>
      <c r="R160" s="84">
        <f>S160</f>
        <v>1100</v>
      </c>
      <c r="S160" s="83">
        <f>J160</f>
        <v>1100</v>
      </c>
      <c r="T160" s="84"/>
      <c r="U160" s="84"/>
      <c r="V160" s="84"/>
      <c r="W160" s="84"/>
      <c r="X160" s="97"/>
      <c r="Y160" s="209"/>
      <c r="Z160" s="209"/>
      <c r="AA160" s="226" t="s">
        <v>124</v>
      </c>
      <c r="AB160" s="233" t="s">
        <v>271</v>
      </c>
      <c r="AC160" s="158"/>
      <c r="AE160" s="159"/>
      <c r="AM160" s="77"/>
      <c r="AN160" s="77"/>
    </row>
    <row r="161" spans="1:40" s="85" customFormat="1" ht="45" x14ac:dyDescent="0.2">
      <c r="A161" s="358" t="s">
        <v>480</v>
      </c>
      <c r="B161" s="331" t="s">
        <v>522</v>
      </c>
      <c r="C161" s="293" t="s">
        <v>228</v>
      </c>
      <c r="D161" s="310" t="s">
        <v>523</v>
      </c>
      <c r="E161" s="293" t="s">
        <v>478</v>
      </c>
      <c r="F161" s="332" t="s">
        <v>524</v>
      </c>
      <c r="G161" s="83">
        <v>4153</v>
      </c>
      <c r="H161" s="83"/>
      <c r="I161" s="83"/>
      <c r="J161" s="83">
        <v>2000</v>
      </c>
      <c r="K161" s="83"/>
      <c r="L161" s="84"/>
      <c r="M161" s="84"/>
      <c r="N161" s="187">
        <f>O161</f>
        <v>0</v>
      </c>
      <c r="O161" s="187"/>
      <c r="P161" s="84"/>
      <c r="Q161" s="84"/>
      <c r="R161" s="84">
        <f>S161</f>
        <v>2000</v>
      </c>
      <c r="S161" s="83">
        <f>J161</f>
        <v>2000</v>
      </c>
      <c r="T161" s="84"/>
      <c r="U161" s="84"/>
      <c r="V161" s="84"/>
      <c r="W161" s="84"/>
      <c r="X161" s="97"/>
      <c r="Y161" s="209"/>
      <c r="Z161" s="209"/>
      <c r="AA161" s="226" t="s">
        <v>124</v>
      </c>
      <c r="AB161" s="233" t="s">
        <v>271</v>
      </c>
      <c r="AC161" s="158"/>
      <c r="AE161" s="159"/>
      <c r="AM161" s="77"/>
      <c r="AN161" s="77"/>
    </row>
    <row r="162" spans="1:40" s="101" customFormat="1" ht="38.25" x14ac:dyDescent="0.2">
      <c r="A162" s="360"/>
      <c r="B162" s="327" t="s">
        <v>235</v>
      </c>
      <c r="C162" s="328"/>
      <c r="D162" s="179"/>
      <c r="E162" s="180"/>
      <c r="F162" s="180"/>
      <c r="G162" s="169">
        <f>G163+G178+G185</f>
        <v>5980</v>
      </c>
      <c r="H162" s="169">
        <f t="shared" ref="H162:V162" si="132">H163+H178+H185</f>
        <v>0</v>
      </c>
      <c r="I162" s="169">
        <f t="shared" si="132"/>
        <v>2867</v>
      </c>
      <c r="J162" s="169">
        <f t="shared" si="132"/>
        <v>3844</v>
      </c>
      <c r="K162" s="169">
        <f t="shared" si="132"/>
        <v>0</v>
      </c>
      <c r="L162" s="169">
        <f t="shared" si="132"/>
        <v>803</v>
      </c>
      <c r="M162" s="169">
        <f t="shared" si="132"/>
        <v>0</v>
      </c>
      <c r="N162" s="169">
        <f t="shared" si="132"/>
        <v>0</v>
      </c>
      <c r="O162" s="169">
        <f t="shared" si="132"/>
        <v>0</v>
      </c>
      <c r="P162" s="169">
        <f t="shared" si="132"/>
        <v>0</v>
      </c>
      <c r="Q162" s="169">
        <f t="shared" si="132"/>
        <v>0</v>
      </c>
      <c r="R162" s="169">
        <f t="shared" si="132"/>
        <v>3844</v>
      </c>
      <c r="S162" s="169">
        <f t="shared" si="132"/>
        <v>3844</v>
      </c>
      <c r="T162" s="169">
        <f t="shared" si="132"/>
        <v>0</v>
      </c>
      <c r="U162" s="169">
        <f t="shared" si="132"/>
        <v>0</v>
      </c>
      <c r="V162" s="169">
        <f t="shared" si="132"/>
        <v>0</v>
      </c>
      <c r="W162" s="170"/>
      <c r="X162" s="354"/>
      <c r="Y162" s="219"/>
      <c r="Z162" s="219"/>
      <c r="AA162" s="227"/>
      <c r="AB162" s="242"/>
      <c r="AC162" s="167"/>
      <c r="AE162" s="168"/>
      <c r="AM162" s="77">
        <f t="shared" si="129"/>
        <v>3844</v>
      </c>
      <c r="AN162" s="77">
        <f t="shared" si="130"/>
        <v>803</v>
      </c>
    </row>
    <row r="163" spans="1:40" s="101" customFormat="1" ht="13.5" x14ac:dyDescent="0.2">
      <c r="A163" s="360"/>
      <c r="B163" s="191" t="s">
        <v>474</v>
      </c>
      <c r="C163" s="328"/>
      <c r="D163" s="179"/>
      <c r="E163" s="180"/>
      <c r="F163" s="180"/>
      <c r="G163" s="155">
        <f>G164</f>
        <v>4180</v>
      </c>
      <c r="H163" s="155">
        <f t="shared" ref="H163:S163" si="133">H164</f>
        <v>0</v>
      </c>
      <c r="I163" s="155">
        <f t="shared" si="133"/>
        <v>2867</v>
      </c>
      <c r="J163" s="155">
        <f t="shared" si="133"/>
        <v>838</v>
      </c>
      <c r="K163" s="155">
        <f t="shared" si="133"/>
        <v>0</v>
      </c>
      <c r="L163" s="155">
        <f t="shared" si="133"/>
        <v>803</v>
      </c>
      <c r="M163" s="155">
        <f t="shared" si="133"/>
        <v>0</v>
      </c>
      <c r="N163" s="155">
        <f t="shared" si="133"/>
        <v>0</v>
      </c>
      <c r="O163" s="155">
        <f t="shared" si="133"/>
        <v>0</v>
      </c>
      <c r="P163" s="155">
        <f t="shared" si="133"/>
        <v>0</v>
      </c>
      <c r="Q163" s="155">
        <f t="shared" si="133"/>
        <v>0</v>
      </c>
      <c r="R163" s="155">
        <f t="shared" si="133"/>
        <v>838</v>
      </c>
      <c r="S163" s="155">
        <f t="shared" si="133"/>
        <v>838</v>
      </c>
      <c r="T163" s="169"/>
      <c r="U163" s="169"/>
      <c r="V163" s="169"/>
      <c r="W163" s="170"/>
      <c r="X163" s="354"/>
      <c r="Y163" s="219"/>
      <c r="Z163" s="219"/>
      <c r="AA163" s="227"/>
      <c r="AB163" s="242"/>
      <c r="AC163" s="167"/>
      <c r="AE163" s="168"/>
      <c r="AM163" s="77"/>
      <c r="AN163" s="77"/>
    </row>
    <row r="164" spans="1:40" s="85" customFormat="1" ht="25.5" x14ac:dyDescent="0.2">
      <c r="A164" s="361" t="s">
        <v>374</v>
      </c>
      <c r="B164" s="178" t="s">
        <v>236</v>
      </c>
      <c r="C164" s="287"/>
      <c r="D164" s="106"/>
      <c r="E164" s="105"/>
      <c r="F164" s="105"/>
      <c r="G164" s="83">
        <f>SUM(G165:G177)</f>
        <v>4180</v>
      </c>
      <c r="H164" s="83">
        <f t="shared" ref="H164:S164" si="134">SUM(H165:H177)</f>
        <v>0</v>
      </c>
      <c r="I164" s="83">
        <f t="shared" si="134"/>
        <v>2867</v>
      </c>
      <c r="J164" s="83">
        <f t="shared" si="134"/>
        <v>838</v>
      </c>
      <c r="K164" s="83">
        <f t="shared" si="134"/>
        <v>0</v>
      </c>
      <c r="L164" s="83">
        <f t="shared" si="134"/>
        <v>803</v>
      </c>
      <c r="M164" s="83">
        <f t="shared" si="134"/>
        <v>0</v>
      </c>
      <c r="N164" s="83">
        <f t="shared" si="134"/>
        <v>0</v>
      </c>
      <c r="O164" s="83">
        <f t="shared" si="134"/>
        <v>0</v>
      </c>
      <c r="P164" s="83">
        <f t="shared" si="134"/>
        <v>0</v>
      </c>
      <c r="Q164" s="83">
        <f t="shared" si="134"/>
        <v>0</v>
      </c>
      <c r="R164" s="83">
        <f t="shared" si="134"/>
        <v>838</v>
      </c>
      <c r="S164" s="83">
        <f t="shared" si="134"/>
        <v>838</v>
      </c>
      <c r="T164" s="83">
        <f t="shared" ref="T164:U164" si="135">SUM(T165:T177)</f>
        <v>0</v>
      </c>
      <c r="U164" s="83">
        <f t="shared" si="135"/>
        <v>0</v>
      </c>
      <c r="V164" s="83"/>
      <c r="W164" s="84"/>
      <c r="X164" s="97"/>
      <c r="Y164" s="209"/>
      <c r="Z164" s="209"/>
      <c r="AA164" s="226"/>
      <c r="AB164" s="230"/>
      <c r="AC164" s="158"/>
      <c r="AE164" s="159"/>
      <c r="AM164" s="77">
        <f t="shared" si="129"/>
        <v>838</v>
      </c>
      <c r="AN164" s="77">
        <f t="shared" si="130"/>
        <v>803</v>
      </c>
    </row>
    <row r="165" spans="1:40" s="85" customFormat="1" ht="22.5" x14ac:dyDescent="0.2">
      <c r="A165" s="350">
        <v>1</v>
      </c>
      <c r="B165" s="178" t="s">
        <v>361</v>
      </c>
      <c r="C165" s="330" t="s">
        <v>375</v>
      </c>
      <c r="D165" s="185" t="s">
        <v>379</v>
      </c>
      <c r="E165" s="105" t="s">
        <v>170</v>
      </c>
      <c r="F165" s="341" t="s">
        <v>381</v>
      </c>
      <c r="G165" s="83">
        <v>330</v>
      </c>
      <c r="H165" s="83"/>
      <c r="I165" s="83">
        <v>250</v>
      </c>
      <c r="J165" s="83">
        <v>35</v>
      </c>
      <c r="K165" s="83"/>
      <c r="L165" s="84">
        <v>66</v>
      </c>
      <c r="M165" s="316"/>
      <c r="N165" s="187">
        <f t="shared" ref="N165:N184" si="136">O165</f>
        <v>0</v>
      </c>
      <c r="O165" s="84"/>
      <c r="P165" s="84"/>
      <c r="Q165" s="84"/>
      <c r="R165" s="84">
        <f>S165</f>
        <v>35</v>
      </c>
      <c r="S165" s="84">
        <f>J165</f>
        <v>35</v>
      </c>
      <c r="T165" s="84"/>
      <c r="U165" s="84"/>
      <c r="V165" s="84"/>
      <c r="W165" s="84"/>
      <c r="X165" s="97"/>
      <c r="Y165" s="209"/>
      <c r="Z165" s="209"/>
      <c r="AA165" s="226" t="s">
        <v>123</v>
      </c>
      <c r="AB165" s="243" t="s">
        <v>272</v>
      </c>
      <c r="AC165" s="158"/>
      <c r="AE165" s="159"/>
      <c r="AM165" s="77">
        <f t="shared" si="129"/>
        <v>35</v>
      </c>
      <c r="AN165" s="77">
        <f t="shared" si="130"/>
        <v>66</v>
      </c>
    </row>
    <row r="166" spans="1:40" s="85" customFormat="1" ht="22.5" x14ac:dyDescent="0.2">
      <c r="A166" s="350">
        <v>2</v>
      </c>
      <c r="B166" s="178" t="s">
        <v>362</v>
      </c>
      <c r="C166" s="330" t="s">
        <v>375</v>
      </c>
      <c r="D166" s="185" t="s">
        <v>379</v>
      </c>
      <c r="E166" s="105" t="s">
        <v>170</v>
      </c>
      <c r="F166" s="341" t="s">
        <v>382</v>
      </c>
      <c r="G166" s="83">
        <v>330</v>
      </c>
      <c r="H166" s="83"/>
      <c r="I166" s="83">
        <v>250</v>
      </c>
      <c r="J166" s="83">
        <v>35</v>
      </c>
      <c r="K166" s="83"/>
      <c r="L166" s="84">
        <v>40</v>
      </c>
      <c r="M166" s="316"/>
      <c r="N166" s="187">
        <f t="shared" si="136"/>
        <v>0</v>
      </c>
      <c r="O166" s="84"/>
      <c r="P166" s="84"/>
      <c r="Q166" s="84"/>
      <c r="R166" s="84">
        <f t="shared" ref="R166:R177" si="137">S166</f>
        <v>35</v>
      </c>
      <c r="S166" s="84">
        <f t="shared" ref="S166:S177" si="138">J166</f>
        <v>35</v>
      </c>
      <c r="T166" s="84"/>
      <c r="U166" s="84"/>
      <c r="V166" s="84"/>
      <c r="W166" s="84"/>
      <c r="X166" s="97"/>
      <c r="Y166" s="209"/>
      <c r="Z166" s="209"/>
      <c r="AA166" s="226" t="s">
        <v>123</v>
      </c>
      <c r="AB166" s="243" t="s">
        <v>272</v>
      </c>
      <c r="AC166" s="158"/>
      <c r="AE166" s="159"/>
      <c r="AM166" s="77">
        <f t="shared" si="129"/>
        <v>35</v>
      </c>
      <c r="AN166" s="77">
        <f t="shared" si="130"/>
        <v>40</v>
      </c>
    </row>
    <row r="167" spans="1:40" s="85" customFormat="1" ht="22.5" x14ac:dyDescent="0.2">
      <c r="A167" s="350">
        <v>3</v>
      </c>
      <c r="B167" s="178" t="s">
        <v>363</v>
      </c>
      <c r="C167" s="330" t="s">
        <v>375</v>
      </c>
      <c r="D167" s="185" t="s">
        <v>379</v>
      </c>
      <c r="E167" s="105" t="s">
        <v>170</v>
      </c>
      <c r="F167" s="341" t="s">
        <v>383</v>
      </c>
      <c r="G167" s="83">
        <v>330</v>
      </c>
      <c r="H167" s="83"/>
      <c r="I167" s="83">
        <v>200</v>
      </c>
      <c r="J167" s="83">
        <v>85</v>
      </c>
      <c r="K167" s="83"/>
      <c r="L167" s="84">
        <v>83</v>
      </c>
      <c r="M167" s="316"/>
      <c r="N167" s="187">
        <f t="shared" si="136"/>
        <v>0</v>
      </c>
      <c r="O167" s="84"/>
      <c r="P167" s="84"/>
      <c r="Q167" s="84"/>
      <c r="R167" s="84">
        <f t="shared" si="137"/>
        <v>85</v>
      </c>
      <c r="S167" s="84">
        <f t="shared" si="138"/>
        <v>85</v>
      </c>
      <c r="T167" s="84"/>
      <c r="U167" s="84"/>
      <c r="V167" s="84"/>
      <c r="W167" s="84"/>
      <c r="X167" s="97"/>
      <c r="Y167" s="209"/>
      <c r="Z167" s="209"/>
      <c r="AA167" s="226" t="s">
        <v>123</v>
      </c>
      <c r="AB167" s="243" t="s">
        <v>272</v>
      </c>
      <c r="AC167" s="158"/>
      <c r="AE167" s="159"/>
      <c r="AM167" s="77">
        <f t="shared" si="129"/>
        <v>85</v>
      </c>
      <c r="AN167" s="77">
        <f t="shared" si="130"/>
        <v>83</v>
      </c>
    </row>
    <row r="168" spans="1:40" s="85" customFormat="1" ht="22.5" x14ac:dyDescent="0.2">
      <c r="A168" s="350">
        <v>4</v>
      </c>
      <c r="B168" s="178" t="s">
        <v>364</v>
      </c>
      <c r="C168" s="291" t="s">
        <v>376</v>
      </c>
      <c r="D168" s="185" t="s">
        <v>379</v>
      </c>
      <c r="E168" s="105" t="s">
        <v>170</v>
      </c>
      <c r="F168" s="341" t="s">
        <v>384</v>
      </c>
      <c r="G168" s="83">
        <v>300</v>
      </c>
      <c r="H168" s="83"/>
      <c r="I168" s="83">
        <v>200</v>
      </c>
      <c r="J168" s="83">
        <v>85</v>
      </c>
      <c r="K168" s="83"/>
      <c r="L168" s="84">
        <v>45</v>
      </c>
      <c r="M168" s="316"/>
      <c r="N168" s="187">
        <f t="shared" si="136"/>
        <v>0</v>
      </c>
      <c r="O168" s="84"/>
      <c r="P168" s="84"/>
      <c r="Q168" s="84"/>
      <c r="R168" s="84">
        <f t="shared" si="137"/>
        <v>85</v>
      </c>
      <c r="S168" s="84">
        <f t="shared" si="138"/>
        <v>85</v>
      </c>
      <c r="T168" s="84"/>
      <c r="U168" s="84"/>
      <c r="V168" s="84"/>
      <c r="W168" s="84"/>
      <c r="X168" s="97"/>
      <c r="Y168" s="209"/>
      <c r="Z168" s="209"/>
      <c r="AA168" s="226" t="s">
        <v>123</v>
      </c>
      <c r="AB168" s="243" t="s">
        <v>283</v>
      </c>
      <c r="AC168" s="158"/>
      <c r="AE168" s="159"/>
      <c r="AM168" s="77">
        <f t="shared" si="129"/>
        <v>85</v>
      </c>
      <c r="AN168" s="77">
        <f t="shared" si="130"/>
        <v>45</v>
      </c>
    </row>
    <row r="169" spans="1:40" s="85" customFormat="1" ht="22.5" x14ac:dyDescent="0.2">
      <c r="A169" s="350">
        <v>5</v>
      </c>
      <c r="B169" s="178" t="s">
        <v>365</v>
      </c>
      <c r="C169" s="291" t="s">
        <v>376</v>
      </c>
      <c r="D169" s="185" t="s">
        <v>379</v>
      </c>
      <c r="E169" s="105" t="s">
        <v>170</v>
      </c>
      <c r="F169" s="341" t="s">
        <v>385</v>
      </c>
      <c r="G169" s="83">
        <v>300</v>
      </c>
      <c r="H169" s="83"/>
      <c r="I169" s="83">
        <v>200</v>
      </c>
      <c r="J169" s="83">
        <v>85</v>
      </c>
      <c r="K169" s="83"/>
      <c r="L169" s="84">
        <v>66</v>
      </c>
      <c r="M169" s="316"/>
      <c r="N169" s="187">
        <f t="shared" si="136"/>
        <v>0</v>
      </c>
      <c r="O169" s="84"/>
      <c r="P169" s="84"/>
      <c r="Q169" s="84"/>
      <c r="R169" s="84">
        <f t="shared" si="137"/>
        <v>85</v>
      </c>
      <c r="S169" s="84">
        <f t="shared" si="138"/>
        <v>85</v>
      </c>
      <c r="T169" s="84"/>
      <c r="U169" s="84"/>
      <c r="V169" s="84"/>
      <c r="W169" s="84"/>
      <c r="X169" s="97"/>
      <c r="Y169" s="209"/>
      <c r="Z169" s="209"/>
      <c r="AA169" s="226" t="s">
        <v>123</v>
      </c>
      <c r="AB169" s="243" t="s">
        <v>283</v>
      </c>
      <c r="AC169" s="158"/>
      <c r="AE169" s="159"/>
      <c r="AM169" s="77">
        <f t="shared" si="129"/>
        <v>85</v>
      </c>
      <c r="AN169" s="77">
        <f t="shared" si="130"/>
        <v>66</v>
      </c>
    </row>
    <row r="170" spans="1:40" s="85" customFormat="1" ht="22.5" x14ac:dyDescent="0.2">
      <c r="A170" s="350">
        <v>6</v>
      </c>
      <c r="B170" s="178" t="s">
        <v>366</v>
      </c>
      <c r="C170" s="105" t="s">
        <v>260</v>
      </c>
      <c r="D170" s="185" t="s">
        <v>379</v>
      </c>
      <c r="E170" s="105" t="s">
        <v>170</v>
      </c>
      <c r="F170" s="341" t="s">
        <v>386</v>
      </c>
      <c r="G170" s="83">
        <v>330</v>
      </c>
      <c r="H170" s="83"/>
      <c r="I170" s="83">
        <v>250</v>
      </c>
      <c r="J170" s="83">
        <v>35</v>
      </c>
      <c r="K170" s="83"/>
      <c r="L170" s="84">
        <v>83</v>
      </c>
      <c r="M170" s="316"/>
      <c r="N170" s="187">
        <f t="shared" si="136"/>
        <v>0</v>
      </c>
      <c r="O170" s="84"/>
      <c r="P170" s="84"/>
      <c r="Q170" s="84"/>
      <c r="R170" s="84">
        <f t="shared" si="137"/>
        <v>35</v>
      </c>
      <c r="S170" s="84">
        <f t="shared" si="138"/>
        <v>35</v>
      </c>
      <c r="T170" s="84"/>
      <c r="U170" s="84"/>
      <c r="V170" s="84"/>
      <c r="W170" s="84"/>
      <c r="X170" s="97"/>
      <c r="Y170" s="209"/>
      <c r="Z170" s="209"/>
      <c r="AA170" s="226" t="s">
        <v>123</v>
      </c>
      <c r="AB170" s="243" t="s">
        <v>274</v>
      </c>
      <c r="AC170" s="158"/>
      <c r="AE170" s="159"/>
      <c r="AM170" s="77">
        <f t="shared" si="129"/>
        <v>35</v>
      </c>
      <c r="AN170" s="77">
        <f t="shared" si="130"/>
        <v>83</v>
      </c>
    </row>
    <row r="171" spans="1:40" s="85" customFormat="1" ht="22.5" x14ac:dyDescent="0.2">
      <c r="A171" s="350">
        <v>7</v>
      </c>
      <c r="B171" s="178" t="s">
        <v>367</v>
      </c>
      <c r="C171" s="105" t="s">
        <v>260</v>
      </c>
      <c r="D171" s="185" t="s">
        <v>379</v>
      </c>
      <c r="E171" s="105" t="s">
        <v>170</v>
      </c>
      <c r="F171" s="341" t="s">
        <v>387</v>
      </c>
      <c r="G171" s="83">
        <v>330</v>
      </c>
      <c r="H171" s="83"/>
      <c r="I171" s="83">
        <v>250</v>
      </c>
      <c r="J171" s="83">
        <v>35</v>
      </c>
      <c r="K171" s="83"/>
      <c r="L171" s="84">
        <v>82</v>
      </c>
      <c r="M171" s="316"/>
      <c r="N171" s="187">
        <f t="shared" si="136"/>
        <v>0</v>
      </c>
      <c r="O171" s="84"/>
      <c r="P171" s="84"/>
      <c r="Q171" s="84"/>
      <c r="R171" s="84">
        <f t="shared" si="137"/>
        <v>35</v>
      </c>
      <c r="S171" s="84">
        <f t="shared" si="138"/>
        <v>35</v>
      </c>
      <c r="T171" s="84"/>
      <c r="U171" s="84"/>
      <c r="V171" s="84"/>
      <c r="W171" s="84"/>
      <c r="X171" s="97"/>
      <c r="Y171" s="209"/>
      <c r="Z171" s="209"/>
      <c r="AA171" s="226" t="s">
        <v>123</v>
      </c>
      <c r="AB171" s="243" t="s">
        <v>274</v>
      </c>
      <c r="AC171" s="158"/>
      <c r="AE171" s="159"/>
      <c r="AM171" s="77">
        <f t="shared" si="129"/>
        <v>35</v>
      </c>
      <c r="AN171" s="77">
        <f t="shared" si="130"/>
        <v>82</v>
      </c>
    </row>
    <row r="172" spans="1:40" s="85" customFormat="1" ht="22.5" x14ac:dyDescent="0.2">
      <c r="A172" s="350">
        <v>8</v>
      </c>
      <c r="B172" s="178" t="s">
        <v>368</v>
      </c>
      <c r="C172" s="105" t="s">
        <v>260</v>
      </c>
      <c r="D172" s="185" t="s">
        <v>379</v>
      </c>
      <c r="E172" s="105" t="s">
        <v>170</v>
      </c>
      <c r="F172" s="341" t="s">
        <v>388</v>
      </c>
      <c r="G172" s="83">
        <v>330</v>
      </c>
      <c r="H172" s="83"/>
      <c r="I172" s="83">
        <v>200</v>
      </c>
      <c r="J172" s="83">
        <v>85</v>
      </c>
      <c r="K172" s="83"/>
      <c r="L172" s="84">
        <v>45</v>
      </c>
      <c r="M172" s="316"/>
      <c r="N172" s="187">
        <f t="shared" si="136"/>
        <v>0</v>
      </c>
      <c r="O172" s="84"/>
      <c r="P172" s="84"/>
      <c r="Q172" s="84"/>
      <c r="R172" s="84">
        <f t="shared" si="137"/>
        <v>85</v>
      </c>
      <c r="S172" s="84">
        <f t="shared" si="138"/>
        <v>85</v>
      </c>
      <c r="T172" s="84"/>
      <c r="U172" s="84"/>
      <c r="V172" s="84"/>
      <c r="W172" s="84"/>
      <c r="X172" s="97"/>
      <c r="Y172" s="209"/>
      <c r="Z172" s="209"/>
      <c r="AA172" s="226" t="s">
        <v>123</v>
      </c>
      <c r="AB172" s="243" t="s">
        <v>274</v>
      </c>
      <c r="AC172" s="158"/>
      <c r="AE172" s="159"/>
      <c r="AM172" s="77">
        <f t="shared" si="129"/>
        <v>85</v>
      </c>
      <c r="AN172" s="77">
        <f t="shared" si="130"/>
        <v>45</v>
      </c>
    </row>
    <row r="173" spans="1:40" s="85" customFormat="1" ht="22.5" x14ac:dyDescent="0.2">
      <c r="A173" s="350">
        <v>9</v>
      </c>
      <c r="B173" s="178" t="s">
        <v>369</v>
      </c>
      <c r="C173" s="105" t="s">
        <v>377</v>
      </c>
      <c r="D173" s="185" t="s">
        <v>379</v>
      </c>
      <c r="E173" s="105" t="s">
        <v>170</v>
      </c>
      <c r="F173" s="341" t="s">
        <v>389</v>
      </c>
      <c r="G173" s="83">
        <v>300</v>
      </c>
      <c r="H173" s="83"/>
      <c r="I173" s="83">
        <v>250</v>
      </c>
      <c r="J173" s="83">
        <v>35</v>
      </c>
      <c r="K173" s="83"/>
      <c r="L173" s="84">
        <v>66</v>
      </c>
      <c r="M173" s="316"/>
      <c r="N173" s="187">
        <f t="shared" si="136"/>
        <v>0</v>
      </c>
      <c r="O173" s="84"/>
      <c r="P173" s="84"/>
      <c r="Q173" s="84"/>
      <c r="R173" s="84">
        <f t="shared" si="137"/>
        <v>35</v>
      </c>
      <c r="S173" s="84">
        <f t="shared" si="138"/>
        <v>35</v>
      </c>
      <c r="T173" s="84"/>
      <c r="U173" s="84"/>
      <c r="V173" s="84"/>
      <c r="W173" s="84"/>
      <c r="X173" s="97"/>
      <c r="Y173" s="209"/>
      <c r="Z173" s="209"/>
      <c r="AA173" s="226" t="s">
        <v>123</v>
      </c>
      <c r="AB173" s="243" t="s">
        <v>280</v>
      </c>
      <c r="AC173" s="158"/>
      <c r="AE173" s="159"/>
      <c r="AM173" s="77">
        <f t="shared" si="129"/>
        <v>35</v>
      </c>
      <c r="AN173" s="77">
        <f t="shared" si="130"/>
        <v>66</v>
      </c>
    </row>
    <row r="174" spans="1:40" s="85" customFormat="1" ht="22.5" x14ac:dyDescent="0.2">
      <c r="A174" s="350">
        <v>10</v>
      </c>
      <c r="B174" s="178" t="s">
        <v>370</v>
      </c>
      <c r="C174" s="105" t="s">
        <v>377</v>
      </c>
      <c r="D174" s="185" t="s">
        <v>379</v>
      </c>
      <c r="E174" s="105" t="s">
        <v>170</v>
      </c>
      <c r="F174" s="341" t="s">
        <v>390</v>
      </c>
      <c r="G174" s="83">
        <v>300</v>
      </c>
      <c r="H174" s="83"/>
      <c r="I174" s="83">
        <v>250</v>
      </c>
      <c r="J174" s="83">
        <v>35</v>
      </c>
      <c r="K174" s="83"/>
      <c r="L174" s="84">
        <v>45</v>
      </c>
      <c r="M174" s="316"/>
      <c r="N174" s="187">
        <f t="shared" si="136"/>
        <v>0</v>
      </c>
      <c r="O174" s="84"/>
      <c r="P174" s="84"/>
      <c r="Q174" s="84"/>
      <c r="R174" s="84">
        <f t="shared" si="137"/>
        <v>35</v>
      </c>
      <c r="S174" s="84">
        <f t="shared" si="138"/>
        <v>35</v>
      </c>
      <c r="T174" s="84"/>
      <c r="U174" s="84"/>
      <c r="V174" s="84"/>
      <c r="W174" s="84"/>
      <c r="X174" s="97"/>
      <c r="Y174" s="209"/>
      <c r="Z174" s="209"/>
      <c r="AA174" s="226" t="s">
        <v>123</v>
      </c>
      <c r="AB174" s="243" t="s">
        <v>280</v>
      </c>
      <c r="AC174" s="158"/>
      <c r="AE174" s="159"/>
      <c r="AM174" s="77">
        <f t="shared" si="129"/>
        <v>35</v>
      </c>
      <c r="AN174" s="77">
        <f t="shared" si="130"/>
        <v>45</v>
      </c>
    </row>
    <row r="175" spans="1:40" s="85" customFormat="1" ht="22.5" x14ac:dyDescent="0.2">
      <c r="A175" s="350">
        <v>11</v>
      </c>
      <c r="B175" s="178" t="s">
        <v>371</v>
      </c>
      <c r="C175" s="105" t="s">
        <v>377</v>
      </c>
      <c r="D175" s="185" t="s">
        <v>379</v>
      </c>
      <c r="E175" s="105" t="s">
        <v>170</v>
      </c>
      <c r="F175" s="341" t="s">
        <v>391</v>
      </c>
      <c r="G175" s="83">
        <v>300</v>
      </c>
      <c r="H175" s="83"/>
      <c r="I175" s="83">
        <v>200</v>
      </c>
      <c r="J175" s="83">
        <v>85</v>
      </c>
      <c r="K175" s="83"/>
      <c r="L175" s="84">
        <v>82</v>
      </c>
      <c r="M175" s="316"/>
      <c r="N175" s="187">
        <f t="shared" si="136"/>
        <v>0</v>
      </c>
      <c r="O175" s="84"/>
      <c r="P175" s="84"/>
      <c r="Q175" s="84"/>
      <c r="R175" s="84">
        <f t="shared" si="137"/>
        <v>85</v>
      </c>
      <c r="S175" s="84">
        <f t="shared" si="138"/>
        <v>85</v>
      </c>
      <c r="T175" s="84"/>
      <c r="U175" s="84"/>
      <c r="V175" s="84"/>
      <c r="W175" s="84"/>
      <c r="X175" s="97"/>
      <c r="Y175" s="209"/>
      <c r="Z175" s="209"/>
      <c r="AA175" s="226" t="s">
        <v>123</v>
      </c>
      <c r="AB175" s="243" t="s">
        <v>280</v>
      </c>
      <c r="AC175" s="158"/>
      <c r="AE175" s="159"/>
      <c r="AM175" s="77">
        <f t="shared" si="129"/>
        <v>85</v>
      </c>
      <c r="AN175" s="77">
        <f t="shared" si="130"/>
        <v>82</v>
      </c>
    </row>
    <row r="176" spans="1:40" s="85" customFormat="1" ht="22.5" x14ac:dyDescent="0.2">
      <c r="A176" s="350">
        <v>12</v>
      </c>
      <c r="B176" s="178" t="s">
        <v>372</v>
      </c>
      <c r="C176" s="105" t="s">
        <v>261</v>
      </c>
      <c r="D176" s="185" t="s">
        <v>380</v>
      </c>
      <c r="E176" s="105" t="s">
        <v>170</v>
      </c>
      <c r="F176" s="341" t="s">
        <v>392</v>
      </c>
      <c r="G176" s="83">
        <v>400</v>
      </c>
      <c r="H176" s="83"/>
      <c r="I176" s="83">
        <v>157</v>
      </c>
      <c r="J176" s="83">
        <v>128</v>
      </c>
      <c r="K176" s="83"/>
      <c r="L176" s="84">
        <v>55</v>
      </c>
      <c r="M176" s="316"/>
      <c r="N176" s="187">
        <f t="shared" si="136"/>
        <v>0</v>
      </c>
      <c r="O176" s="84"/>
      <c r="P176" s="84"/>
      <c r="Q176" s="84"/>
      <c r="R176" s="84">
        <f t="shared" si="137"/>
        <v>128</v>
      </c>
      <c r="S176" s="84">
        <f t="shared" si="138"/>
        <v>128</v>
      </c>
      <c r="T176" s="84"/>
      <c r="U176" s="84"/>
      <c r="V176" s="84"/>
      <c r="W176" s="84"/>
      <c r="X176" s="97"/>
      <c r="Y176" s="209"/>
      <c r="Z176" s="209"/>
      <c r="AA176" s="226" t="s">
        <v>123</v>
      </c>
      <c r="AB176" s="243" t="s">
        <v>275</v>
      </c>
      <c r="AC176" s="158"/>
      <c r="AE176" s="159"/>
      <c r="AM176" s="77">
        <f t="shared" si="129"/>
        <v>128</v>
      </c>
      <c r="AN176" s="77">
        <f t="shared" si="130"/>
        <v>55</v>
      </c>
    </row>
    <row r="177" spans="1:40" s="85" customFormat="1" ht="22.5" x14ac:dyDescent="0.2">
      <c r="A177" s="350">
        <v>13</v>
      </c>
      <c r="B177" s="178" t="s">
        <v>373</v>
      </c>
      <c r="C177" s="105" t="s">
        <v>378</v>
      </c>
      <c r="D177" s="185" t="s">
        <v>379</v>
      </c>
      <c r="E177" s="105" t="s">
        <v>170</v>
      </c>
      <c r="F177" s="341" t="s">
        <v>393</v>
      </c>
      <c r="G177" s="83">
        <v>300</v>
      </c>
      <c r="H177" s="83"/>
      <c r="I177" s="83">
        <v>210</v>
      </c>
      <c r="J177" s="83">
        <v>75</v>
      </c>
      <c r="K177" s="83"/>
      <c r="L177" s="84">
        <v>45</v>
      </c>
      <c r="M177" s="316"/>
      <c r="N177" s="187">
        <f t="shared" si="136"/>
        <v>0</v>
      </c>
      <c r="O177" s="84"/>
      <c r="P177" s="84"/>
      <c r="Q177" s="84"/>
      <c r="R177" s="84">
        <f t="shared" si="137"/>
        <v>75</v>
      </c>
      <c r="S177" s="84">
        <f t="shared" si="138"/>
        <v>75</v>
      </c>
      <c r="T177" s="84"/>
      <c r="U177" s="84"/>
      <c r="V177" s="84"/>
      <c r="W177" s="84"/>
      <c r="X177" s="97"/>
      <c r="Y177" s="209"/>
      <c r="Z177" s="209"/>
      <c r="AA177" s="226" t="s">
        <v>123</v>
      </c>
      <c r="AB177" s="243" t="s">
        <v>273</v>
      </c>
      <c r="AC177" s="158"/>
      <c r="AE177" s="159"/>
      <c r="AM177" s="77">
        <f t="shared" si="129"/>
        <v>75</v>
      </c>
      <c r="AN177" s="77">
        <f t="shared" si="130"/>
        <v>45</v>
      </c>
    </row>
    <row r="178" spans="1:40" s="85" customFormat="1" ht="13.5" x14ac:dyDescent="0.2">
      <c r="A178" s="350"/>
      <c r="B178" s="317" t="s">
        <v>475</v>
      </c>
      <c r="C178" s="105"/>
      <c r="D178" s="185"/>
      <c r="E178" s="105"/>
      <c r="F178" s="341"/>
      <c r="G178" s="184">
        <f>SUM(G179:G184)</f>
        <v>1800</v>
      </c>
      <c r="H178" s="184">
        <f t="shared" ref="H178:S178" si="139">SUM(H179:H184)</f>
        <v>0</v>
      </c>
      <c r="I178" s="184">
        <f t="shared" si="139"/>
        <v>0</v>
      </c>
      <c r="J178" s="184">
        <f t="shared" si="139"/>
        <v>1500</v>
      </c>
      <c r="K178" s="184">
        <f t="shared" si="139"/>
        <v>0</v>
      </c>
      <c r="L178" s="184">
        <f t="shared" si="139"/>
        <v>0</v>
      </c>
      <c r="M178" s="184">
        <f t="shared" si="139"/>
        <v>0</v>
      </c>
      <c r="N178" s="184">
        <f t="shared" si="139"/>
        <v>0</v>
      </c>
      <c r="O178" s="184">
        <f t="shared" si="139"/>
        <v>0</v>
      </c>
      <c r="P178" s="184">
        <f t="shared" si="139"/>
        <v>0</v>
      </c>
      <c r="Q178" s="184">
        <f t="shared" si="139"/>
        <v>0</v>
      </c>
      <c r="R178" s="184">
        <f t="shared" si="139"/>
        <v>1500</v>
      </c>
      <c r="S178" s="184">
        <f t="shared" si="139"/>
        <v>1500</v>
      </c>
      <c r="T178" s="84"/>
      <c r="U178" s="84"/>
      <c r="V178" s="84"/>
      <c r="W178" s="84"/>
      <c r="X178" s="97"/>
      <c r="Y178" s="209"/>
      <c r="Z178" s="209"/>
      <c r="AA178" s="226"/>
      <c r="AB178" s="243"/>
      <c r="AC178" s="158"/>
      <c r="AE178" s="159"/>
      <c r="AM178" s="77"/>
      <c r="AN178" s="77"/>
    </row>
    <row r="179" spans="1:40" s="85" customFormat="1" ht="33.75" x14ac:dyDescent="0.2">
      <c r="A179" s="358" t="s">
        <v>470</v>
      </c>
      <c r="B179" s="331" t="s">
        <v>525</v>
      </c>
      <c r="C179" s="293" t="s">
        <v>146</v>
      </c>
      <c r="D179" s="293" t="s">
        <v>379</v>
      </c>
      <c r="E179" s="293" t="s">
        <v>490</v>
      </c>
      <c r="F179" s="293" t="s">
        <v>526</v>
      </c>
      <c r="G179" s="83">
        <v>300</v>
      </c>
      <c r="H179" s="83"/>
      <c r="I179" s="83"/>
      <c r="J179" s="83">
        <v>250</v>
      </c>
      <c r="K179" s="83"/>
      <c r="L179" s="84"/>
      <c r="M179" s="339"/>
      <c r="N179" s="187">
        <f t="shared" si="136"/>
        <v>0</v>
      </c>
      <c r="O179" s="84"/>
      <c r="P179" s="84"/>
      <c r="Q179" s="84"/>
      <c r="R179" s="84">
        <f t="shared" ref="R179:R185" si="140">S179</f>
        <v>250</v>
      </c>
      <c r="S179" s="84">
        <f t="shared" ref="S179:S184" si="141">J179</f>
        <v>250</v>
      </c>
      <c r="T179" s="84"/>
      <c r="U179" s="84"/>
      <c r="V179" s="84"/>
      <c r="W179" s="84"/>
      <c r="X179" s="97"/>
      <c r="Y179" s="209"/>
      <c r="Z179" s="209"/>
      <c r="AA179" s="226" t="s">
        <v>124</v>
      </c>
      <c r="AB179" s="249" t="s">
        <v>276</v>
      </c>
      <c r="AC179" s="158"/>
      <c r="AE179" s="159"/>
      <c r="AM179" s="77"/>
      <c r="AN179" s="77"/>
    </row>
    <row r="180" spans="1:40" s="85" customFormat="1" ht="33.75" x14ac:dyDescent="0.2">
      <c r="A180" s="358" t="s">
        <v>480</v>
      </c>
      <c r="B180" s="331" t="s">
        <v>527</v>
      </c>
      <c r="C180" s="293" t="s">
        <v>148</v>
      </c>
      <c r="D180" s="293" t="s">
        <v>379</v>
      </c>
      <c r="E180" s="293" t="s">
        <v>490</v>
      </c>
      <c r="F180" s="293" t="s">
        <v>528</v>
      </c>
      <c r="G180" s="83">
        <v>300</v>
      </c>
      <c r="H180" s="83"/>
      <c r="I180" s="83"/>
      <c r="J180" s="83">
        <v>250</v>
      </c>
      <c r="K180" s="83"/>
      <c r="L180" s="84"/>
      <c r="M180" s="339"/>
      <c r="N180" s="187">
        <f t="shared" si="136"/>
        <v>0</v>
      </c>
      <c r="O180" s="84"/>
      <c r="P180" s="84"/>
      <c r="Q180" s="84"/>
      <c r="R180" s="84">
        <f t="shared" si="140"/>
        <v>250</v>
      </c>
      <c r="S180" s="84">
        <f t="shared" si="141"/>
        <v>250</v>
      </c>
      <c r="T180" s="84"/>
      <c r="U180" s="84"/>
      <c r="V180" s="84"/>
      <c r="W180" s="84"/>
      <c r="X180" s="97"/>
      <c r="Y180" s="209"/>
      <c r="Z180" s="209"/>
      <c r="AA180" s="226" t="s">
        <v>124</v>
      </c>
      <c r="AB180" s="249" t="s">
        <v>279</v>
      </c>
      <c r="AC180" s="158"/>
      <c r="AE180" s="159"/>
      <c r="AM180" s="77"/>
      <c r="AN180" s="77"/>
    </row>
    <row r="181" spans="1:40" s="85" customFormat="1" ht="33.75" x14ac:dyDescent="0.2">
      <c r="A181" s="358" t="s">
        <v>484</v>
      </c>
      <c r="B181" s="331" t="s">
        <v>529</v>
      </c>
      <c r="C181" s="293" t="s">
        <v>144</v>
      </c>
      <c r="D181" s="293" t="s">
        <v>379</v>
      </c>
      <c r="E181" s="293" t="s">
        <v>490</v>
      </c>
      <c r="F181" s="293" t="s">
        <v>530</v>
      </c>
      <c r="G181" s="83">
        <v>300</v>
      </c>
      <c r="H181" s="83"/>
      <c r="I181" s="83"/>
      <c r="J181" s="83">
        <v>250</v>
      </c>
      <c r="K181" s="83"/>
      <c r="L181" s="84"/>
      <c r="M181" s="339"/>
      <c r="N181" s="187">
        <f t="shared" si="136"/>
        <v>0</v>
      </c>
      <c r="O181" s="84"/>
      <c r="P181" s="84"/>
      <c r="Q181" s="84"/>
      <c r="R181" s="84">
        <f t="shared" si="140"/>
        <v>250</v>
      </c>
      <c r="S181" s="84">
        <f t="shared" si="141"/>
        <v>250</v>
      </c>
      <c r="T181" s="84"/>
      <c r="U181" s="84"/>
      <c r="V181" s="84"/>
      <c r="W181" s="84"/>
      <c r="X181" s="97"/>
      <c r="Y181" s="209"/>
      <c r="Z181" s="209"/>
      <c r="AA181" s="226" t="s">
        <v>124</v>
      </c>
      <c r="AB181" s="249" t="s">
        <v>274</v>
      </c>
      <c r="AC181" s="158"/>
      <c r="AE181" s="159"/>
      <c r="AM181" s="77"/>
      <c r="AN181" s="77"/>
    </row>
    <row r="182" spans="1:40" s="85" customFormat="1" ht="33.75" x14ac:dyDescent="0.2">
      <c r="A182" s="358" t="s">
        <v>516</v>
      </c>
      <c r="B182" s="331" t="s">
        <v>531</v>
      </c>
      <c r="C182" s="293" t="s">
        <v>144</v>
      </c>
      <c r="D182" s="293" t="s">
        <v>379</v>
      </c>
      <c r="E182" s="293" t="s">
        <v>490</v>
      </c>
      <c r="F182" s="293" t="s">
        <v>532</v>
      </c>
      <c r="G182" s="83">
        <v>300</v>
      </c>
      <c r="H182" s="83"/>
      <c r="I182" s="83"/>
      <c r="J182" s="83">
        <v>250</v>
      </c>
      <c r="K182" s="83"/>
      <c r="L182" s="84"/>
      <c r="M182" s="339"/>
      <c r="N182" s="187">
        <f t="shared" si="136"/>
        <v>0</v>
      </c>
      <c r="O182" s="84"/>
      <c r="P182" s="84"/>
      <c r="Q182" s="84"/>
      <c r="R182" s="84">
        <f t="shared" si="140"/>
        <v>250</v>
      </c>
      <c r="S182" s="84">
        <f t="shared" si="141"/>
        <v>250</v>
      </c>
      <c r="T182" s="84"/>
      <c r="U182" s="84"/>
      <c r="V182" s="84"/>
      <c r="W182" s="84"/>
      <c r="X182" s="97"/>
      <c r="Y182" s="209"/>
      <c r="Z182" s="209"/>
      <c r="AA182" s="226" t="s">
        <v>124</v>
      </c>
      <c r="AB182" s="249" t="s">
        <v>274</v>
      </c>
      <c r="AC182" s="158"/>
      <c r="AE182" s="159"/>
      <c r="AM182" s="77"/>
      <c r="AN182" s="77"/>
    </row>
    <row r="183" spans="1:40" s="85" customFormat="1" ht="24" x14ac:dyDescent="0.2">
      <c r="A183" s="358" t="s">
        <v>517</v>
      </c>
      <c r="B183" s="331" t="s">
        <v>533</v>
      </c>
      <c r="C183" s="293" t="s">
        <v>228</v>
      </c>
      <c r="D183" s="293" t="s">
        <v>379</v>
      </c>
      <c r="E183" s="293" t="s">
        <v>490</v>
      </c>
      <c r="F183" s="293" t="s">
        <v>534</v>
      </c>
      <c r="G183" s="83">
        <v>300</v>
      </c>
      <c r="H183" s="83"/>
      <c r="I183" s="83"/>
      <c r="J183" s="83">
        <v>250</v>
      </c>
      <c r="K183" s="83"/>
      <c r="L183" s="84"/>
      <c r="M183" s="339"/>
      <c r="N183" s="187">
        <f t="shared" si="136"/>
        <v>0</v>
      </c>
      <c r="O183" s="84"/>
      <c r="P183" s="84"/>
      <c r="Q183" s="84"/>
      <c r="R183" s="84">
        <f t="shared" si="140"/>
        <v>250</v>
      </c>
      <c r="S183" s="84">
        <f t="shared" si="141"/>
        <v>250</v>
      </c>
      <c r="T183" s="84"/>
      <c r="U183" s="84"/>
      <c r="V183" s="84"/>
      <c r="W183" s="84"/>
      <c r="X183" s="97"/>
      <c r="Y183" s="209"/>
      <c r="Z183" s="209"/>
      <c r="AA183" s="226" t="s">
        <v>124</v>
      </c>
      <c r="AB183" s="243" t="s">
        <v>280</v>
      </c>
      <c r="AC183" s="158"/>
      <c r="AE183" s="159"/>
      <c r="AM183" s="77"/>
      <c r="AN183" s="77"/>
    </row>
    <row r="184" spans="1:40" s="85" customFormat="1" ht="24" x14ac:dyDescent="0.2">
      <c r="A184" s="358" t="s">
        <v>518</v>
      </c>
      <c r="B184" s="331" t="s">
        <v>535</v>
      </c>
      <c r="C184" s="293" t="s">
        <v>228</v>
      </c>
      <c r="D184" s="293" t="s">
        <v>379</v>
      </c>
      <c r="E184" s="293" t="s">
        <v>490</v>
      </c>
      <c r="F184" s="293" t="s">
        <v>536</v>
      </c>
      <c r="G184" s="83">
        <v>300</v>
      </c>
      <c r="H184" s="83"/>
      <c r="I184" s="83"/>
      <c r="J184" s="83">
        <v>250</v>
      </c>
      <c r="K184" s="83"/>
      <c r="L184" s="84"/>
      <c r="M184" s="339"/>
      <c r="N184" s="187">
        <f t="shared" si="136"/>
        <v>0</v>
      </c>
      <c r="O184" s="84"/>
      <c r="P184" s="84"/>
      <c r="Q184" s="84"/>
      <c r="R184" s="84">
        <f t="shared" si="140"/>
        <v>250</v>
      </c>
      <c r="S184" s="84">
        <f t="shared" si="141"/>
        <v>250</v>
      </c>
      <c r="T184" s="84"/>
      <c r="U184" s="84"/>
      <c r="V184" s="84"/>
      <c r="W184" s="84"/>
      <c r="X184" s="97"/>
      <c r="Y184" s="209"/>
      <c r="Z184" s="209"/>
      <c r="AA184" s="226" t="s">
        <v>124</v>
      </c>
      <c r="AB184" s="243" t="s">
        <v>280</v>
      </c>
      <c r="AC184" s="158"/>
      <c r="AE184" s="159"/>
      <c r="AM184" s="77"/>
      <c r="AN184" s="77"/>
    </row>
    <row r="185" spans="1:40" s="85" customFormat="1" ht="45" x14ac:dyDescent="0.2">
      <c r="A185" s="362"/>
      <c r="B185" s="372" t="s">
        <v>547</v>
      </c>
      <c r="C185" s="342"/>
      <c r="D185" s="342"/>
      <c r="E185" s="342"/>
      <c r="F185" s="342"/>
      <c r="G185" s="83"/>
      <c r="H185" s="83"/>
      <c r="I185" s="83"/>
      <c r="J185" s="373">
        <v>1506</v>
      </c>
      <c r="K185" s="83"/>
      <c r="L185" s="84"/>
      <c r="M185" s="339"/>
      <c r="N185" s="187"/>
      <c r="O185" s="84"/>
      <c r="P185" s="84"/>
      <c r="Q185" s="84"/>
      <c r="R185" s="156">
        <f t="shared" si="140"/>
        <v>1506</v>
      </c>
      <c r="S185" s="373">
        <v>1506</v>
      </c>
      <c r="T185" s="84"/>
      <c r="U185" s="84"/>
      <c r="V185" s="84"/>
      <c r="W185" s="84"/>
      <c r="X185" s="105" t="s">
        <v>553</v>
      </c>
      <c r="Y185" s="209"/>
      <c r="Z185" s="209"/>
      <c r="AA185" s="374"/>
      <c r="AB185" s="375"/>
      <c r="AC185" s="158"/>
      <c r="AE185" s="159"/>
      <c r="AM185" s="77"/>
      <c r="AN185" s="77"/>
    </row>
    <row r="186" spans="1:40" s="85" customFormat="1" ht="38.25" x14ac:dyDescent="0.2">
      <c r="A186" s="350"/>
      <c r="B186" s="327" t="s">
        <v>237</v>
      </c>
      <c r="C186" s="287"/>
      <c r="D186" s="106"/>
      <c r="E186" s="105"/>
      <c r="F186" s="105"/>
      <c r="G186" s="169">
        <f>G187+G198</f>
        <v>53564</v>
      </c>
      <c r="H186" s="169">
        <f t="shared" ref="H186:S186" si="142">H187+H198</f>
        <v>0</v>
      </c>
      <c r="I186" s="169">
        <f t="shared" si="142"/>
        <v>16066</v>
      </c>
      <c r="J186" s="169">
        <f t="shared" si="142"/>
        <v>22552</v>
      </c>
      <c r="K186" s="169">
        <f t="shared" si="142"/>
        <v>0</v>
      </c>
      <c r="L186" s="169">
        <f t="shared" si="142"/>
        <v>8833</v>
      </c>
      <c r="M186" s="169">
        <f t="shared" si="142"/>
        <v>0</v>
      </c>
      <c r="N186" s="169">
        <f t="shared" si="142"/>
        <v>2942.5699999999997</v>
      </c>
      <c r="O186" s="169">
        <f t="shared" si="142"/>
        <v>2942.5699999999997</v>
      </c>
      <c r="P186" s="169">
        <f t="shared" si="142"/>
        <v>0</v>
      </c>
      <c r="Q186" s="169">
        <f t="shared" si="142"/>
        <v>0</v>
      </c>
      <c r="R186" s="169">
        <f t="shared" si="142"/>
        <v>22552</v>
      </c>
      <c r="S186" s="169">
        <f t="shared" si="142"/>
        <v>22552</v>
      </c>
      <c r="T186" s="169">
        <f t="shared" ref="T186:V186" si="143">SUM(T188:T197)</f>
        <v>0</v>
      </c>
      <c r="U186" s="169">
        <f t="shared" si="143"/>
        <v>0</v>
      </c>
      <c r="V186" s="169">
        <f t="shared" si="143"/>
        <v>0</v>
      </c>
      <c r="W186" s="84">
        <f>N186/J186*100</f>
        <v>13.047933664420006</v>
      </c>
      <c r="X186" s="97"/>
      <c r="Y186" s="209"/>
      <c r="Z186" s="209"/>
      <c r="AA186" s="226"/>
      <c r="AB186" s="230"/>
      <c r="AC186" s="158"/>
      <c r="AE186" s="159"/>
      <c r="AM186" s="77">
        <f t="shared" si="129"/>
        <v>19609.43</v>
      </c>
      <c r="AN186" s="77">
        <f t="shared" si="130"/>
        <v>5890.43</v>
      </c>
    </row>
    <row r="187" spans="1:40" s="85" customFormat="1" ht="13.5" x14ac:dyDescent="0.2">
      <c r="A187" s="350"/>
      <c r="B187" s="191" t="s">
        <v>474</v>
      </c>
      <c r="C187" s="287"/>
      <c r="D187" s="106"/>
      <c r="E187" s="105"/>
      <c r="F187" s="105"/>
      <c r="G187" s="155">
        <f>SUM(G188:G197)</f>
        <v>47004</v>
      </c>
      <c r="H187" s="155">
        <f t="shared" ref="H187:S187" si="144">SUM(H188:H197)</f>
        <v>0</v>
      </c>
      <c r="I187" s="155">
        <f t="shared" si="144"/>
        <v>16066</v>
      </c>
      <c r="J187" s="155">
        <f t="shared" si="144"/>
        <v>19552</v>
      </c>
      <c r="K187" s="155">
        <f t="shared" si="144"/>
        <v>0</v>
      </c>
      <c r="L187" s="155">
        <f t="shared" si="144"/>
        <v>8833</v>
      </c>
      <c r="M187" s="155">
        <f t="shared" si="144"/>
        <v>0</v>
      </c>
      <c r="N187" s="155">
        <f t="shared" si="144"/>
        <v>2942.5699999999997</v>
      </c>
      <c r="O187" s="155">
        <f t="shared" si="144"/>
        <v>2942.5699999999997</v>
      </c>
      <c r="P187" s="155">
        <f t="shared" si="144"/>
        <v>0</v>
      </c>
      <c r="Q187" s="155">
        <f t="shared" si="144"/>
        <v>0</v>
      </c>
      <c r="R187" s="155">
        <f t="shared" si="144"/>
        <v>19552</v>
      </c>
      <c r="S187" s="155">
        <f t="shared" si="144"/>
        <v>19552</v>
      </c>
      <c r="T187" s="169"/>
      <c r="U187" s="169"/>
      <c r="V187" s="169"/>
      <c r="W187" s="84"/>
      <c r="X187" s="97"/>
      <c r="Y187" s="209"/>
      <c r="Z187" s="209"/>
      <c r="AA187" s="226"/>
      <c r="AB187" s="230"/>
      <c r="AC187" s="158"/>
      <c r="AE187" s="159"/>
      <c r="AM187" s="77"/>
      <c r="AN187" s="77"/>
    </row>
    <row r="188" spans="1:40" s="85" customFormat="1" ht="24" x14ac:dyDescent="0.2">
      <c r="A188" s="350">
        <v>1</v>
      </c>
      <c r="B188" s="82" t="s">
        <v>238</v>
      </c>
      <c r="C188" s="287" t="s">
        <v>228</v>
      </c>
      <c r="D188" s="105"/>
      <c r="E188" s="105" t="s">
        <v>182</v>
      </c>
      <c r="F188" s="185" t="s">
        <v>419</v>
      </c>
      <c r="G188" s="83">
        <v>2700</v>
      </c>
      <c r="H188" s="83"/>
      <c r="I188" s="83">
        <v>1300</v>
      </c>
      <c r="J188" s="311">
        <v>1100</v>
      </c>
      <c r="K188" s="83"/>
      <c r="L188" s="84">
        <v>700</v>
      </c>
      <c r="M188" s="343"/>
      <c r="N188" s="94">
        <f>O188</f>
        <v>0</v>
      </c>
      <c r="O188" s="186"/>
      <c r="P188" s="84"/>
      <c r="Q188" s="84"/>
      <c r="R188" s="84">
        <f>S188</f>
        <v>1100</v>
      </c>
      <c r="S188" s="311">
        <f>J188</f>
        <v>1100</v>
      </c>
      <c r="T188" s="84"/>
      <c r="U188" s="84"/>
      <c r="V188" s="84"/>
      <c r="W188" s="84"/>
      <c r="X188" s="97"/>
      <c r="Y188" s="209"/>
      <c r="Z188" s="209"/>
      <c r="AA188" s="226" t="s">
        <v>123</v>
      </c>
      <c r="AB188" s="233" t="s">
        <v>271</v>
      </c>
      <c r="AC188" s="158"/>
      <c r="AE188" s="159"/>
      <c r="AM188" s="77">
        <f t="shared" si="129"/>
        <v>1100</v>
      </c>
      <c r="AN188" s="77">
        <f t="shared" si="130"/>
        <v>700</v>
      </c>
    </row>
    <row r="189" spans="1:40" s="85" customFormat="1" ht="24" x14ac:dyDescent="0.2">
      <c r="A189" s="350">
        <v>2</v>
      </c>
      <c r="B189" s="82" t="s">
        <v>239</v>
      </c>
      <c r="C189" s="287" t="s">
        <v>149</v>
      </c>
      <c r="D189" s="105" t="s">
        <v>417</v>
      </c>
      <c r="E189" s="105" t="s">
        <v>182</v>
      </c>
      <c r="F189" s="185" t="s">
        <v>243</v>
      </c>
      <c r="G189" s="83">
        <v>1600</v>
      </c>
      <c r="H189" s="83"/>
      <c r="I189" s="83">
        <v>800</v>
      </c>
      <c r="J189" s="311">
        <v>600</v>
      </c>
      <c r="K189" s="83"/>
      <c r="L189" s="84">
        <v>1300</v>
      </c>
      <c r="M189" s="343"/>
      <c r="N189" s="199">
        <f t="shared" ref="N189:N197" si="145">O189</f>
        <v>533.91</v>
      </c>
      <c r="O189" s="187">
        <v>533.91</v>
      </c>
      <c r="P189" s="84"/>
      <c r="Q189" s="84"/>
      <c r="R189" s="84">
        <f t="shared" ref="R189:R199" si="146">S189</f>
        <v>600</v>
      </c>
      <c r="S189" s="311">
        <f t="shared" ref="S189:S197" si="147">J189</f>
        <v>600</v>
      </c>
      <c r="T189" s="84"/>
      <c r="U189" s="84"/>
      <c r="V189" s="84"/>
      <c r="W189" s="84"/>
      <c r="X189" s="97"/>
      <c r="Y189" s="209"/>
      <c r="Z189" s="209"/>
      <c r="AA189" s="226" t="s">
        <v>123</v>
      </c>
      <c r="AB189" s="233" t="s">
        <v>271</v>
      </c>
      <c r="AC189" s="158"/>
      <c r="AE189" s="159"/>
      <c r="AM189" s="77">
        <f t="shared" si="129"/>
        <v>66.090000000000032</v>
      </c>
      <c r="AN189" s="77">
        <f t="shared" si="130"/>
        <v>766.09</v>
      </c>
    </row>
    <row r="190" spans="1:40" s="85" customFormat="1" ht="24" x14ac:dyDescent="0.2">
      <c r="A190" s="350">
        <v>3</v>
      </c>
      <c r="B190" s="82" t="s">
        <v>240</v>
      </c>
      <c r="C190" s="287" t="s">
        <v>149</v>
      </c>
      <c r="D190" s="105" t="s">
        <v>417</v>
      </c>
      <c r="E190" s="105" t="s">
        <v>182</v>
      </c>
      <c r="F190" s="185" t="s">
        <v>244</v>
      </c>
      <c r="G190" s="83">
        <v>1600</v>
      </c>
      <c r="H190" s="83"/>
      <c r="I190" s="83">
        <v>800</v>
      </c>
      <c r="J190" s="311">
        <v>600</v>
      </c>
      <c r="K190" s="83"/>
      <c r="L190" s="84">
        <v>800</v>
      </c>
      <c r="M190" s="343"/>
      <c r="N190" s="199">
        <f t="shared" si="145"/>
        <v>0</v>
      </c>
      <c r="O190" s="187"/>
      <c r="P190" s="84"/>
      <c r="Q190" s="84"/>
      <c r="R190" s="84">
        <f t="shared" si="146"/>
        <v>600</v>
      </c>
      <c r="S190" s="311">
        <f t="shared" si="147"/>
        <v>600</v>
      </c>
      <c r="T190" s="84"/>
      <c r="U190" s="84"/>
      <c r="V190" s="84"/>
      <c r="W190" s="84"/>
      <c r="X190" s="97"/>
      <c r="Y190" s="209"/>
      <c r="Z190" s="209"/>
      <c r="AA190" s="226" t="s">
        <v>123</v>
      </c>
      <c r="AB190" s="233" t="s">
        <v>271</v>
      </c>
      <c r="AC190" s="158"/>
      <c r="AE190" s="159"/>
      <c r="AM190" s="77">
        <f t="shared" si="129"/>
        <v>600</v>
      </c>
      <c r="AN190" s="77">
        <f t="shared" si="130"/>
        <v>800</v>
      </c>
    </row>
    <row r="191" spans="1:40" s="85" customFormat="1" ht="33.75" x14ac:dyDescent="0.2">
      <c r="A191" s="350">
        <v>4</v>
      </c>
      <c r="B191" s="82" t="s">
        <v>241</v>
      </c>
      <c r="C191" s="287" t="s">
        <v>150</v>
      </c>
      <c r="D191" s="105" t="s">
        <v>418</v>
      </c>
      <c r="E191" s="105" t="s">
        <v>182</v>
      </c>
      <c r="F191" s="185" t="s">
        <v>245</v>
      </c>
      <c r="G191" s="83">
        <v>13500</v>
      </c>
      <c r="H191" s="83"/>
      <c r="I191" s="83">
        <v>4186</v>
      </c>
      <c r="J191" s="311">
        <v>6000</v>
      </c>
      <c r="K191" s="83"/>
      <c r="L191" s="84">
        <v>1828</v>
      </c>
      <c r="M191" s="343"/>
      <c r="N191" s="199">
        <f t="shared" si="145"/>
        <v>1236.23</v>
      </c>
      <c r="O191" s="187">
        <v>1236.23</v>
      </c>
      <c r="P191" s="84"/>
      <c r="Q191" s="84"/>
      <c r="R191" s="84">
        <f t="shared" si="146"/>
        <v>6000</v>
      </c>
      <c r="S191" s="311">
        <f t="shared" si="147"/>
        <v>6000</v>
      </c>
      <c r="T191" s="84"/>
      <c r="U191" s="84"/>
      <c r="V191" s="84"/>
      <c r="W191" s="84"/>
      <c r="X191" s="97"/>
      <c r="Y191" s="209"/>
      <c r="Z191" s="209"/>
      <c r="AA191" s="226" t="s">
        <v>123</v>
      </c>
      <c r="AB191" s="233" t="s">
        <v>271</v>
      </c>
      <c r="AC191" s="158"/>
      <c r="AE191" s="159"/>
      <c r="AM191" s="77">
        <f t="shared" si="129"/>
        <v>4763.7700000000004</v>
      </c>
      <c r="AN191" s="77">
        <f t="shared" si="130"/>
        <v>591.77</v>
      </c>
    </row>
    <row r="192" spans="1:40" s="85" customFormat="1" ht="25.5" x14ac:dyDescent="0.2">
      <c r="A192" s="350">
        <v>5</v>
      </c>
      <c r="B192" s="82" t="s">
        <v>242</v>
      </c>
      <c r="C192" s="287" t="s">
        <v>169</v>
      </c>
      <c r="D192" s="105"/>
      <c r="E192" s="105" t="s">
        <v>182</v>
      </c>
      <c r="F192" s="185" t="s">
        <v>246</v>
      </c>
      <c r="G192" s="83">
        <v>3000</v>
      </c>
      <c r="H192" s="83"/>
      <c r="I192" s="83">
        <v>1500</v>
      </c>
      <c r="J192" s="311">
        <v>1100</v>
      </c>
      <c r="K192" s="83"/>
      <c r="L192" s="84">
        <v>1340</v>
      </c>
      <c r="M192" s="343"/>
      <c r="N192" s="199">
        <f t="shared" si="145"/>
        <v>672.43</v>
      </c>
      <c r="O192" s="187">
        <v>672.43</v>
      </c>
      <c r="P192" s="84"/>
      <c r="Q192" s="84"/>
      <c r="R192" s="84">
        <f t="shared" si="146"/>
        <v>1100</v>
      </c>
      <c r="S192" s="311">
        <f t="shared" si="147"/>
        <v>1100</v>
      </c>
      <c r="T192" s="84"/>
      <c r="U192" s="84"/>
      <c r="V192" s="84"/>
      <c r="W192" s="84"/>
      <c r="X192" s="97"/>
      <c r="Y192" s="209"/>
      <c r="Z192" s="209"/>
      <c r="AA192" s="226" t="s">
        <v>123</v>
      </c>
      <c r="AB192" s="233" t="s">
        <v>271</v>
      </c>
      <c r="AC192" s="158"/>
      <c r="AE192" s="159"/>
      <c r="AM192" s="77">
        <f t="shared" si="129"/>
        <v>427.57000000000005</v>
      </c>
      <c r="AN192" s="77">
        <f t="shared" si="130"/>
        <v>667.57</v>
      </c>
    </row>
    <row r="193" spans="1:40" s="85" customFormat="1" ht="56.25" x14ac:dyDescent="0.2">
      <c r="A193" s="350">
        <v>6</v>
      </c>
      <c r="B193" s="82" t="s">
        <v>394</v>
      </c>
      <c r="C193" s="185" t="s">
        <v>264</v>
      </c>
      <c r="D193" s="185" t="s">
        <v>399</v>
      </c>
      <c r="E193" s="105" t="s">
        <v>182</v>
      </c>
      <c r="F193" s="185" t="s">
        <v>404</v>
      </c>
      <c r="G193" s="83">
        <v>19542</v>
      </c>
      <c r="H193" s="83"/>
      <c r="I193" s="83">
        <v>5000</v>
      </c>
      <c r="J193" s="311">
        <v>8000</v>
      </c>
      <c r="K193" s="83"/>
      <c r="L193" s="84">
        <v>890</v>
      </c>
      <c r="M193" s="343"/>
      <c r="N193" s="199">
        <f t="shared" si="145"/>
        <v>0</v>
      </c>
      <c r="O193" s="187"/>
      <c r="P193" s="84"/>
      <c r="Q193" s="84"/>
      <c r="R193" s="84">
        <f t="shared" si="146"/>
        <v>8000</v>
      </c>
      <c r="S193" s="311">
        <f t="shared" si="147"/>
        <v>8000</v>
      </c>
      <c r="T193" s="84"/>
      <c r="U193" s="84"/>
      <c r="V193" s="84"/>
      <c r="W193" s="84"/>
      <c r="X193" s="97"/>
      <c r="Y193" s="209"/>
      <c r="Z193" s="209"/>
      <c r="AA193" s="226" t="s">
        <v>123</v>
      </c>
      <c r="AB193" s="233" t="s">
        <v>271</v>
      </c>
      <c r="AC193" s="158"/>
      <c r="AE193" s="159"/>
      <c r="AM193" s="77">
        <f t="shared" si="129"/>
        <v>8000</v>
      </c>
      <c r="AN193" s="77">
        <f t="shared" si="130"/>
        <v>890</v>
      </c>
    </row>
    <row r="194" spans="1:40" s="85" customFormat="1" ht="22.5" x14ac:dyDescent="0.2">
      <c r="A194" s="350">
        <v>7</v>
      </c>
      <c r="B194" s="82" t="s">
        <v>395</v>
      </c>
      <c r="C194" s="185" t="s">
        <v>264</v>
      </c>
      <c r="D194" s="185" t="s">
        <v>400</v>
      </c>
      <c r="E194" s="105" t="s">
        <v>182</v>
      </c>
      <c r="F194" s="185" t="s">
        <v>405</v>
      </c>
      <c r="G194" s="83">
        <v>960</v>
      </c>
      <c r="H194" s="83"/>
      <c r="I194" s="83">
        <v>480</v>
      </c>
      <c r="J194" s="311">
        <v>400</v>
      </c>
      <c r="K194" s="83"/>
      <c r="L194" s="84">
        <v>288</v>
      </c>
      <c r="M194" s="343"/>
      <c r="N194" s="199">
        <f t="shared" si="145"/>
        <v>0</v>
      </c>
      <c r="O194" s="187"/>
      <c r="P194" s="84"/>
      <c r="Q194" s="84"/>
      <c r="R194" s="84">
        <f t="shared" si="146"/>
        <v>400</v>
      </c>
      <c r="S194" s="311">
        <f t="shared" si="147"/>
        <v>400</v>
      </c>
      <c r="T194" s="84"/>
      <c r="U194" s="84"/>
      <c r="V194" s="84"/>
      <c r="W194" s="84"/>
      <c r="X194" s="97"/>
      <c r="Y194" s="209"/>
      <c r="Z194" s="209"/>
      <c r="AA194" s="226" t="s">
        <v>123</v>
      </c>
      <c r="AB194" s="243" t="s">
        <v>282</v>
      </c>
      <c r="AC194" s="158"/>
      <c r="AE194" s="159"/>
      <c r="AM194" s="77">
        <f t="shared" si="129"/>
        <v>400</v>
      </c>
      <c r="AN194" s="77">
        <f t="shared" si="130"/>
        <v>288</v>
      </c>
    </row>
    <row r="195" spans="1:40" s="85" customFormat="1" ht="22.5" x14ac:dyDescent="0.2">
      <c r="A195" s="350">
        <v>8</v>
      </c>
      <c r="B195" s="82" t="s">
        <v>396</v>
      </c>
      <c r="C195" s="185" t="s">
        <v>264</v>
      </c>
      <c r="D195" s="185" t="s">
        <v>401</v>
      </c>
      <c r="E195" s="105" t="s">
        <v>182</v>
      </c>
      <c r="F195" s="185" t="s">
        <v>406</v>
      </c>
      <c r="G195" s="83">
        <v>702</v>
      </c>
      <c r="H195" s="83"/>
      <c r="I195" s="83">
        <v>350</v>
      </c>
      <c r="J195" s="311">
        <v>300</v>
      </c>
      <c r="K195" s="83"/>
      <c r="L195" s="84">
        <v>211</v>
      </c>
      <c r="M195" s="343"/>
      <c r="N195" s="199">
        <f t="shared" si="145"/>
        <v>0</v>
      </c>
      <c r="O195" s="187"/>
      <c r="P195" s="84"/>
      <c r="Q195" s="84"/>
      <c r="R195" s="84">
        <f t="shared" si="146"/>
        <v>300</v>
      </c>
      <c r="S195" s="311">
        <f t="shared" si="147"/>
        <v>300</v>
      </c>
      <c r="T195" s="84"/>
      <c r="U195" s="84"/>
      <c r="V195" s="84"/>
      <c r="W195" s="84"/>
      <c r="X195" s="97"/>
      <c r="Y195" s="209"/>
      <c r="Z195" s="209"/>
      <c r="AA195" s="226" t="s">
        <v>123</v>
      </c>
      <c r="AB195" s="243" t="s">
        <v>282</v>
      </c>
      <c r="AC195" s="158"/>
      <c r="AE195" s="159"/>
      <c r="AM195" s="77">
        <f t="shared" si="129"/>
        <v>300</v>
      </c>
      <c r="AN195" s="77">
        <f t="shared" si="130"/>
        <v>211</v>
      </c>
    </row>
    <row r="196" spans="1:40" s="85" customFormat="1" ht="22.5" x14ac:dyDescent="0.2">
      <c r="A196" s="350">
        <v>9</v>
      </c>
      <c r="B196" s="82" t="s">
        <v>397</v>
      </c>
      <c r="C196" s="185" t="s">
        <v>377</v>
      </c>
      <c r="D196" s="185" t="s">
        <v>402</v>
      </c>
      <c r="E196" s="105" t="s">
        <v>182</v>
      </c>
      <c r="F196" s="185" t="s">
        <v>407</v>
      </c>
      <c r="G196" s="83">
        <v>1120</v>
      </c>
      <c r="H196" s="83"/>
      <c r="I196" s="83">
        <v>550</v>
      </c>
      <c r="J196" s="311">
        <v>500</v>
      </c>
      <c r="K196" s="83"/>
      <c r="L196" s="84">
        <v>336</v>
      </c>
      <c r="M196" s="343"/>
      <c r="N196" s="199">
        <f t="shared" si="145"/>
        <v>500</v>
      </c>
      <c r="O196" s="187">
        <v>500</v>
      </c>
      <c r="P196" s="84"/>
      <c r="Q196" s="84"/>
      <c r="R196" s="84">
        <f t="shared" si="146"/>
        <v>500</v>
      </c>
      <c r="S196" s="311">
        <f t="shared" si="147"/>
        <v>500</v>
      </c>
      <c r="T196" s="84"/>
      <c r="U196" s="84"/>
      <c r="V196" s="84"/>
      <c r="W196" s="84"/>
      <c r="X196" s="97"/>
      <c r="Y196" s="209"/>
      <c r="Z196" s="209"/>
      <c r="AA196" s="226" t="s">
        <v>123</v>
      </c>
      <c r="AB196" s="243" t="s">
        <v>280</v>
      </c>
      <c r="AC196" s="158"/>
      <c r="AE196" s="159"/>
      <c r="AM196" s="77">
        <f t="shared" si="129"/>
        <v>0</v>
      </c>
      <c r="AN196" s="77">
        <f t="shared" si="130"/>
        <v>-164</v>
      </c>
    </row>
    <row r="197" spans="1:40" s="85" customFormat="1" ht="25.5" x14ac:dyDescent="0.2">
      <c r="A197" s="350">
        <v>10</v>
      </c>
      <c r="B197" s="82" t="s">
        <v>398</v>
      </c>
      <c r="C197" s="185" t="s">
        <v>258</v>
      </c>
      <c r="D197" s="185" t="s">
        <v>403</v>
      </c>
      <c r="E197" s="105" t="s">
        <v>182</v>
      </c>
      <c r="F197" s="185" t="s">
        <v>408</v>
      </c>
      <c r="G197" s="83">
        <v>2280</v>
      </c>
      <c r="H197" s="83"/>
      <c r="I197" s="83">
        <v>1100</v>
      </c>
      <c r="J197" s="311">
        <v>952</v>
      </c>
      <c r="K197" s="83"/>
      <c r="L197" s="84">
        <v>1140</v>
      </c>
      <c r="M197" s="343"/>
      <c r="N197" s="199">
        <f t="shared" si="145"/>
        <v>0</v>
      </c>
      <c r="O197" s="187"/>
      <c r="P197" s="84"/>
      <c r="Q197" s="84"/>
      <c r="R197" s="84">
        <f t="shared" si="146"/>
        <v>952</v>
      </c>
      <c r="S197" s="311">
        <f t="shared" si="147"/>
        <v>952</v>
      </c>
      <c r="T197" s="84"/>
      <c r="U197" s="84"/>
      <c r="V197" s="84"/>
      <c r="W197" s="84"/>
      <c r="X197" s="97"/>
      <c r="Y197" s="209"/>
      <c r="Z197" s="209"/>
      <c r="AA197" s="226" t="s">
        <v>123</v>
      </c>
      <c r="AB197" s="243" t="s">
        <v>273</v>
      </c>
      <c r="AC197" s="158"/>
      <c r="AE197" s="159"/>
      <c r="AM197" s="77">
        <f t="shared" si="129"/>
        <v>952</v>
      </c>
      <c r="AN197" s="77">
        <f t="shared" si="130"/>
        <v>1140</v>
      </c>
    </row>
    <row r="198" spans="1:40" s="85" customFormat="1" ht="13.5" x14ac:dyDescent="0.2">
      <c r="A198" s="350"/>
      <c r="B198" s="317" t="s">
        <v>475</v>
      </c>
      <c r="C198" s="185"/>
      <c r="D198" s="185"/>
      <c r="E198" s="105"/>
      <c r="F198" s="185"/>
      <c r="G198" s="184">
        <f>SUM(G199)</f>
        <v>6560</v>
      </c>
      <c r="H198" s="184">
        <f t="shared" ref="H198:S198" si="148">SUM(H199)</f>
        <v>0</v>
      </c>
      <c r="I198" s="184">
        <f t="shared" si="148"/>
        <v>0</v>
      </c>
      <c r="J198" s="184">
        <f t="shared" si="148"/>
        <v>3000</v>
      </c>
      <c r="K198" s="184">
        <f t="shared" si="148"/>
        <v>0</v>
      </c>
      <c r="L198" s="184">
        <f t="shared" si="148"/>
        <v>0</v>
      </c>
      <c r="M198" s="184">
        <f t="shared" si="148"/>
        <v>0</v>
      </c>
      <c r="N198" s="184">
        <f t="shared" si="148"/>
        <v>0</v>
      </c>
      <c r="O198" s="184">
        <f t="shared" si="148"/>
        <v>0</v>
      </c>
      <c r="P198" s="184">
        <f t="shared" si="148"/>
        <v>0</v>
      </c>
      <c r="Q198" s="184">
        <f t="shared" si="148"/>
        <v>0</v>
      </c>
      <c r="R198" s="184">
        <f t="shared" si="148"/>
        <v>3000</v>
      </c>
      <c r="S198" s="184">
        <f t="shared" si="148"/>
        <v>3000</v>
      </c>
      <c r="T198" s="84"/>
      <c r="U198" s="84"/>
      <c r="V198" s="84"/>
      <c r="W198" s="84"/>
      <c r="X198" s="97"/>
      <c r="Y198" s="209"/>
      <c r="Z198" s="209"/>
      <c r="AA198" s="226"/>
      <c r="AB198" s="243"/>
      <c r="AC198" s="158"/>
      <c r="AE198" s="159"/>
      <c r="AM198" s="77"/>
      <c r="AN198" s="77"/>
    </row>
    <row r="199" spans="1:40" s="85" customFormat="1" ht="33.75" x14ac:dyDescent="0.2">
      <c r="A199" s="363" t="s">
        <v>470</v>
      </c>
      <c r="B199" s="364" t="s">
        <v>537</v>
      </c>
      <c r="C199" s="365" t="s">
        <v>169</v>
      </c>
      <c r="D199" s="365" t="s">
        <v>538</v>
      </c>
      <c r="E199" s="365" t="s">
        <v>490</v>
      </c>
      <c r="F199" s="365" t="s">
        <v>539</v>
      </c>
      <c r="G199" s="366">
        <v>6560</v>
      </c>
      <c r="H199" s="366"/>
      <c r="I199" s="366"/>
      <c r="J199" s="367">
        <v>3000</v>
      </c>
      <c r="K199" s="366"/>
      <c r="L199" s="368"/>
      <c r="M199" s="369"/>
      <c r="N199" s="370"/>
      <c r="O199" s="368"/>
      <c r="P199" s="368"/>
      <c r="Q199" s="368"/>
      <c r="R199" s="368">
        <f t="shared" si="146"/>
        <v>3000</v>
      </c>
      <c r="S199" s="367">
        <f t="shared" ref="S199" si="149">J199</f>
        <v>3000</v>
      </c>
      <c r="T199" s="368"/>
      <c r="U199" s="368"/>
      <c r="V199" s="368"/>
      <c r="W199" s="368"/>
      <c r="X199" s="371"/>
      <c r="Y199" s="209"/>
      <c r="Z199" s="209"/>
      <c r="AA199" s="226" t="s">
        <v>124</v>
      </c>
      <c r="AB199" s="250" t="s">
        <v>271</v>
      </c>
      <c r="AC199" s="158"/>
      <c r="AE199" s="159"/>
      <c r="AM199" s="77"/>
      <c r="AN199" s="77"/>
    </row>
    <row r="200" spans="1:40" ht="13.5" x14ac:dyDescent="0.2">
      <c r="A200" s="263"/>
      <c r="B200" s="263"/>
      <c r="C200" s="124"/>
      <c r="D200" s="124"/>
      <c r="E200" s="124"/>
      <c r="K200" s="74"/>
      <c r="N200" s="76"/>
      <c r="O200" s="76"/>
      <c r="X200" s="98"/>
      <c r="Y200" s="98"/>
      <c r="Z200" s="98"/>
    </row>
    <row r="201" spans="1:40" hidden="1" x14ac:dyDescent="0.2">
      <c r="A201" s="118"/>
      <c r="B201" s="122" t="s">
        <v>414</v>
      </c>
      <c r="C201" s="122"/>
      <c r="D201" s="122"/>
      <c r="E201" s="122"/>
      <c r="F201" s="122"/>
      <c r="G201" s="121">
        <f t="shared" ref="G201:V201" si="150">SUM(G202:G218)</f>
        <v>1478398</v>
      </c>
      <c r="H201" s="121">
        <f t="shared" si="150"/>
        <v>0</v>
      </c>
      <c r="I201" s="121">
        <f t="shared" si="150"/>
        <v>501974.49300000002</v>
      </c>
      <c r="J201" s="121">
        <f t="shared" si="150"/>
        <v>343540.50199999998</v>
      </c>
      <c r="K201" s="121">
        <f t="shared" si="150"/>
        <v>0</v>
      </c>
      <c r="L201" s="121">
        <f t="shared" si="150"/>
        <v>392728.45</v>
      </c>
      <c r="M201" s="121">
        <f t="shared" si="150"/>
        <v>0</v>
      </c>
      <c r="N201" s="121">
        <f t="shared" si="150"/>
        <v>36226.052000000003</v>
      </c>
      <c r="O201" s="121">
        <f t="shared" si="150"/>
        <v>30025.052</v>
      </c>
      <c r="P201" s="121">
        <f t="shared" si="150"/>
        <v>0</v>
      </c>
      <c r="Q201" s="121">
        <f t="shared" si="150"/>
        <v>0</v>
      </c>
      <c r="R201" s="121">
        <f t="shared" si="150"/>
        <v>342352.19299999997</v>
      </c>
      <c r="S201" s="121">
        <f t="shared" si="150"/>
        <v>343540.50199999998</v>
      </c>
      <c r="T201" s="121">
        <f t="shared" si="150"/>
        <v>0</v>
      </c>
      <c r="U201" s="121">
        <f t="shared" si="150"/>
        <v>0</v>
      </c>
      <c r="V201" s="121">
        <f t="shared" si="150"/>
        <v>0</v>
      </c>
      <c r="W201" s="123">
        <f>N201/J201*100</f>
        <v>10.544914439229643</v>
      </c>
      <c r="X201" s="122"/>
      <c r="Y201" s="220"/>
      <c r="Z201" s="222"/>
      <c r="AA201" s="251"/>
      <c r="AB201" s="252">
        <f>SUM(AB202:AB218)</f>
        <v>127</v>
      </c>
    </row>
    <row r="202" spans="1:40" hidden="1" x14ac:dyDescent="0.2">
      <c r="A202" s="112">
        <v>1</v>
      </c>
      <c r="B202" s="113" t="s">
        <v>271</v>
      </c>
      <c r="C202" s="111"/>
      <c r="D202" s="111"/>
      <c r="E202" s="111"/>
      <c r="F202" s="111"/>
      <c r="G202" s="110">
        <f t="shared" ref="G202:G218" si="151">SUMIF($AB$16:$AB$199,B202,$G$16:$G$199)</f>
        <v>1411126</v>
      </c>
      <c r="H202" s="111"/>
      <c r="I202" s="110">
        <f t="shared" ref="I202:I218" si="152">SUMIF($AB$16:$AB$199,B202,$I$16:$I$199)</f>
        <v>468432.49300000002</v>
      </c>
      <c r="J202" s="110">
        <f t="shared" ref="J202:J218" si="153">SUMIF($AB$16:$AB$199,B202,$J$16:$J$199)</f>
        <v>323542.50199999998</v>
      </c>
      <c r="K202" s="111"/>
      <c r="L202" s="127">
        <f t="shared" ref="L202:L218" si="154">SUMIF($AB$16:$AB$199,B202,$L$16:$L$199)</f>
        <v>369155.45</v>
      </c>
      <c r="M202" s="110">
        <f t="shared" ref="M202:M218" si="155">SUMIF($AB$16:$AB$199,B202,$M$16:$M$199)</f>
        <v>0</v>
      </c>
      <c r="N202" s="110">
        <f t="shared" ref="N202:N218" si="156">SUMIF($AB$16:$AB$199,B202,$N$16:$N$199)</f>
        <v>35726.052000000003</v>
      </c>
      <c r="O202" s="110">
        <f t="shared" ref="O202:O218" si="157">SUMIF($AB$16:$AB$199,B202,$O$16:$O$199)</f>
        <v>29525.052</v>
      </c>
      <c r="P202" s="110">
        <f t="shared" ref="P202:P218" si="158">SUMIF($AB$16:$AB$199,B202,$P$16:$P$199)</f>
        <v>0</v>
      </c>
      <c r="Q202" s="110">
        <f t="shared" ref="Q202:Q218" si="159">SUMIF($AB$16:$AB$199,B202,$Q$16:$Q$199)</f>
        <v>0</v>
      </c>
      <c r="R202" s="110">
        <f t="shared" ref="R202:R218" si="160">SUMIF($AB$16:$AB$199,B202,$R$16:$R$199)</f>
        <v>322354.19299999997</v>
      </c>
      <c r="S202" s="110">
        <f t="shared" ref="S202:S218" si="161">SUMIF($AB$16:$AB$199,B202,$S$16:$S$199)</f>
        <v>323542.50199999998</v>
      </c>
      <c r="T202" s="114"/>
      <c r="U202" s="114"/>
      <c r="V202" s="114"/>
      <c r="W202" s="119">
        <f>N202/J202*100</f>
        <v>11.042151117444226</v>
      </c>
      <c r="X202" s="111"/>
      <c r="Y202" s="221"/>
      <c r="AA202" s="253"/>
      <c r="AB202" s="254">
        <f t="shared" ref="AB202:AB218" si="162">COUNTIF($AB$12:$AB$199,B202)</f>
        <v>81</v>
      </c>
    </row>
    <row r="203" spans="1:40" hidden="1" x14ac:dyDescent="0.2">
      <c r="A203" s="112">
        <v>2</v>
      </c>
      <c r="B203" s="111" t="s">
        <v>413</v>
      </c>
      <c r="C203" s="111"/>
      <c r="D203" s="111"/>
      <c r="E203" s="111"/>
      <c r="F203" s="111"/>
      <c r="G203" s="110">
        <f t="shared" si="151"/>
        <v>830</v>
      </c>
      <c r="H203" s="111"/>
      <c r="I203" s="110">
        <f t="shared" si="152"/>
        <v>0</v>
      </c>
      <c r="J203" s="110">
        <f t="shared" si="153"/>
        <v>57</v>
      </c>
      <c r="K203" s="111"/>
      <c r="L203" s="127">
        <f t="shared" si="154"/>
        <v>0</v>
      </c>
      <c r="M203" s="110">
        <f t="shared" si="155"/>
        <v>0</v>
      </c>
      <c r="N203" s="110">
        <f t="shared" si="156"/>
        <v>0</v>
      </c>
      <c r="O203" s="110">
        <f t="shared" si="157"/>
        <v>0</v>
      </c>
      <c r="P203" s="110">
        <f t="shared" si="158"/>
        <v>0</v>
      </c>
      <c r="Q203" s="110">
        <f t="shared" si="159"/>
        <v>0</v>
      </c>
      <c r="R203" s="110">
        <f t="shared" si="160"/>
        <v>57</v>
      </c>
      <c r="S203" s="110">
        <f t="shared" si="161"/>
        <v>57</v>
      </c>
      <c r="T203" s="114"/>
      <c r="U203" s="114"/>
      <c r="V203" s="114"/>
      <c r="W203" s="119">
        <f t="shared" ref="W203:W218" si="163">N203/J203*100</f>
        <v>0</v>
      </c>
      <c r="X203" s="111"/>
      <c r="Y203" s="221"/>
      <c r="AA203" s="253"/>
      <c r="AB203" s="254">
        <f t="shared" si="162"/>
        <v>1</v>
      </c>
    </row>
    <row r="204" spans="1:40" hidden="1" x14ac:dyDescent="0.2">
      <c r="A204" s="112">
        <v>3</v>
      </c>
      <c r="B204" s="74" t="s">
        <v>412</v>
      </c>
      <c r="C204" s="111"/>
      <c r="D204" s="111"/>
      <c r="E204" s="111"/>
      <c r="F204" s="111"/>
      <c r="G204" s="110">
        <f t="shared" si="151"/>
        <v>2050</v>
      </c>
      <c r="H204" s="111"/>
      <c r="I204" s="110">
        <f t="shared" si="152"/>
        <v>1600</v>
      </c>
      <c r="J204" s="110">
        <f t="shared" si="153"/>
        <v>380</v>
      </c>
      <c r="K204" s="111"/>
      <c r="L204" s="127">
        <f t="shared" si="154"/>
        <v>1800</v>
      </c>
      <c r="M204" s="110">
        <f t="shared" si="155"/>
        <v>0</v>
      </c>
      <c r="N204" s="110">
        <f t="shared" si="156"/>
        <v>0</v>
      </c>
      <c r="O204" s="110">
        <f t="shared" si="157"/>
        <v>0</v>
      </c>
      <c r="P204" s="110">
        <f t="shared" si="158"/>
        <v>0</v>
      </c>
      <c r="Q204" s="110">
        <f t="shared" si="159"/>
        <v>0</v>
      </c>
      <c r="R204" s="110">
        <f t="shared" si="160"/>
        <v>380</v>
      </c>
      <c r="S204" s="110">
        <f t="shared" si="161"/>
        <v>380</v>
      </c>
      <c r="T204" s="114"/>
      <c r="U204" s="114"/>
      <c r="V204" s="114"/>
      <c r="W204" s="119">
        <f t="shared" si="163"/>
        <v>0</v>
      </c>
      <c r="X204" s="111"/>
      <c r="Y204" s="221"/>
      <c r="AA204" s="253"/>
      <c r="AB204" s="254">
        <f t="shared" si="162"/>
        <v>1</v>
      </c>
    </row>
    <row r="205" spans="1:40" hidden="1" x14ac:dyDescent="0.2">
      <c r="A205" s="112">
        <v>4</v>
      </c>
      <c r="B205" s="115" t="s">
        <v>360</v>
      </c>
      <c r="C205" s="111"/>
      <c r="D205" s="111"/>
      <c r="E205" s="111"/>
      <c r="F205" s="111"/>
      <c r="G205" s="110">
        <f t="shared" si="151"/>
        <v>1500</v>
      </c>
      <c r="H205" s="111"/>
      <c r="I205" s="110">
        <f t="shared" si="152"/>
        <v>1000</v>
      </c>
      <c r="J205" s="110">
        <f t="shared" si="153"/>
        <v>450</v>
      </c>
      <c r="K205" s="111"/>
      <c r="L205" s="127">
        <f t="shared" si="154"/>
        <v>450</v>
      </c>
      <c r="M205" s="110">
        <f t="shared" si="155"/>
        <v>0</v>
      </c>
      <c r="N205" s="110">
        <f t="shared" si="156"/>
        <v>0</v>
      </c>
      <c r="O205" s="110">
        <f t="shared" si="157"/>
        <v>0</v>
      </c>
      <c r="P205" s="110">
        <f t="shared" si="158"/>
        <v>0</v>
      </c>
      <c r="Q205" s="110">
        <f t="shared" si="159"/>
        <v>0</v>
      </c>
      <c r="R205" s="110">
        <f t="shared" si="160"/>
        <v>450</v>
      </c>
      <c r="S205" s="110">
        <f t="shared" si="161"/>
        <v>450</v>
      </c>
      <c r="T205" s="114"/>
      <c r="U205" s="114"/>
      <c r="V205" s="114"/>
      <c r="W205" s="119">
        <f t="shared" si="163"/>
        <v>0</v>
      </c>
      <c r="X205" s="111"/>
      <c r="Y205" s="221"/>
      <c r="AA205" s="253"/>
      <c r="AB205" s="254">
        <f t="shared" si="162"/>
        <v>1</v>
      </c>
    </row>
    <row r="206" spans="1:40" hidden="1" x14ac:dyDescent="0.2">
      <c r="A206" s="112">
        <v>5</v>
      </c>
      <c r="B206" s="116" t="s">
        <v>277</v>
      </c>
      <c r="C206" s="111"/>
      <c r="D206" s="111"/>
      <c r="E206" s="111"/>
      <c r="F206" s="111"/>
      <c r="G206" s="110">
        <f t="shared" si="151"/>
        <v>5150</v>
      </c>
      <c r="H206" s="111"/>
      <c r="I206" s="110">
        <f t="shared" si="152"/>
        <v>2800</v>
      </c>
      <c r="J206" s="110">
        <f t="shared" si="153"/>
        <v>800</v>
      </c>
      <c r="K206" s="111"/>
      <c r="L206" s="127">
        <f t="shared" si="154"/>
        <v>1460</v>
      </c>
      <c r="M206" s="110">
        <f t="shared" si="155"/>
        <v>0</v>
      </c>
      <c r="N206" s="110">
        <f t="shared" si="156"/>
        <v>0</v>
      </c>
      <c r="O206" s="110">
        <f t="shared" si="157"/>
        <v>0</v>
      </c>
      <c r="P206" s="110">
        <f t="shared" si="158"/>
        <v>0</v>
      </c>
      <c r="Q206" s="110">
        <f t="shared" si="159"/>
        <v>0</v>
      </c>
      <c r="R206" s="110">
        <f t="shared" si="160"/>
        <v>800</v>
      </c>
      <c r="S206" s="110">
        <f t="shared" si="161"/>
        <v>800</v>
      </c>
      <c r="T206" s="114"/>
      <c r="U206" s="114"/>
      <c r="V206" s="114"/>
      <c r="W206" s="119">
        <f t="shared" si="163"/>
        <v>0</v>
      </c>
      <c r="X206" s="111"/>
      <c r="Y206" s="221"/>
      <c r="AA206" s="253"/>
      <c r="AB206" s="254">
        <f t="shared" si="162"/>
        <v>2</v>
      </c>
    </row>
    <row r="207" spans="1:40" hidden="1" x14ac:dyDescent="0.2">
      <c r="A207" s="112">
        <v>6</v>
      </c>
      <c r="B207" s="115" t="s">
        <v>282</v>
      </c>
      <c r="C207" s="111"/>
      <c r="D207" s="111"/>
      <c r="E207" s="111"/>
      <c r="F207" s="111"/>
      <c r="G207" s="110">
        <f t="shared" si="151"/>
        <v>2662</v>
      </c>
      <c r="H207" s="111"/>
      <c r="I207" s="110">
        <f t="shared" si="152"/>
        <v>1430</v>
      </c>
      <c r="J207" s="110">
        <f t="shared" si="153"/>
        <v>1050</v>
      </c>
      <c r="K207" s="111"/>
      <c r="L207" s="127">
        <f t="shared" si="154"/>
        <v>799</v>
      </c>
      <c r="M207" s="110">
        <f t="shared" si="155"/>
        <v>0</v>
      </c>
      <c r="N207" s="110">
        <f t="shared" si="156"/>
        <v>0</v>
      </c>
      <c r="O207" s="110">
        <f t="shared" si="157"/>
        <v>0</v>
      </c>
      <c r="P207" s="110">
        <f t="shared" si="158"/>
        <v>0</v>
      </c>
      <c r="Q207" s="110">
        <f t="shared" si="159"/>
        <v>0</v>
      </c>
      <c r="R207" s="110">
        <f t="shared" si="160"/>
        <v>1050</v>
      </c>
      <c r="S207" s="110">
        <f t="shared" si="161"/>
        <v>1050</v>
      </c>
      <c r="T207" s="114"/>
      <c r="U207" s="114"/>
      <c r="V207" s="114"/>
      <c r="W207" s="119">
        <f t="shared" si="163"/>
        <v>0</v>
      </c>
      <c r="X207" s="111"/>
      <c r="Y207" s="221"/>
      <c r="AA207" s="253"/>
      <c r="AB207" s="254">
        <f t="shared" si="162"/>
        <v>3</v>
      </c>
    </row>
    <row r="208" spans="1:40" hidden="1" x14ac:dyDescent="0.2">
      <c r="A208" s="112">
        <v>7</v>
      </c>
      <c r="B208" s="115" t="s">
        <v>280</v>
      </c>
      <c r="C208" s="111"/>
      <c r="D208" s="111"/>
      <c r="E208" s="111"/>
      <c r="F208" s="111"/>
      <c r="G208" s="110">
        <f t="shared" si="151"/>
        <v>5420</v>
      </c>
      <c r="H208" s="111"/>
      <c r="I208" s="110">
        <f t="shared" si="152"/>
        <v>2750</v>
      </c>
      <c r="J208" s="110">
        <f t="shared" si="153"/>
        <v>2355</v>
      </c>
      <c r="K208" s="111"/>
      <c r="L208" s="127">
        <f t="shared" si="154"/>
        <v>1369</v>
      </c>
      <c r="M208" s="110">
        <f t="shared" si="155"/>
        <v>0</v>
      </c>
      <c r="N208" s="110">
        <f t="shared" si="156"/>
        <v>500</v>
      </c>
      <c r="O208" s="110">
        <f t="shared" si="157"/>
        <v>500</v>
      </c>
      <c r="P208" s="110">
        <f t="shared" si="158"/>
        <v>0</v>
      </c>
      <c r="Q208" s="110">
        <f t="shared" si="159"/>
        <v>0</v>
      </c>
      <c r="R208" s="110">
        <f t="shared" si="160"/>
        <v>2355</v>
      </c>
      <c r="S208" s="110">
        <f t="shared" si="161"/>
        <v>2355</v>
      </c>
      <c r="T208" s="114"/>
      <c r="U208" s="114"/>
      <c r="V208" s="114"/>
      <c r="W208" s="119">
        <f t="shared" si="163"/>
        <v>21.231422505307858</v>
      </c>
      <c r="X208" s="111"/>
      <c r="Y208" s="221"/>
      <c r="AA208" s="253"/>
      <c r="AB208" s="254">
        <f t="shared" si="162"/>
        <v>7</v>
      </c>
      <c r="AE208" s="74">
        <v>7</v>
      </c>
      <c r="AF208" s="77">
        <f>J208</f>
        <v>2355</v>
      </c>
    </row>
    <row r="209" spans="1:32" hidden="1" x14ac:dyDescent="0.2">
      <c r="A209" s="112">
        <v>8</v>
      </c>
      <c r="B209" s="115" t="s">
        <v>273</v>
      </c>
      <c r="C209" s="111"/>
      <c r="D209" s="111"/>
      <c r="E209" s="111"/>
      <c r="F209" s="111"/>
      <c r="G209" s="110">
        <f t="shared" si="151"/>
        <v>7480</v>
      </c>
      <c r="H209" s="111"/>
      <c r="I209" s="110">
        <f t="shared" si="152"/>
        <v>3810</v>
      </c>
      <c r="J209" s="110">
        <f t="shared" si="153"/>
        <v>2607</v>
      </c>
      <c r="K209" s="111"/>
      <c r="L209" s="127">
        <f t="shared" si="154"/>
        <v>3405</v>
      </c>
      <c r="M209" s="110">
        <f t="shared" si="155"/>
        <v>0</v>
      </c>
      <c r="N209" s="110">
        <f t="shared" si="156"/>
        <v>0</v>
      </c>
      <c r="O209" s="110">
        <f t="shared" si="157"/>
        <v>0</v>
      </c>
      <c r="P209" s="110">
        <f t="shared" si="158"/>
        <v>0</v>
      </c>
      <c r="Q209" s="110">
        <f t="shared" si="159"/>
        <v>0</v>
      </c>
      <c r="R209" s="110">
        <f t="shared" si="160"/>
        <v>2607</v>
      </c>
      <c r="S209" s="110">
        <f t="shared" si="161"/>
        <v>2607</v>
      </c>
      <c r="T209" s="114"/>
      <c r="U209" s="114"/>
      <c r="V209" s="114"/>
      <c r="W209" s="119">
        <f t="shared" si="163"/>
        <v>0</v>
      </c>
      <c r="X209" s="111"/>
      <c r="Y209" s="221"/>
      <c r="AA209" s="253"/>
      <c r="AB209" s="254">
        <f t="shared" si="162"/>
        <v>4</v>
      </c>
      <c r="AF209" s="77"/>
    </row>
    <row r="210" spans="1:32" hidden="1" x14ac:dyDescent="0.2">
      <c r="A210" s="112">
        <v>9</v>
      </c>
      <c r="B210" s="117" t="s">
        <v>279</v>
      </c>
      <c r="C210" s="111"/>
      <c r="D210" s="111"/>
      <c r="E210" s="111"/>
      <c r="F210" s="111"/>
      <c r="G210" s="110">
        <f t="shared" si="151"/>
        <v>2300</v>
      </c>
      <c r="H210" s="111"/>
      <c r="I210" s="110">
        <f t="shared" si="152"/>
        <v>0</v>
      </c>
      <c r="J210" s="110">
        <f t="shared" si="153"/>
        <v>1350</v>
      </c>
      <c r="K210" s="111"/>
      <c r="L210" s="127">
        <f t="shared" si="154"/>
        <v>0</v>
      </c>
      <c r="M210" s="110">
        <f t="shared" si="155"/>
        <v>0</v>
      </c>
      <c r="N210" s="110">
        <f t="shared" si="156"/>
        <v>0</v>
      </c>
      <c r="O210" s="110">
        <f t="shared" si="157"/>
        <v>0</v>
      </c>
      <c r="P210" s="110">
        <f t="shared" si="158"/>
        <v>0</v>
      </c>
      <c r="Q210" s="110">
        <f t="shared" si="159"/>
        <v>0</v>
      </c>
      <c r="R210" s="110">
        <f t="shared" si="160"/>
        <v>1350</v>
      </c>
      <c r="S210" s="110">
        <f t="shared" si="161"/>
        <v>1350</v>
      </c>
      <c r="T210" s="114"/>
      <c r="U210" s="114"/>
      <c r="V210" s="114"/>
      <c r="W210" s="119">
        <f t="shared" si="163"/>
        <v>0</v>
      </c>
      <c r="X210" s="111"/>
      <c r="Y210" s="221"/>
      <c r="AA210" s="253"/>
      <c r="AB210" s="254">
        <f t="shared" si="162"/>
        <v>2</v>
      </c>
    </row>
    <row r="211" spans="1:32" hidden="1" x14ac:dyDescent="0.2">
      <c r="A211" s="112">
        <v>10</v>
      </c>
      <c r="B211" s="115" t="s">
        <v>359</v>
      </c>
      <c r="C211" s="111"/>
      <c r="D211" s="111"/>
      <c r="E211" s="111"/>
      <c r="F211" s="111"/>
      <c r="G211" s="110">
        <f t="shared" si="151"/>
        <v>3600</v>
      </c>
      <c r="H211" s="111"/>
      <c r="I211" s="110">
        <f t="shared" si="152"/>
        <v>1900</v>
      </c>
      <c r="J211" s="110">
        <f t="shared" si="153"/>
        <v>1400</v>
      </c>
      <c r="K211" s="111"/>
      <c r="L211" s="127">
        <f t="shared" si="154"/>
        <v>2000</v>
      </c>
      <c r="M211" s="110">
        <f t="shared" si="155"/>
        <v>0</v>
      </c>
      <c r="N211" s="110">
        <f t="shared" si="156"/>
        <v>0</v>
      </c>
      <c r="O211" s="110">
        <f t="shared" si="157"/>
        <v>0</v>
      </c>
      <c r="P211" s="110">
        <f t="shared" si="158"/>
        <v>0</v>
      </c>
      <c r="Q211" s="110">
        <f t="shared" si="159"/>
        <v>0</v>
      </c>
      <c r="R211" s="110">
        <f t="shared" si="160"/>
        <v>1400</v>
      </c>
      <c r="S211" s="110">
        <f t="shared" si="161"/>
        <v>1400</v>
      </c>
      <c r="T211" s="114"/>
      <c r="U211" s="114"/>
      <c r="V211" s="114"/>
      <c r="W211" s="119">
        <f t="shared" si="163"/>
        <v>0</v>
      </c>
      <c r="X211" s="111"/>
      <c r="Y211" s="221"/>
      <c r="AA211" s="253"/>
      <c r="AB211" s="254">
        <f t="shared" si="162"/>
        <v>1</v>
      </c>
    </row>
    <row r="212" spans="1:32" hidden="1" x14ac:dyDescent="0.2">
      <c r="A212" s="112">
        <v>11</v>
      </c>
      <c r="B212" s="115" t="s">
        <v>283</v>
      </c>
      <c r="C212" s="111"/>
      <c r="D212" s="111"/>
      <c r="E212" s="111"/>
      <c r="F212" s="111"/>
      <c r="G212" s="110">
        <f t="shared" si="151"/>
        <v>600</v>
      </c>
      <c r="H212" s="111"/>
      <c r="I212" s="110">
        <f t="shared" si="152"/>
        <v>400</v>
      </c>
      <c r="J212" s="110">
        <f t="shared" si="153"/>
        <v>170</v>
      </c>
      <c r="K212" s="111"/>
      <c r="L212" s="127">
        <f t="shared" si="154"/>
        <v>111</v>
      </c>
      <c r="M212" s="110">
        <f t="shared" si="155"/>
        <v>0</v>
      </c>
      <c r="N212" s="110">
        <f t="shared" si="156"/>
        <v>0</v>
      </c>
      <c r="O212" s="110">
        <f t="shared" si="157"/>
        <v>0</v>
      </c>
      <c r="P212" s="110">
        <f t="shared" si="158"/>
        <v>0</v>
      </c>
      <c r="Q212" s="110">
        <f t="shared" si="159"/>
        <v>0</v>
      </c>
      <c r="R212" s="110">
        <f t="shared" si="160"/>
        <v>170</v>
      </c>
      <c r="S212" s="110">
        <f t="shared" si="161"/>
        <v>170</v>
      </c>
      <c r="T212" s="114"/>
      <c r="U212" s="114"/>
      <c r="V212" s="114"/>
      <c r="W212" s="119">
        <f t="shared" si="163"/>
        <v>0</v>
      </c>
      <c r="X212" s="111"/>
      <c r="Y212" s="221"/>
      <c r="AA212" s="253"/>
      <c r="AB212" s="254">
        <f t="shared" si="162"/>
        <v>2</v>
      </c>
    </row>
    <row r="213" spans="1:32" hidden="1" x14ac:dyDescent="0.2">
      <c r="A213" s="112">
        <v>12</v>
      </c>
      <c r="B213" s="115" t="s">
        <v>275</v>
      </c>
      <c r="C213" s="111"/>
      <c r="D213" s="111"/>
      <c r="E213" s="111"/>
      <c r="F213" s="111"/>
      <c r="G213" s="110">
        <f t="shared" si="151"/>
        <v>4700</v>
      </c>
      <c r="H213" s="111"/>
      <c r="I213" s="110">
        <f t="shared" si="152"/>
        <v>1957</v>
      </c>
      <c r="J213" s="110">
        <f t="shared" si="153"/>
        <v>2028</v>
      </c>
      <c r="K213" s="111"/>
      <c r="L213" s="127">
        <f t="shared" si="154"/>
        <v>1560</v>
      </c>
      <c r="M213" s="110">
        <f t="shared" si="155"/>
        <v>0</v>
      </c>
      <c r="N213" s="110">
        <f t="shared" si="156"/>
        <v>0</v>
      </c>
      <c r="O213" s="110">
        <f t="shared" si="157"/>
        <v>0</v>
      </c>
      <c r="P213" s="110">
        <f t="shared" si="158"/>
        <v>0</v>
      </c>
      <c r="Q213" s="110">
        <f t="shared" si="159"/>
        <v>0</v>
      </c>
      <c r="R213" s="110">
        <f t="shared" si="160"/>
        <v>2028</v>
      </c>
      <c r="S213" s="110">
        <f t="shared" si="161"/>
        <v>2028</v>
      </c>
      <c r="T213" s="114"/>
      <c r="U213" s="114"/>
      <c r="V213" s="114"/>
      <c r="W213" s="119">
        <f t="shared" si="163"/>
        <v>0</v>
      </c>
      <c r="X213" s="111"/>
      <c r="Y213" s="221"/>
      <c r="AA213" s="253"/>
      <c r="AB213" s="254">
        <f t="shared" si="162"/>
        <v>2</v>
      </c>
      <c r="AE213" s="74">
        <v>3</v>
      </c>
      <c r="AF213" s="77">
        <f>J213</f>
        <v>2028</v>
      </c>
    </row>
    <row r="214" spans="1:32" hidden="1" x14ac:dyDescent="0.2">
      <c r="A214" s="112">
        <v>13</v>
      </c>
      <c r="B214" s="115" t="s">
        <v>281</v>
      </c>
      <c r="C214" s="111"/>
      <c r="D214" s="111"/>
      <c r="E214" s="111"/>
      <c r="F214" s="111"/>
      <c r="G214" s="110">
        <f t="shared" si="151"/>
        <v>9000</v>
      </c>
      <c r="H214" s="111"/>
      <c r="I214" s="110">
        <f t="shared" si="152"/>
        <v>5195</v>
      </c>
      <c r="J214" s="110">
        <f t="shared" si="153"/>
        <v>1080</v>
      </c>
      <c r="K214" s="111"/>
      <c r="L214" s="127">
        <f t="shared" si="154"/>
        <v>4000</v>
      </c>
      <c r="M214" s="110">
        <f t="shared" si="155"/>
        <v>0</v>
      </c>
      <c r="N214" s="110">
        <f t="shared" si="156"/>
        <v>0</v>
      </c>
      <c r="O214" s="110">
        <f t="shared" si="157"/>
        <v>0</v>
      </c>
      <c r="P214" s="110">
        <f t="shared" si="158"/>
        <v>0</v>
      </c>
      <c r="Q214" s="110">
        <f t="shared" si="159"/>
        <v>0</v>
      </c>
      <c r="R214" s="110">
        <f t="shared" si="160"/>
        <v>1080</v>
      </c>
      <c r="S214" s="110">
        <f t="shared" si="161"/>
        <v>1080</v>
      </c>
      <c r="T214" s="114"/>
      <c r="U214" s="114"/>
      <c r="V214" s="114"/>
      <c r="W214" s="119">
        <f t="shared" si="163"/>
        <v>0</v>
      </c>
      <c r="X214" s="111"/>
      <c r="Y214" s="221"/>
      <c r="AA214" s="253"/>
      <c r="AB214" s="254">
        <f t="shared" si="162"/>
        <v>2</v>
      </c>
    </row>
    <row r="215" spans="1:32" hidden="1" x14ac:dyDescent="0.2">
      <c r="A215" s="112">
        <v>14</v>
      </c>
      <c r="B215" s="115" t="s">
        <v>274</v>
      </c>
      <c r="C215" s="111"/>
      <c r="D215" s="111"/>
      <c r="E215" s="111"/>
      <c r="F215" s="111"/>
      <c r="G215" s="110">
        <f t="shared" si="151"/>
        <v>4690</v>
      </c>
      <c r="H215" s="111"/>
      <c r="I215" s="110">
        <f t="shared" si="152"/>
        <v>1300</v>
      </c>
      <c r="J215" s="110">
        <f t="shared" si="153"/>
        <v>2205</v>
      </c>
      <c r="K215" s="111"/>
      <c r="L215" s="127">
        <f t="shared" si="154"/>
        <v>540</v>
      </c>
      <c r="M215" s="110">
        <f t="shared" si="155"/>
        <v>0</v>
      </c>
      <c r="N215" s="110">
        <f t="shared" si="156"/>
        <v>0</v>
      </c>
      <c r="O215" s="110">
        <f t="shared" si="157"/>
        <v>0</v>
      </c>
      <c r="P215" s="110">
        <f t="shared" si="158"/>
        <v>0</v>
      </c>
      <c r="Q215" s="110">
        <f t="shared" si="159"/>
        <v>0</v>
      </c>
      <c r="R215" s="110">
        <f t="shared" si="160"/>
        <v>2205</v>
      </c>
      <c r="S215" s="110">
        <f t="shared" si="161"/>
        <v>2205</v>
      </c>
      <c r="T215" s="114"/>
      <c r="U215" s="114"/>
      <c r="V215" s="114"/>
      <c r="W215" s="119">
        <f t="shared" si="163"/>
        <v>0</v>
      </c>
      <c r="X215" s="111"/>
      <c r="Y215" s="221"/>
      <c r="AA215" s="253"/>
      <c r="AB215" s="254">
        <f t="shared" si="162"/>
        <v>7</v>
      </c>
      <c r="AE215" s="74">
        <v>5</v>
      </c>
      <c r="AF215" s="77">
        <f>J215</f>
        <v>2205</v>
      </c>
    </row>
    <row r="216" spans="1:32" hidden="1" x14ac:dyDescent="0.2">
      <c r="A216" s="112">
        <v>15</v>
      </c>
      <c r="B216" s="115" t="s">
        <v>272</v>
      </c>
      <c r="C216" s="111"/>
      <c r="D216" s="111"/>
      <c r="E216" s="111"/>
      <c r="F216" s="111"/>
      <c r="G216" s="110">
        <f t="shared" si="151"/>
        <v>2290</v>
      </c>
      <c r="H216" s="111"/>
      <c r="I216" s="110">
        <f t="shared" si="152"/>
        <v>1500</v>
      </c>
      <c r="J216" s="110">
        <f t="shared" si="153"/>
        <v>605</v>
      </c>
      <c r="K216" s="111"/>
      <c r="L216" s="127">
        <f t="shared" si="154"/>
        <v>579</v>
      </c>
      <c r="M216" s="110">
        <f t="shared" si="155"/>
        <v>0</v>
      </c>
      <c r="N216" s="110">
        <f t="shared" si="156"/>
        <v>0</v>
      </c>
      <c r="O216" s="110">
        <f t="shared" si="157"/>
        <v>0</v>
      </c>
      <c r="P216" s="110">
        <f t="shared" si="158"/>
        <v>0</v>
      </c>
      <c r="Q216" s="110">
        <f t="shared" si="159"/>
        <v>0</v>
      </c>
      <c r="R216" s="110">
        <f t="shared" si="160"/>
        <v>605</v>
      </c>
      <c r="S216" s="110">
        <f t="shared" si="161"/>
        <v>605</v>
      </c>
      <c r="T216" s="114"/>
      <c r="U216" s="114"/>
      <c r="V216" s="114"/>
      <c r="W216" s="119">
        <f t="shared" si="163"/>
        <v>0</v>
      </c>
      <c r="X216" s="111"/>
      <c r="Y216" s="221"/>
      <c r="AA216" s="253"/>
      <c r="AB216" s="254">
        <f t="shared" si="162"/>
        <v>4</v>
      </c>
      <c r="AE216" s="74">
        <v>6</v>
      </c>
      <c r="AF216" s="77">
        <f>J216</f>
        <v>605</v>
      </c>
    </row>
    <row r="217" spans="1:32" hidden="1" x14ac:dyDescent="0.2">
      <c r="A217" s="112">
        <v>16</v>
      </c>
      <c r="B217" s="115" t="s">
        <v>278</v>
      </c>
      <c r="C217" s="111"/>
      <c r="D217" s="111"/>
      <c r="E217" s="111"/>
      <c r="F217" s="111"/>
      <c r="G217" s="110">
        <f t="shared" si="151"/>
        <v>2000</v>
      </c>
      <c r="H217" s="111"/>
      <c r="I217" s="110">
        <f t="shared" si="152"/>
        <v>1100</v>
      </c>
      <c r="J217" s="110">
        <f t="shared" si="153"/>
        <v>600</v>
      </c>
      <c r="K217" s="111"/>
      <c r="L217" s="127">
        <f t="shared" si="154"/>
        <v>1000</v>
      </c>
      <c r="M217" s="110">
        <f t="shared" si="155"/>
        <v>0</v>
      </c>
      <c r="N217" s="110">
        <f t="shared" si="156"/>
        <v>0</v>
      </c>
      <c r="O217" s="110">
        <f t="shared" si="157"/>
        <v>0</v>
      </c>
      <c r="P217" s="110">
        <f t="shared" si="158"/>
        <v>0</v>
      </c>
      <c r="Q217" s="110">
        <f t="shared" si="159"/>
        <v>0</v>
      </c>
      <c r="R217" s="110">
        <f t="shared" si="160"/>
        <v>600</v>
      </c>
      <c r="S217" s="110">
        <f t="shared" si="161"/>
        <v>600</v>
      </c>
      <c r="T217" s="114"/>
      <c r="U217" s="114"/>
      <c r="V217" s="114"/>
      <c r="W217" s="119">
        <f t="shared" si="163"/>
        <v>0</v>
      </c>
      <c r="X217" s="111"/>
      <c r="Y217" s="221"/>
      <c r="AA217" s="253"/>
      <c r="AB217" s="254">
        <f t="shared" si="162"/>
        <v>1</v>
      </c>
      <c r="AE217" s="74">
        <v>3</v>
      </c>
      <c r="AF217" s="77">
        <f>J217</f>
        <v>600</v>
      </c>
    </row>
    <row r="218" spans="1:32" hidden="1" x14ac:dyDescent="0.2">
      <c r="A218" s="112">
        <v>17</v>
      </c>
      <c r="B218" s="115" t="s">
        <v>276</v>
      </c>
      <c r="C218" s="111"/>
      <c r="D218" s="111"/>
      <c r="E218" s="111"/>
      <c r="F218" s="111"/>
      <c r="G218" s="110">
        <f t="shared" si="151"/>
        <v>13000</v>
      </c>
      <c r="H218" s="111"/>
      <c r="I218" s="110">
        <f t="shared" si="152"/>
        <v>6800</v>
      </c>
      <c r="J218" s="110">
        <f t="shared" si="153"/>
        <v>2861</v>
      </c>
      <c r="K218" s="111"/>
      <c r="L218" s="127">
        <f t="shared" si="154"/>
        <v>4500</v>
      </c>
      <c r="M218" s="110">
        <f t="shared" si="155"/>
        <v>0</v>
      </c>
      <c r="N218" s="110">
        <f t="shared" si="156"/>
        <v>0</v>
      </c>
      <c r="O218" s="110">
        <f t="shared" si="157"/>
        <v>0</v>
      </c>
      <c r="P218" s="110">
        <f t="shared" si="158"/>
        <v>0</v>
      </c>
      <c r="Q218" s="110">
        <f t="shared" si="159"/>
        <v>0</v>
      </c>
      <c r="R218" s="110">
        <f t="shared" si="160"/>
        <v>2861</v>
      </c>
      <c r="S218" s="110">
        <f t="shared" si="161"/>
        <v>2861</v>
      </c>
      <c r="T218" s="114"/>
      <c r="U218" s="114"/>
      <c r="V218" s="114"/>
      <c r="W218" s="119">
        <f t="shared" si="163"/>
        <v>0</v>
      </c>
      <c r="X218" s="111"/>
      <c r="Y218" s="221"/>
      <c r="AA218" s="253"/>
      <c r="AB218" s="254">
        <f t="shared" si="162"/>
        <v>6</v>
      </c>
      <c r="AE218" s="74">
        <v>4</v>
      </c>
      <c r="AF218" s="77">
        <f>J218</f>
        <v>2861</v>
      </c>
    </row>
    <row r="219" spans="1:32" hidden="1" x14ac:dyDescent="0.2">
      <c r="A219" s="108"/>
      <c r="B219" s="109"/>
      <c r="K219" s="74"/>
      <c r="AE219" s="74">
        <f>SUM(AE208:AE218)</f>
        <v>28</v>
      </c>
    </row>
    <row r="220" spans="1:32" x14ac:dyDescent="0.2">
      <c r="A220" s="108"/>
      <c r="K220" s="74"/>
    </row>
    <row r="221" spans="1:32" x14ac:dyDescent="0.2">
      <c r="K221" s="74"/>
    </row>
    <row r="222" spans="1:32" x14ac:dyDescent="0.2">
      <c r="K222" s="74"/>
    </row>
    <row r="223" spans="1:32" x14ac:dyDescent="0.2">
      <c r="K223" s="74"/>
    </row>
    <row r="224" spans="1:32" x14ac:dyDescent="0.2">
      <c r="K224" s="74"/>
    </row>
    <row r="225" spans="7:19" x14ac:dyDescent="0.2">
      <c r="G225" s="77"/>
      <c r="J225" s="77"/>
      <c r="K225" s="74"/>
      <c r="L225" s="77"/>
      <c r="M225" s="77"/>
      <c r="N225" s="125"/>
      <c r="O225" s="125"/>
      <c r="P225" s="77">
        <f t="shared" ref="P225:S225" si="164">P8-P201</f>
        <v>0</v>
      </c>
      <c r="Q225" s="77">
        <f t="shared" si="164"/>
        <v>0</v>
      </c>
      <c r="R225" s="77">
        <f t="shared" si="164"/>
        <v>3428</v>
      </c>
      <c r="S225" s="77">
        <f t="shared" si="164"/>
        <v>5857</v>
      </c>
    </row>
    <row r="226" spans="7:19" x14ac:dyDescent="0.2">
      <c r="K226" s="74"/>
    </row>
    <row r="227" spans="7:19" x14ac:dyDescent="0.2">
      <c r="K227" s="74"/>
    </row>
    <row r="228" spans="7:19" x14ac:dyDescent="0.2">
      <c r="K228" s="74"/>
    </row>
    <row r="229" spans="7:19" x14ac:dyDescent="0.2">
      <c r="K229" s="74"/>
    </row>
    <row r="230" spans="7:19" x14ac:dyDescent="0.2">
      <c r="K230" s="74"/>
    </row>
    <row r="231" spans="7:19" x14ac:dyDescent="0.2">
      <c r="K231" s="74"/>
    </row>
    <row r="232" spans="7:19" x14ac:dyDescent="0.2">
      <c r="K232" s="74"/>
    </row>
    <row r="233" spans="7:19" x14ac:dyDescent="0.2">
      <c r="K233" s="74"/>
    </row>
    <row r="234" spans="7:19" x14ac:dyDescent="0.2">
      <c r="K234" s="74"/>
    </row>
    <row r="235" spans="7:19" x14ac:dyDescent="0.2">
      <c r="K235" s="74"/>
    </row>
    <row r="236" spans="7:19" x14ac:dyDescent="0.2">
      <c r="K236" s="74"/>
    </row>
    <row r="237" spans="7:19" x14ac:dyDescent="0.2">
      <c r="K237" s="74"/>
    </row>
    <row r="238" spans="7:19" x14ac:dyDescent="0.2">
      <c r="K238" s="74"/>
    </row>
    <row r="239" spans="7:19" x14ac:dyDescent="0.2">
      <c r="K239" s="74"/>
    </row>
    <row r="240" spans="7:19" x14ac:dyDescent="0.2">
      <c r="K240" s="74"/>
    </row>
    <row r="241" spans="11:11" x14ac:dyDescent="0.2">
      <c r="K241" s="74"/>
    </row>
    <row r="242" spans="11:11" x14ac:dyDescent="0.2">
      <c r="K242" s="74"/>
    </row>
    <row r="243" spans="11:11" x14ac:dyDescent="0.2">
      <c r="K243" s="74"/>
    </row>
    <row r="244" spans="11:11" x14ac:dyDescent="0.2">
      <c r="K244" s="74"/>
    </row>
    <row r="245" spans="11:11" x14ac:dyDescent="0.2">
      <c r="K245" s="74"/>
    </row>
  </sheetData>
  <mergeCells count="28">
    <mergeCell ref="A1:X1"/>
    <mergeCell ref="A2:X2"/>
    <mergeCell ref="A3:X3"/>
    <mergeCell ref="K5:K7"/>
    <mergeCell ref="L5:M6"/>
    <mergeCell ref="N5:O6"/>
    <mergeCell ref="P5:Q6"/>
    <mergeCell ref="R5:S6"/>
    <mergeCell ref="T5:T7"/>
    <mergeCell ref="E5:E7"/>
    <mergeCell ref="D5:D7"/>
    <mergeCell ref="C5:C7"/>
    <mergeCell ref="H5:H7"/>
    <mergeCell ref="V5:V7"/>
    <mergeCell ref="O4:X4"/>
    <mergeCell ref="AD5:AD7"/>
    <mergeCell ref="X5:X7"/>
    <mergeCell ref="U6:U7"/>
    <mergeCell ref="W5:W7"/>
    <mergeCell ref="A200:B200"/>
    <mergeCell ref="A5:A7"/>
    <mergeCell ref="B5:B7"/>
    <mergeCell ref="F5:G5"/>
    <mergeCell ref="J5:J7"/>
    <mergeCell ref="F6:F7"/>
    <mergeCell ref="G6:G7"/>
    <mergeCell ref="AB5:AB7"/>
    <mergeCell ref="I5:I7"/>
  </mergeCells>
  <printOptions horizontalCentered="1"/>
  <pageMargins left="0.19685039370078741" right="0.19685039370078741" top="0.5" bottom="0.39370078740157483" header="0.31496062992125984" footer="0.31496062992125984"/>
  <pageSetup paperSize="9" scale="85" orientation="landscape" r:id="rId1"/>
  <headerFooter>
    <oddHeader>Page &amp;P</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Bieu CKGN (ko in)</vt:lpstr>
      <vt:lpstr>Bieu T1</vt:lpstr>
      <vt:lpstr>Sheet1</vt:lpstr>
      <vt:lpstr>'Bieu T1'!Print_Area</vt:lpstr>
      <vt:lpstr>'Bieu CKGN (ko in)'!Print_Titles</vt:lpstr>
      <vt:lpstr>'Bieu 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ismail - [2010]</cp:lastModifiedBy>
  <cp:lastPrinted>2023-02-14T10:04:09Z</cp:lastPrinted>
  <dcterms:created xsi:type="dcterms:W3CDTF">2022-01-17T07:13:25Z</dcterms:created>
  <dcterms:modified xsi:type="dcterms:W3CDTF">2023-02-14T10:05:34Z</dcterms:modified>
</cp:coreProperties>
</file>