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worksheets/sheet575.xml" ContentType="application/vnd.openxmlformats-officedocument.spreadsheetml.worksheet+xml"/>
  <Override PartName="/xl/worksheets/sheet576.xml" ContentType="application/vnd.openxmlformats-officedocument.spreadsheetml.worksheet+xml"/>
  <Override PartName="/xl/worksheets/sheet577.xml" ContentType="application/vnd.openxmlformats-officedocument.spreadsheetml.worksheet+xml"/>
  <Override PartName="/xl/worksheets/sheet578.xml" ContentType="application/vnd.openxmlformats-officedocument.spreadsheetml.worksheet+xml"/>
  <Override PartName="/xl/worksheets/sheet579.xml" ContentType="application/vnd.openxmlformats-officedocument.spreadsheetml.worksheet+xml"/>
  <Override PartName="/xl/worksheets/sheet580.xml" ContentType="application/vnd.openxmlformats-officedocument.spreadsheetml.worksheet+xml"/>
  <Override PartName="/xl/worksheets/sheet581.xml" ContentType="application/vnd.openxmlformats-officedocument.spreadsheetml.worksheet+xml"/>
  <Override PartName="/xl/worksheets/sheet582.xml" ContentType="application/vnd.openxmlformats-officedocument.spreadsheetml.worksheet+xml"/>
  <Override PartName="/xl/worksheets/sheet583.xml" ContentType="application/vnd.openxmlformats-officedocument.spreadsheetml.worksheet+xml"/>
  <Override PartName="/xl/worksheets/sheet584.xml" ContentType="application/vnd.openxmlformats-officedocument.spreadsheetml.worksheet+xml"/>
  <Override PartName="/xl/worksheets/sheet585.xml" ContentType="application/vnd.openxmlformats-officedocument.spreadsheetml.worksheet+xml"/>
  <Override PartName="/xl/worksheets/sheet586.xml" ContentType="application/vnd.openxmlformats-officedocument.spreadsheetml.worksheet+xml"/>
  <Override PartName="/xl/worksheets/sheet587.xml" ContentType="application/vnd.openxmlformats-officedocument.spreadsheetml.worksheet+xml"/>
  <Override PartName="/xl/worksheets/sheet588.xml" ContentType="application/vnd.openxmlformats-officedocument.spreadsheetml.worksheet+xml"/>
  <Override PartName="/xl/worksheets/sheet589.xml" ContentType="application/vnd.openxmlformats-officedocument.spreadsheetml.worksheet+xml"/>
  <Override PartName="/xl/worksheets/sheet590.xml" ContentType="application/vnd.openxmlformats-officedocument.spreadsheetml.worksheet+xml"/>
  <Override PartName="/xl/worksheets/sheet591.xml" ContentType="application/vnd.openxmlformats-officedocument.spreadsheetml.worksheet+xml"/>
  <Override PartName="/xl/worksheets/sheet592.xml" ContentType="application/vnd.openxmlformats-officedocument.spreadsheetml.worksheet+xml"/>
  <Override PartName="/xl/worksheets/sheet593.xml" ContentType="application/vnd.openxmlformats-officedocument.spreadsheetml.worksheet+xml"/>
  <Override PartName="/xl/worksheets/sheet594.xml" ContentType="application/vnd.openxmlformats-officedocument.spreadsheetml.worksheet+xml"/>
  <Override PartName="/xl/worksheets/sheet595.xml" ContentType="application/vnd.openxmlformats-officedocument.spreadsheetml.worksheet+xml"/>
  <Override PartName="/xl/worksheets/sheet596.xml" ContentType="application/vnd.openxmlformats-officedocument.spreadsheetml.worksheet+xml"/>
  <Override PartName="/xl/worksheets/sheet597.xml" ContentType="application/vnd.openxmlformats-officedocument.spreadsheetml.worksheet+xml"/>
  <Override PartName="/xl/worksheets/sheet598.xml" ContentType="application/vnd.openxmlformats-officedocument.spreadsheetml.worksheet+xml"/>
  <Override PartName="/xl/worksheets/sheet599.xml" ContentType="application/vnd.openxmlformats-officedocument.spreadsheetml.worksheet+xml"/>
  <Override PartName="/xl/worksheets/sheet600.xml" ContentType="application/vnd.openxmlformats-officedocument.spreadsheetml.worksheet+xml"/>
  <Override PartName="/xl/worksheets/sheet601.xml" ContentType="application/vnd.openxmlformats-officedocument.spreadsheetml.worksheet+xml"/>
  <Override PartName="/xl/worksheets/sheet602.xml" ContentType="application/vnd.openxmlformats-officedocument.spreadsheetml.worksheet+xml"/>
  <Override PartName="/xl/worksheets/sheet603.xml" ContentType="application/vnd.openxmlformats-officedocument.spreadsheetml.worksheet+xml"/>
  <Override PartName="/xl/worksheets/sheet604.xml" ContentType="application/vnd.openxmlformats-officedocument.spreadsheetml.worksheet+xml"/>
  <Override PartName="/xl/worksheets/sheet605.xml" ContentType="application/vnd.openxmlformats-officedocument.spreadsheetml.worksheet+xml"/>
  <Override PartName="/xl/worksheets/sheet606.xml" ContentType="application/vnd.openxmlformats-officedocument.spreadsheetml.worksheet+xml"/>
  <Override PartName="/xl/worksheets/sheet607.xml" ContentType="application/vnd.openxmlformats-officedocument.spreadsheetml.worksheet+xml"/>
  <Override PartName="/xl/worksheets/sheet608.xml" ContentType="application/vnd.openxmlformats-officedocument.spreadsheetml.worksheet+xml"/>
  <Override PartName="/xl/worksheets/sheet609.xml" ContentType="application/vnd.openxmlformats-officedocument.spreadsheetml.worksheet+xml"/>
  <Override PartName="/xl/worksheets/sheet610.xml" ContentType="application/vnd.openxmlformats-officedocument.spreadsheetml.worksheet+xml"/>
  <Override PartName="/xl/worksheets/sheet611.xml" ContentType="application/vnd.openxmlformats-officedocument.spreadsheetml.worksheet+xml"/>
  <Override PartName="/xl/worksheets/sheet612.xml" ContentType="application/vnd.openxmlformats-officedocument.spreadsheetml.worksheet+xml"/>
  <Override PartName="/xl/worksheets/sheet613.xml" ContentType="application/vnd.openxmlformats-officedocument.spreadsheetml.worksheet+xml"/>
  <Override PartName="/xl/worksheets/sheet614.xml" ContentType="application/vnd.openxmlformats-officedocument.spreadsheetml.worksheet+xml"/>
  <Override PartName="/xl/worksheets/sheet615.xml" ContentType="application/vnd.openxmlformats-officedocument.spreadsheetml.worksheet+xml"/>
  <Override PartName="/xl/worksheets/sheet616.xml" ContentType="application/vnd.openxmlformats-officedocument.spreadsheetml.worksheet+xml"/>
  <Override PartName="/xl/worksheets/sheet617.xml" ContentType="application/vnd.openxmlformats-officedocument.spreadsheetml.worksheet+xml"/>
  <Override PartName="/xl/worksheets/sheet618.xml" ContentType="application/vnd.openxmlformats-officedocument.spreadsheetml.worksheet+xml"/>
  <Override PartName="/xl/worksheets/sheet619.xml" ContentType="application/vnd.openxmlformats-officedocument.spreadsheetml.worksheet+xml"/>
  <Override PartName="/xl/worksheets/sheet620.xml" ContentType="application/vnd.openxmlformats-officedocument.spreadsheetml.worksheet+xml"/>
  <Override PartName="/xl/worksheets/sheet621.xml" ContentType="application/vnd.openxmlformats-officedocument.spreadsheetml.worksheet+xml"/>
  <Override PartName="/xl/worksheets/sheet622.xml" ContentType="application/vnd.openxmlformats-officedocument.spreadsheetml.worksheet+xml"/>
  <Override PartName="/xl/worksheets/sheet623.xml" ContentType="application/vnd.openxmlformats-officedocument.spreadsheetml.worksheet+xml"/>
  <Override PartName="/xl/worksheets/sheet624.xml" ContentType="application/vnd.openxmlformats-officedocument.spreadsheetml.worksheet+xml"/>
  <Override PartName="/xl/worksheets/sheet625.xml" ContentType="application/vnd.openxmlformats-officedocument.spreadsheetml.worksheet+xml"/>
  <Override PartName="/xl/worksheets/sheet626.xml" ContentType="application/vnd.openxmlformats-officedocument.spreadsheetml.worksheet+xml"/>
  <Override PartName="/xl/worksheets/sheet627.xml" ContentType="application/vnd.openxmlformats-officedocument.spreadsheetml.worksheet+xml"/>
  <Override PartName="/xl/worksheets/sheet628.xml" ContentType="application/vnd.openxmlformats-officedocument.spreadsheetml.worksheet+xml"/>
  <Override PartName="/xl/worksheets/sheet629.xml" ContentType="application/vnd.openxmlformats-officedocument.spreadsheetml.worksheet+xml"/>
  <Override PartName="/xl/worksheets/sheet630.xml" ContentType="application/vnd.openxmlformats-officedocument.spreadsheetml.worksheet+xml"/>
  <Override PartName="/xl/worksheets/sheet631.xml" ContentType="application/vnd.openxmlformats-officedocument.spreadsheetml.worksheet+xml"/>
  <Override PartName="/xl/worksheets/sheet632.xml" ContentType="application/vnd.openxmlformats-officedocument.spreadsheetml.worksheet+xml"/>
  <Override PartName="/xl/worksheets/sheet633.xml" ContentType="application/vnd.openxmlformats-officedocument.spreadsheetml.worksheet+xml"/>
  <Override PartName="/xl/worksheets/sheet634.xml" ContentType="application/vnd.openxmlformats-officedocument.spreadsheetml.worksheet+xml"/>
  <Override PartName="/xl/worksheets/sheet635.xml" ContentType="application/vnd.openxmlformats-officedocument.spreadsheetml.worksheet+xml"/>
  <Override PartName="/xl/worksheets/sheet636.xml" ContentType="application/vnd.openxmlformats-officedocument.spreadsheetml.worksheet+xml"/>
  <Override PartName="/xl/worksheets/sheet637.xml" ContentType="application/vnd.openxmlformats-officedocument.spreadsheetml.worksheet+xml"/>
  <Override PartName="/xl/worksheets/sheet638.xml" ContentType="application/vnd.openxmlformats-officedocument.spreadsheetml.worksheet+xml"/>
  <Override PartName="/xl/worksheets/sheet639.xml" ContentType="application/vnd.openxmlformats-officedocument.spreadsheetml.worksheet+xml"/>
  <Override PartName="/xl/worksheets/sheet640.xml" ContentType="application/vnd.openxmlformats-officedocument.spreadsheetml.worksheet+xml"/>
  <Override PartName="/xl/worksheets/sheet641.xml" ContentType="application/vnd.openxmlformats-officedocument.spreadsheetml.worksheet+xml"/>
  <Override PartName="/xl/worksheets/sheet642.xml" ContentType="application/vnd.openxmlformats-officedocument.spreadsheetml.worksheet+xml"/>
  <Override PartName="/xl/worksheets/sheet643.xml" ContentType="application/vnd.openxmlformats-officedocument.spreadsheetml.worksheet+xml"/>
  <Override PartName="/xl/worksheets/sheet644.xml" ContentType="application/vnd.openxmlformats-officedocument.spreadsheetml.worksheet+xml"/>
  <Override PartName="/xl/worksheets/sheet645.xml" ContentType="application/vnd.openxmlformats-officedocument.spreadsheetml.worksheet+xml"/>
  <Override PartName="/xl/worksheets/sheet646.xml" ContentType="application/vnd.openxmlformats-officedocument.spreadsheetml.worksheet+xml"/>
  <Override PartName="/xl/worksheets/sheet647.xml" ContentType="application/vnd.openxmlformats-officedocument.spreadsheetml.worksheet+xml"/>
  <Override PartName="/xl/worksheets/sheet648.xml" ContentType="application/vnd.openxmlformats-officedocument.spreadsheetml.worksheet+xml"/>
  <Override PartName="/xl/worksheets/sheet649.xml" ContentType="application/vnd.openxmlformats-officedocument.spreadsheetml.worksheet+xml"/>
  <Override PartName="/xl/worksheets/sheet650.xml" ContentType="application/vnd.openxmlformats-officedocument.spreadsheetml.worksheet+xml"/>
  <Override PartName="/xl/worksheets/sheet651.xml" ContentType="application/vnd.openxmlformats-officedocument.spreadsheetml.worksheet+xml"/>
  <Override PartName="/xl/worksheets/sheet652.xml" ContentType="application/vnd.openxmlformats-officedocument.spreadsheetml.worksheet+xml"/>
  <Override PartName="/xl/worksheets/sheet653.xml" ContentType="application/vnd.openxmlformats-officedocument.spreadsheetml.worksheet+xml"/>
  <Override PartName="/xl/worksheets/sheet654.xml" ContentType="application/vnd.openxmlformats-officedocument.spreadsheetml.worksheet+xml"/>
  <Override PartName="/xl/worksheets/sheet655.xml" ContentType="application/vnd.openxmlformats-officedocument.spreadsheetml.worksheet+xml"/>
  <Override PartName="/xl/worksheets/sheet656.xml" ContentType="application/vnd.openxmlformats-officedocument.spreadsheetml.worksheet+xml"/>
  <Override PartName="/xl/worksheets/sheet657.xml" ContentType="application/vnd.openxmlformats-officedocument.spreadsheetml.worksheet+xml"/>
  <Override PartName="/xl/worksheets/sheet658.xml" ContentType="application/vnd.openxmlformats-officedocument.spreadsheetml.worksheet+xml"/>
  <Override PartName="/xl/worksheets/sheet659.xml" ContentType="application/vnd.openxmlformats-officedocument.spreadsheetml.worksheet+xml"/>
  <Override PartName="/xl/worksheets/sheet660.xml" ContentType="application/vnd.openxmlformats-officedocument.spreadsheetml.worksheet+xml"/>
  <Override PartName="/xl/worksheets/sheet661.xml" ContentType="application/vnd.openxmlformats-officedocument.spreadsheetml.worksheet+xml"/>
  <Override PartName="/xl/worksheets/sheet662.xml" ContentType="application/vnd.openxmlformats-officedocument.spreadsheetml.worksheet+xml"/>
  <Override PartName="/xl/worksheets/sheet663.xml" ContentType="application/vnd.openxmlformats-officedocument.spreadsheetml.worksheet+xml"/>
  <Override PartName="/xl/worksheets/sheet664.xml" ContentType="application/vnd.openxmlformats-officedocument.spreadsheetml.worksheet+xml"/>
  <Override PartName="/xl/worksheets/sheet665.xml" ContentType="application/vnd.openxmlformats-officedocument.spreadsheetml.worksheet+xml"/>
  <Override PartName="/xl/worksheets/sheet666.xml" ContentType="application/vnd.openxmlformats-officedocument.spreadsheetml.worksheet+xml"/>
  <Override PartName="/xl/worksheets/sheet667.xml" ContentType="application/vnd.openxmlformats-officedocument.spreadsheetml.worksheet+xml"/>
  <Override PartName="/xl/worksheets/sheet668.xml" ContentType="application/vnd.openxmlformats-officedocument.spreadsheetml.worksheet+xml"/>
  <Override PartName="/xl/worksheets/sheet669.xml" ContentType="application/vnd.openxmlformats-officedocument.spreadsheetml.worksheet+xml"/>
  <Override PartName="/xl/worksheets/sheet670.xml" ContentType="application/vnd.openxmlformats-officedocument.spreadsheetml.worksheet+xml"/>
  <Override PartName="/xl/worksheets/sheet671.xml" ContentType="application/vnd.openxmlformats-officedocument.spreadsheetml.worksheet+xml"/>
  <Override PartName="/xl/worksheets/sheet672.xml" ContentType="application/vnd.openxmlformats-officedocument.spreadsheetml.worksheet+xml"/>
  <Override PartName="/xl/worksheets/sheet673.xml" ContentType="application/vnd.openxmlformats-officedocument.spreadsheetml.worksheet+xml"/>
  <Override PartName="/xl/worksheets/sheet674.xml" ContentType="application/vnd.openxmlformats-officedocument.spreadsheetml.worksheet+xml"/>
  <Override PartName="/xl/worksheets/sheet675.xml" ContentType="application/vnd.openxmlformats-officedocument.spreadsheetml.worksheet+xml"/>
  <Override PartName="/xl/worksheets/sheet676.xml" ContentType="application/vnd.openxmlformats-officedocument.spreadsheetml.worksheet+xml"/>
  <Override PartName="/xl/worksheets/sheet677.xml" ContentType="application/vnd.openxmlformats-officedocument.spreadsheetml.worksheet+xml"/>
  <Override PartName="/xl/worksheets/sheet678.xml" ContentType="application/vnd.openxmlformats-officedocument.spreadsheetml.worksheet+xml"/>
  <Override PartName="/xl/worksheets/sheet679.xml" ContentType="application/vnd.openxmlformats-officedocument.spreadsheetml.worksheet+xml"/>
  <Override PartName="/xl/worksheets/sheet680.xml" ContentType="application/vnd.openxmlformats-officedocument.spreadsheetml.worksheet+xml"/>
  <Override PartName="/xl/worksheets/sheet681.xml" ContentType="application/vnd.openxmlformats-officedocument.spreadsheetml.worksheet+xml"/>
  <Override PartName="/xl/worksheets/sheet682.xml" ContentType="application/vnd.openxmlformats-officedocument.spreadsheetml.worksheet+xml"/>
  <Override PartName="/xl/worksheets/sheet683.xml" ContentType="application/vnd.openxmlformats-officedocument.spreadsheetml.worksheet+xml"/>
  <Override PartName="/xl/worksheets/sheet684.xml" ContentType="application/vnd.openxmlformats-officedocument.spreadsheetml.worksheet+xml"/>
  <Override PartName="/xl/worksheets/sheet685.xml" ContentType="application/vnd.openxmlformats-officedocument.spreadsheetml.worksheet+xml"/>
  <Override PartName="/xl/worksheets/sheet686.xml" ContentType="application/vnd.openxmlformats-officedocument.spreadsheetml.worksheet+xml"/>
  <Override PartName="/xl/worksheets/sheet687.xml" ContentType="application/vnd.openxmlformats-officedocument.spreadsheetml.worksheet+xml"/>
  <Override PartName="/xl/worksheets/sheet688.xml" ContentType="application/vnd.openxmlformats-officedocument.spreadsheetml.worksheet+xml"/>
  <Override PartName="/xl/worksheets/sheet689.xml" ContentType="application/vnd.openxmlformats-officedocument.spreadsheetml.worksheet+xml"/>
  <Override PartName="/xl/worksheets/sheet690.xml" ContentType="application/vnd.openxmlformats-officedocument.spreadsheetml.worksheet+xml"/>
  <Override PartName="/xl/worksheets/sheet691.xml" ContentType="application/vnd.openxmlformats-officedocument.spreadsheetml.worksheet+xml"/>
  <Override PartName="/xl/worksheets/sheet692.xml" ContentType="application/vnd.openxmlformats-officedocument.spreadsheetml.worksheet+xml"/>
  <Override PartName="/xl/worksheets/sheet693.xml" ContentType="application/vnd.openxmlformats-officedocument.spreadsheetml.worksheet+xml"/>
  <Override PartName="/xl/worksheets/sheet694.xml" ContentType="application/vnd.openxmlformats-officedocument.spreadsheetml.worksheet+xml"/>
  <Override PartName="/xl/worksheets/sheet695.xml" ContentType="application/vnd.openxmlformats-officedocument.spreadsheetml.worksheet+xml"/>
  <Override PartName="/xl/worksheets/sheet696.xml" ContentType="application/vnd.openxmlformats-officedocument.spreadsheetml.worksheet+xml"/>
  <Override PartName="/xl/worksheets/sheet697.xml" ContentType="application/vnd.openxmlformats-officedocument.spreadsheetml.worksheet+xml"/>
  <Override PartName="/xl/worksheets/sheet698.xml" ContentType="application/vnd.openxmlformats-officedocument.spreadsheetml.worksheet+xml"/>
  <Override PartName="/xl/worksheets/sheet699.xml" ContentType="application/vnd.openxmlformats-officedocument.spreadsheetml.worksheet+xml"/>
  <Override PartName="/xl/worksheets/sheet700.xml" ContentType="application/vnd.openxmlformats-officedocument.spreadsheetml.worksheet+xml"/>
  <Override PartName="/xl/worksheets/sheet701.xml" ContentType="application/vnd.openxmlformats-officedocument.spreadsheetml.worksheet+xml"/>
  <Override PartName="/xl/worksheets/sheet702.xml" ContentType="application/vnd.openxmlformats-officedocument.spreadsheetml.worksheet+xml"/>
  <Override PartName="/xl/worksheets/sheet703.xml" ContentType="application/vnd.openxmlformats-officedocument.spreadsheetml.worksheet+xml"/>
  <Override PartName="/xl/worksheets/sheet704.xml" ContentType="application/vnd.openxmlformats-officedocument.spreadsheetml.worksheet+xml"/>
  <Override PartName="/xl/worksheets/sheet705.xml" ContentType="application/vnd.openxmlformats-officedocument.spreadsheetml.worksheet+xml"/>
  <Override PartName="/xl/worksheets/sheet706.xml" ContentType="application/vnd.openxmlformats-officedocument.spreadsheetml.worksheet+xml"/>
  <Override PartName="/xl/worksheets/sheet707.xml" ContentType="application/vnd.openxmlformats-officedocument.spreadsheetml.worksheet+xml"/>
  <Override PartName="/xl/worksheets/sheet708.xml" ContentType="application/vnd.openxmlformats-officedocument.spreadsheetml.worksheet+xml"/>
  <Override PartName="/xl/worksheets/sheet709.xml" ContentType="application/vnd.openxmlformats-officedocument.spreadsheetml.worksheet+xml"/>
  <Override PartName="/xl/worksheets/sheet710.xml" ContentType="application/vnd.openxmlformats-officedocument.spreadsheetml.worksheet+xml"/>
  <Override PartName="/xl/worksheets/sheet711.xml" ContentType="application/vnd.openxmlformats-officedocument.spreadsheetml.worksheet+xml"/>
  <Override PartName="/xl/worksheets/sheet712.xml" ContentType="application/vnd.openxmlformats-officedocument.spreadsheetml.worksheet+xml"/>
  <Override PartName="/xl/worksheets/sheet713.xml" ContentType="application/vnd.openxmlformats-officedocument.spreadsheetml.worksheet+xml"/>
  <Override PartName="/xl/worksheets/sheet714.xml" ContentType="application/vnd.openxmlformats-officedocument.spreadsheetml.worksheet+xml"/>
  <Override PartName="/xl/worksheets/sheet715.xml" ContentType="application/vnd.openxmlformats-officedocument.spreadsheetml.worksheet+xml"/>
  <Override PartName="/xl/worksheets/sheet716.xml" ContentType="application/vnd.openxmlformats-officedocument.spreadsheetml.worksheet+xml"/>
  <Override PartName="/xl/worksheets/sheet717.xml" ContentType="application/vnd.openxmlformats-officedocument.spreadsheetml.worksheet+xml"/>
  <Override PartName="/xl/worksheets/sheet718.xml" ContentType="application/vnd.openxmlformats-officedocument.spreadsheetml.worksheet+xml"/>
  <Override PartName="/xl/worksheets/sheet719.xml" ContentType="application/vnd.openxmlformats-officedocument.spreadsheetml.worksheet+xml"/>
  <Override PartName="/xl/worksheets/sheet720.xml" ContentType="application/vnd.openxmlformats-officedocument.spreadsheetml.worksheet+xml"/>
  <Override PartName="/xl/worksheets/sheet721.xml" ContentType="application/vnd.openxmlformats-officedocument.spreadsheetml.worksheet+xml"/>
  <Override PartName="/xl/worksheets/sheet722.xml" ContentType="application/vnd.openxmlformats-officedocument.spreadsheetml.worksheet+xml"/>
  <Override PartName="/xl/worksheets/sheet723.xml" ContentType="application/vnd.openxmlformats-officedocument.spreadsheetml.worksheet+xml"/>
  <Override PartName="/xl/worksheets/sheet724.xml" ContentType="application/vnd.openxmlformats-officedocument.spreadsheetml.worksheet+xml"/>
  <Override PartName="/xl/worksheets/sheet725.xml" ContentType="application/vnd.openxmlformats-officedocument.spreadsheetml.worksheet+xml"/>
  <Override PartName="/xl/worksheets/sheet726.xml" ContentType="application/vnd.openxmlformats-officedocument.spreadsheetml.worksheet+xml"/>
  <Override PartName="/xl/worksheets/sheet727.xml" ContentType="application/vnd.openxmlformats-officedocument.spreadsheetml.worksheet+xml"/>
  <Override PartName="/xl/worksheets/sheet728.xml" ContentType="application/vnd.openxmlformats-officedocument.spreadsheetml.worksheet+xml"/>
  <Override PartName="/xl/worksheets/sheet729.xml" ContentType="application/vnd.openxmlformats-officedocument.spreadsheetml.worksheet+xml"/>
  <Override PartName="/xl/worksheets/sheet730.xml" ContentType="application/vnd.openxmlformats-officedocument.spreadsheetml.worksheet+xml"/>
  <Override PartName="/xl/worksheets/sheet731.xml" ContentType="application/vnd.openxmlformats-officedocument.spreadsheetml.worksheet+xml"/>
  <Override PartName="/xl/worksheets/sheet732.xml" ContentType="application/vnd.openxmlformats-officedocument.spreadsheetml.worksheet+xml"/>
  <Override PartName="/xl/worksheets/sheet733.xml" ContentType="application/vnd.openxmlformats-officedocument.spreadsheetml.worksheet+xml"/>
  <Override PartName="/xl/worksheets/sheet734.xml" ContentType="application/vnd.openxmlformats-officedocument.spreadsheetml.worksheet+xml"/>
  <Override PartName="/xl/worksheets/sheet735.xml" ContentType="application/vnd.openxmlformats-officedocument.spreadsheetml.worksheet+xml"/>
  <Override PartName="/xl/worksheets/sheet736.xml" ContentType="application/vnd.openxmlformats-officedocument.spreadsheetml.worksheet+xml"/>
  <Override PartName="/xl/worksheets/sheet737.xml" ContentType="application/vnd.openxmlformats-officedocument.spreadsheetml.worksheet+xml"/>
  <Override PartName="/xl/worksheets/sheet738.xml" ContentType="application/vnd.openxmlformats-officedocument.spreadsheetml.worksheet+xml"/>
  <Override PartName="/xl/worksheets/sheet739.xml" ContentType="application/vnd.openxmlformats-officedocument.spreadsheetml.worksheet+xml"/>
  <Override PartName="/xl/worksheets/sheet740.xml" ContentType="application/vnd.openxmlformats-officedocument.spreadsheetml.worksheet+xml"/>
  <Override PartName="/xl/worksheets/sheet741.xml" ContentType="application/vnd.openxmlformats-officedocument.spreadsheetml.worksheet+xml"/>
  <Override PartName="/xl/worksheets/sheet742.xml" ContentType="application/vnd.openxmlformats-officedocument.spreadsheetml.worksheet+xml"/>
  <Override PartName="/xl/worksheets/sheet743.xml" ContentType="application/vnd.openxmlformats-officedocument.spreadsheetml.worksheet+xml"/>
  <Override PartName="/xl/worksheets/sheet744.xml" ContentType="application/vnd.openxmlformats-officedocument.spreadsheetml.worksheet+xml"/>
  <Override PartName="/xl/worksheets/sheet745.xml" ContentType="application/vnd.openxmlformats-officedocument.spreadsheetml.worksheet+xml"/>
  <Override PartName="/xl/worksheets/sheet746.xml" ContentType="application/vnd.openxmlformats-officedocument.spreadsheetml.worksheet+xml"/>
  <Override PartName="/xl/worksheets/sheet747.xml" ContentType="application/vnd.openxmlformats-officedocument.spreadsheetml.worksheet+xml"/>
  <Override PartName="/xl/worksheets/sheet748.xml" ContentType="application/vnd.openxmlformats-officedocument.spreadsheetml.worksheet+xml"/>
  <Override PartName="/xl/worksheets/sheet749.xml" ContentType="application/vnd.openxmlformats-officedocument.spreadsheetml.worksheet+xml"/>
  <Override PartName="/xl/worksheets/sheet750.xml" ContentType="application/vnd.openxmlformats-officedocument.spreadsheetml.worksheet+xml"/>
  <Override PartName="/xl/worksheets/sheet751.xml" ContentType="application/vnd.openxmlformats-officedocument.spreadsheetml.worksheet+xml"/>
  <Override PartName="/xl/worksheets/sheet752.xml" ContentType="application/vnd.openxmlformats-officedocument.spreadsheetml.worksheet+xml"/>
  <Override PartName="/xl/worksheets/sheet753.xml" ContentType="application/vnd.openxmlformats-officedocument.spreadsheetml.worksheet+xml"/>
  <Override PartName="/xl/worksheets/sheet754.xml" ContentType="application/vnd.openxmlformats-officedocument.spreadsheetml.worksheet+xml"/>
  <Override PartName="/xl/worksheets/sheet755.xml" ContentType="application/vnd.openxmlformats-officedocument.spreadsheetml.worksheet+xml"/>
  <Override PartName="/xl/worksheets/sheet756.xml" ContentType="application/vnd.openxmlformats-officedocument.spreadsheetml.worksheet+xml"/>
  <Override PartName="/xl/worksheets/sheet757.xml" ContentType="application/vnd.openxmlformats-officedocument.spreadsheetml.worksheet+xml"/>
  <Override PartName="/xl/worksheets/sheet758.xml" ContentType="application/vnd.openxmlformats-officedocument.spreadsheetml.worksheet+xml"/>
  <Override PartName="/xl/worksheets/sheet759.xml" ContentType="application/vnd.openxmlformats-officedocument.spreadsheetml.worksheet+xml"/>
  <Override PartName="/xl/worksheets/sheet760.xml" ContentType="application/vnd.openxmlformats-officedocument.spreadsheetml.worksheet+xml"/>
  <Override PartName="/xl/worksheets/sheet761.xml" ContentType="application/vnd.openxmlformats-officedocument.spreadsheetml.worksheet+xml"/>
  <Override PartName="/xl/worksheets/sheet762.xml" ContentType="application/vnd.openxmlformats-officedocument.spreadsheetml.worksheet+xml"/>
  <Override PartName="/xl/worksheets/sheet763.xml" ContentType="application/vnd.openxmlformats-officedocument.spreadsheetml.worksheet+xml"/>
  <Override PartName="/xl/worksheets/sheet764.xml" ContentType="application/vnd.openxmlformats-officedocument.spreadsheetml.worksheet+xml"/>
  <Override PartName="/xl/worksheets/sheet765.xml" ContentType="application/vnd.openxmlformats-officedocument.spreadsheetml.worksheet+xml"/>
  <Override PartName="/xl/worksheets/sheet766.xml" ContentType="application/vnd.openxmlformats-officedocument.spreadsheetml.worksheet+xml"/>
  <Override PartName="/xl/worksheets/sheet767.xml" ContentType="application/vnd.openxmlformats-officedocument.spreadsheetml.worksheet+xml"/>
  <Override PartName="/xl/worksheets/sheet768.xml" ContentType="application/vnd.openxmlformats-officedocument.spreadsheetml.worksheet+xml"/>
  <Override PartName="/xl/worksheets/sheet769.xml" ContentType="application/vnd.openxmlformats-officedocument.spreadsheetml.worksheet+xml"/>
  <Override PartName="/xl/worksheets/sheet770.xml" ContentType="application/vnd.openxmlformats-officedocument.spreadsheetml.worksheet+xml"/>
  <Override PartName="/xl/worksheets/sheet771.xml" ContentType="application/vnd.openxmlformats-officedocument.spreadsheetml.worksheet+xml"/>
  <Override PartName="/xl/worksheets/sheet772.xml" ContentType="application/vnd.openxmlformats-officedocument.spreadsheetml.worksheet+xml"/>
  <Override PartName="/xl/worksheets/sheet773.xml" ContentType="application/vnd.openxmlformats-officedocument.spreadsheetml.worksheet+xml"/>
  <Override PartName="/xl/worksheets/sheet774.xml" ContentType="application/vnd.openxmlformats-officedocument.spreadsheetml.worksheet+xml"/>
  <Override PartName="/xl/worksheets/sheet775.xml" ContentType="application/vnd.openxmlformats-officedocument.spreadsheetml.worksheet+xml"/>
  <Override PartName="/xl/worksheets/sheet776.xml" ContentType="application/vnd.openxmlformats-officedocument.spreadsheetml.worksheet+xml"/>
  <Override PartName="/xl/worksheets/sheet777.xml" ContentType="application/vnd.openxmlformats-officedocument.spreadsheetml.worksheet+xml"/>
  <Override PartName="/xl/worksheets/sheet778.xml" ContentType="application/vnd.openxmlformats-officedocument.spreadsheetml.worksheet+xml"/>
  <Override PartName="/xl/worksheets/sheet779.xml" ContentType="application/vnd.openxmlformats-officedocument.spreadsheetml.worksheet+xml"/>
  <Override PartName="/xl/worksheets/sheet780.xml" ContentType="application/vnd.openxmlformats-officedocument.spreadsheetml.worksheet+xml"/>
  <Override PartName="/xl/worksheets/sheet781.xml" ContentType="application/vnd.openxmlformats-officedocument.spreadsheetml.worksheet+xml"/>
  <Override PartName="/xl/worksheets/sheet782.xml" ContentType="application/vnd.openxmlformats-officedocument.spreadsheetml.worksheet+xml"/>
  <Override PartName="/xl/worksheets/sheet783.xml" ContentType="application/vnd.openxmlformats-officedocument.spreadsheetml.worksheet+xml"/>
  <Override PartName="/xl/worksheets/sheet784.xml" ContentType="application/vnd.openxmlformats-officedocument.spreadsheetml.worksheet+xml"/>
  <Override PartName="/xl/worksheets/sheet785.xml" ContentType="application/vnd.openxmlformats-officedocument.spreadsheetml.worksheet+xml"/>
  <Override PartName="/xl/worksheets/sheet786.xml" ContentType="application/vnd.openxmlformats-officedocument.spreadsheetml.worksheet+xml"/>
  <Override PartName="/xl/worksheets/sheet787.xml" ContentType="application/vnd.openxmlformats-officedocument.spreadsheetml.worksheet+xml"/>
  <Override PartName="/xl/worksheets/sheet788.xml" ContentType="application/vnd.openxmlformats-officedocument.spreadsheetml.worksheet+xml"/>
  <Override PartName="/xl/worksheets/sheet789.xml" ContentType="application/vnd.openxmlformats-officedocument.spreadsheetml.worksheet+xml"/>
  <Override PartName="/xl/worksheets/sheet790.xml" ContentType="application/vnd.openxmlformats-officedocument.spreadsheetml.worksheet+xml"/>
  <Override PartName="/xl/worksheets/sheet791.xml" ContentType="application/vnd.openxmlformats-officedocument.spreadsheetml.worksheet+xml"/>
  <Override PartName="/xl/worksheets/sheet792.xml" ContentType="application/vnd.openxmlformats-officedocument.spreadsheetml.worksheet+xml"/>
  <Override PartName="/xl/worksheets/sheet793.xml" ContentType="application/vnd.openxmlformats-officedocument.spreadsheetml.worksheet+xml"/>
  <Override PartName="/xl/worksheets/sheet794.xml" ContentType="application/vnd.openxmlformats-officedocument.spreadsheetml.worksheet+xml"/>
  <Override PartName="/xl/worksheets/sheet795.xml" ContentType="application/vnd.openxmlformats-officedocument.spreadsheetml.worksheet+xml"/>
  <Override PartName="/xl/worksheets/sheet796.xml" ContentType="application/vnd.openxmlformats-officedocument.spreadsheetml.worksheet+xml"/>
  <Override PartName="/xl/worksheets/sheet797.xml" ContentType="application/vnd.openxmlformats-officedocument.spreadsheetml.worksheet+xml"/>
  <Override PartName="/xl/worksheets/sheet798.xml" ContentType="application/vnd.openxmlformats-officedocument.spreadsheetml.worksheet+xml"/>
  <Override PartName="/xl/worksheets/sheet799.xml" ContentType="application/vnd.openxmlformats-officedocument.spreadsheetml.worksheet+xml"/>
  <Override PartName="/xl/worksheets/sheet800.xml" ContentType="application/vnd.openxmlformats-officedocument.spreadsheetml.worksheet+xml"/>
  <Override PartName="/xl/worksheets/sheet801.xml" ContentType="application/vnd.openxmlformats-officedocument.spreadsheetml.worksheet+xml"/>
  <Override PartName="/xl/worksheets/sheet802.xml" ContentType="application/vnd.openxmlformats-officedocument.spreadsheetml.worksheet+xml"/>
  <Override PartName="/xl/worksheets/sheet803.xml" ContentType="application/vnd.openxmlformats-officedocument.spreadsheetml.worksheet+xml"/>
  <Override PartName="/xl/worksheets/sheet804.xml" ContentType="application/vnd.openxmlformats-officedocument.spreadsheetml.worksheet+xml"/>
  <Override PartName="/xl/worksheets/sheet805.xml" ContentType="application/vnd.openxmlformats-officedocument.spreadsheetml.worksheet+xml"/>
  <Override PartName="/xl/worksheets/sheet806.xml" ContentType="application/vnd.openxmlformats-officedocument.spreadsheetml.worksheet+xml"/>
  <Override PartName="/xl/worksheets/sheet807.xml" ContentType="application/vnd.openxmlformats-officedocument.spreadsheetml.worksheet+xml"/>
  <Override PartName="/xl/worksheets/sheet808.xml" ContentType="application/vnd.openxmlformats-officedocument.spreadsheetml.worksheet+xml"/>
  <Override PartName="/xl/worksheets/sheet809.xml" ContentType="application/vnd.openxmlformats-officedocument.spreadsheetml.worksheet+xml"/>
  <Override PartName="/xl/worksheets/sheet810.xml" ContentType="application/vnd.openxmlformats-officedocument.spreadsheetml.worksheet+xml"/>
  <Override PartName="/xl/worksheets/sheet811.xml" ContentType="application/vnd.openxmlformats-officedocument.spreadsheetml.worksheet+xml"/>
  <Override PartName="/xl/worksheets/sheet812.xml" ContentType="application/vnd.openxmlformats-officedocument.spreadsheetml.worksheet+xml"/>
  <Override PartName="/xl/worksheets/sheet813.xml" ContentType="application/vnd.openxmlformats-officedocument.spreadsheetml.worksheet+xml"/>
  <Override PartName="/xl/worksheets/sheet814.xml" ContentType="application/vnd.openxmlformats-officedocument.spreadsheetml.worksheet+xml"/>
  <Override PartName="/xl/worksheets/sheet815.xml" ContentType="application/vnd.openxmlformats-officedocument.spreadsheetml.worksheet+xml"/>
  <Override PartName="/xl/worksheets/sheet816.xml" ContentType="application/vnd.openxmlformats-officedocument.spreadsheetml.worksheet+xml"/>
  <Override PartName="/xl/worksheets/sheet817.xml" ContentType="application/vnd.openxmlformats-officedocument.spreadsheetml.worksheet+xml"/>
  <Override PartName="/xl/worksheets/sheet818.xml" ContentType="application/vnd.openxmlformats-officedocument.spreadsheetml.worksheet+xml"/>
  <Override PartName="/xl/worksheets/sheet819.xml" ContentType="application/vnd.openxmlformats-officedocument.spreadsheetml.worksheet+xml"/>
  <Override PartName="/xl/worksheets/sheet820.xml" ContentType="application/vnd.openxmlformats-officedocument.spreadsheetml.worksheet+xml"/>
  <Override PartName="/xl/worksheets/sheet821.xml" ContentType="application/vnd.openxmlformats-officedocument.spreadsheetml.worksheet+xml"/>
  <Override PartName="/xl/worksheets/sheet822.xml" ContentType="application/vnd.openxmlformats-officedocument.spreadsheetml.worksheet+xml"/>
  <Override PartName="/xl/worksheets/sheet823.xml" ContentType="application/vnd.openxmlformats-officedocument.spreadsheetml.worksheet+xml"/>
  <Override PartName="/xl/worksheets/sheet824.xml" ContentType="application/vnd.openxmlformats-officedocument.spreadsheetml.worksheet+xml"/>
  <Override PartName="/xl/worksheets/sheet825.xml" ContentType="application/vnd.openxmlformats-officedocument.spreadsheetml.worksheet+xml"/>
  <Override PartName="/xl/worksheets/sheet826.xml" ContentType="application/vnd.openxmlformats-officedocument.spreadsheetml.worksheet+xml"/>
  <Override PartName="/xl/worksheets/sheet827.xml" ContentType="application/vnd.openxmlformats-officedocument.spreadsheetml.worksheet+xml"/>
  <Override PartName="/xl/worksheets/sheet828.xml" ContentType="application/vnd.openxmlformats-officedocument.spreadsheetml.worksheet+xml"/>
  <Override PartName="/xl/worksheets/sheet829.xml" ContentType="application/vnd.openxmlformats-officedocument.spreadsheetml.worksheet+xml"/>
  <Override PartName="/xl/worksheets/sheet830.xml" ContentType="application/vnd.openxmlformats-officedocument.spreadsheetml.worksheet+xml"/>
  <Override PartName="/xl/worksheets/sheet831.xml" ContentType="application/vnd.openxmlformats-officedocument.spreadsheetml.worksheet+xml"/>
  <Override PartName="/xl/worksheets/sheet832.xml" ContentType="application/vnd.openxmlformats-officedocument.spreadsheetml.worksheet+xml"/>
  <Override PartName="/xl/worksheets/sheet833.xml" ContentType="application/vnd.openxmlformats-officedocument.spreadsheetml.worksheet+xml"/>
  <Override PartName="/xl/worksheets/sheet834.xml" ContentType="application/vnd.openxmlformats-officedocument.spreadsheetml.worksheet+xml"/>
  <Override PartName="/xl/worksheets/sheet835.xml" ContentType="application/vnd.openxmlformats-officedocument.spreadsheetml.worksheet+xml"/>
  <Override PartName="/xl/worksheets/sheet836.xml" ContentType="application/vnd.openxmlformats-officedocument.spreadsheetml.worksheet+xml"/>
  <Override PartName="/xl/worksheets/sheet837.xml" ContentType="application/vnd.openxmlformats-officedocument.spreadsheetml.worksheet+xml"/>
  <Override PartName="/xl/worksheets/sheet838.xml" ContentType="application/vnd.openxmlformats-officedocument.spreadsheetml.worksheet+xml"/>
  <Override PartName="/xl/worksheets/sheet839.xml" ContentType="application/vnd.openxmlformats-officedocument.spreadsheetml.worksheet+xml"/>
  <Override PartName="/xl/worksheets/sheet840.xml" ContentType="application/vnd.openxmlformats-officedocument.spreadsheetml.worksheet+xml"/>
  <Override PartName="/xl/worksheets/sheet841.xml" ContentType="application/vnd.openxmlformats-officedocument.spreadsheetml.worksheet+xml"/>
  <Override PartName="/xl/worksheets/sheet842.xml" ContentType="application/vnd.openxmlformats-officedocument.spreadsheetml.worksheet+xml"/>
  <Override PartName="/xl/worksheets/sheet843.xml" ContentType="application/vnd.openxmlformats-officedocument.spreadsheetml.worksheet+xml"/>
  <Override PartName="/xl/worksheets/sheet844.xml" ContentType="application/vnd.openxmlformats-officedocument.spreadsheetml.worksheet+xml"/>
  <Override PartName="/xl/worksheets/sheet845.xml" ContentType="application/vnd.openxmlformats-officedocument.spreadsheetml.worksheet+xml"/>
  <Override PartName="/xl/worksheets/sheet846.xml" ContentType="application/vnd.openxmlformats-officedocument.spreadsheetml.worksheet+xml"/>
  <Override PartName="/xl/worksheets/sheet847.xml" ContentType="application/vnd.openxmlformats-officedocument.spreadsheetml.worksheet+xml"/>
  <Override PartName="/xl/worksheets/sheet848.xml" ContentType="application/vnd.openxmlformats-officedocument.spreadsheetml.worksheet+xml"/>
  <Override PartName="/xl/worksheets/sheet849.xml" ContentType="application/vnd.openxmlformats-officedocument.spreadsheetml.worksheet+xml"/>
  <Override PartName="/xl/worksheets/sheet850.xml" ContentType="application/vnd.openxmlformats-officedocument.spreadsheetml.worksheet+xml"/>
  <Override PartName="/xl/worksheets/sheet851.xml" ContentType="application/vnd.openxmlformats-officedocument.spreadsheetml.worksheet+xml"/>
  <Override PartName="/xl/worksheets/sheet852.xml" ContentType="application/vnd.openxmlformats-officedocument.spreadsheetml.worksheet+xml"/>
  <Override PartName="/xl/worksheets/sheet853.xml" ContentType="application/vnd.openxmlformats-officedocument.spreadsheetml.worksheet+xml"/>
  <Override PartName="/xl/worksheets/sheet854.xml" ContentType="application/vnd.openxmlformats-officedocument.spreadsheetml.worksheet+xml"/>
  <Override PartName="/xl/worksheets/sheet855.xml" ContentType="application/vnd.openxmlformats-officedocument.spreadsheetml.worksheet+xml"/>
  <Override PartName="/xl/worksheets/sheet856.xml" ContentType="application/vnd.openxmlformats-officedocument.spreadsheetml.worksheet+xml"/>
  <Override PartName="/xl/worksheets/sheet857.xml" ContentType="application/vnd.openxmlformats-officedocument.spreadsheetml.worksheet+xml"/>
  <Override PartName="/xl/worksheets/sheet858.xml" ContentType="application/vnd.openxmlformats-officedocument.spreadsheetml.worksheet+xml"/>
  <Override PartName="/xl/worksheets/sheet859.xml" ContentType="application/vnd.openxmlformats-officedocument.spreadsheetml.worksheet+xml"/>
  <Override PartName="/xl/worksheets/sheet860.xml" ContentType="application/vnd.openxmlformats-officedocument.spreadsheetml.worksheet+xml"/>
  <Override PartName="/xl/worksheets/sheet861.xml" ContentType="application/vnd.openxmlformats-officedocument.spreadsheetml.worksheet+xml"/>
  <Override PartName="/xl/worksheets/sheet862.xml" ContentType="application/vnd.openxmlformats-officedocument.spreadsheetml.worksheet+xml"/>
  <Override PartName="/xl/worksheets/sheet863.xml" ContentType="application/vnd.openxmlformats-officedocument.spreadsheetml.worksheet+xml"/>
  <Override PartName="/xl/worksheets/sheet864.xml" ContentType="application/vnd.openxmlformats-officedocument.spreadsheetml.worksheet+xml"/>
  <Override PartName="/xl/worksheets/sheet865.xml" ContentType="application/vnd.openxmlformats-officedocument.spreadsheetml.worksheet+xml"/>
  <Override PartName="/xl/worksheets/sheet866.xml" ContentType="application/vnd.openxmlformats-officedocument.spreadsheetml.worksheet+xml"/>
  <Override PartName="/xl/worksheets/sheet867.xml" ContentType="application/vnd.openxmlformats-officedocument.spreadsheetml.worksheet+xml"/>
  <Override PartName="/xl/worksheets/sheet868.xml" ContentType="application/vnd.openxmlformats-officedocument.spreadsheetml.worksheet+xml"/>
  <Override PartName="/xl/worksheets/sheet869.xml" ContentType="application/vnd.openxmlformats-officedocument.spreadsheetml.worksheet+xml"/>
  <Override PartName="/xl/worksheets/sheet870.xml" ContentType="application/vnd.openxmlformats-officedocument.spreadsheetml.worksheet+xml"/>
  <Override PartName="/xl/worksheets/sheet871.xml" ContentType="application/vnd.openxmlformats-officedocument.spreadsheetml.worksheet+xml"/>
  <Override PartName="/xl/worksheets/sheet872.xml" ContentType="application/vnd.openxmlformats-officedocument.spreadsheetml.worksheet+xml"/>
  <Override PartName="/xl/worksheets/sheet873.xml" ContentType="application/vnd.openxmlformats-officedocument.spreadsheetml.worksheet+xml"/>
  <Override PartName="/xl/worksheets/sheet874.xml" ContentType="application/vnd.openxmlformats-officedocument.spreadsheetml.worksheet+xml"/>
  <Override PartName="/xl/worksheets/sheet875.xml" ContentType="application/vnd.openxmlformats-officedocument.spreadsheetml.worksheet+xml"/>
  <Override PartName="/xl/worksheets/sheet876.xml" ContentType="application/vnd.openxmlformats-officedocument.spreadsheetml.worksheet+xml"/>
  <Override PartName="/xl/worksheets/sheet877.xml" ContentType="application/vnd.openxmlformats-officedocument.spreadsheetml.worksheet+xml"/>
  <Override PartName="/xl/worksheets/sheet878.xml" ContentType="application/vnd.openxmlformats-officedocument.spreadsheetml.worksheet+xml"/>
  <Override PartName="/xl/worksheets/sheet879.xml" ContentType="application/vnd.openxmlformats-officedocument.spreadsheetml.worksheet+xml"/>
  <Override PartName="/xl/worksheets/sheet880.xml" ContentType="application/vnd.openxmlformats-officedocument.spreadsheetml.worksheet+xml"/>
  <Override PartName="/xl/worksheets/sheet881.xml" ContentType="application/vnd.openxmlformats-officedocument.spreadsheetml.worksheet+xml"/>
  <Override PartName="/xl/worksheets/sheet882.xml" ContentType="application/vnd.openxmlformats-officedocument.spreadsheetml.worksheet+xml"/>
  <Override PartName="/xl/worksheets/sheet883.xml" ContentType="application/vnd.openxmlformats-officedocument.spreadsheetml.worksheet+xml"/>
  <Override PartName="/xl/worksheets/sheet884.xml" ContentType="application/vnd.openxmlformats-officedocument.spreadsheetml.worksheet+xml"/>
  <Override PartName="/xl/worksheets/sheet885.xml" ContentType="application/vnd.openxmlformats-officedocument.spreadsheetml.worksheet+xml"/>
  <Override PartName="/xl/worksheets/sheet886.xml" ContentType="application/vnd.openxmlformats-officedocument.spreadsheetml.worksheet+xml"/>
  <Override PartName="/xl/worksheets/sheet887.xml" ContentType="application/vnd.openxmlformats-officedocument.spreadsheetml.worksheet+xml"/>
  <Override PartName="/xl/worksheets/sheet888.xml" ContentType="application/vnd.openxmlformats-officedocument.spreadsheetml.worksheet+xml"/>
  <Override PartName="/xl/worksheets/sheet889.xml" ContentType="application/vnd.openxmlformats-officedocument.spreadsheetml.worksheet+xml"/>
  <Override PartName="/xl/worksheets/sheet890.xml" ContentType="application/vnd.openxmlformats-officedocument.spreadsheetml.worksheet+xml"/>
  <Override PartName="/xl/worksheets/sheet891.xml" ContentType="application/vnd.openxmlformats-officedocument.spreadsheetml.worksheet+xml"/>
  <Override PartName="/xl/worksheets/sheet892.xml" ContentType="application/vnd.openxmlformats-officedocument.spreadsheetml.worksheet+xml"/>
  <Override PartName="/xl/worksheets/sheet893.xml" ContentType="application/vnd.openxmlformats-officedocument.spreadsheetml.worksheet+xml"/>
  <Override PartName="/xl/worksheets/sheet894.xml" ContentType="application/vnd.openxmlformats-officedocument.spreadsheetml.worksheet+xml"/>
  <Override PartName="/xl/worksheets/sheet895.xml" ContentType="application/vnd.openxmlformats-officedocument.spreadsheetml.worksheet+xml"/>
  <Override PartName="/xl/worksheets/sheet896.xml" ContentType="application/vnd.openxmlformats-officedocument.spreadsheetml.worksheet+xml"/>
  <Override PartName="/xl/worksheets/sheet897.xml" ContentType="application/vnd.openxmlformats-officedocument.spreadsheetml.worksheet+xml"/>
  <Override PartName="/xl/worksheets/sheet898.xml" ContentType="application/vnd.openxmlformats-officedocument.spreadsheetml.worksheet+xml"/>
  <Override PartName="/xl/worksheets/sheet899.xml" ContentType="application/vnd.openxmlformats-officedocument.spreadsheetml.worksheet+xml"/>
  <Override PartName="/xl/worksheets/sheet900.xml" ContentType="application/vnd.openxmlformats-officedocument.spreadsheetml.worksheet+xml"/>
  <Override PartName="/xl/worksheets/sheet901.xml" ContentType="application/vnd.openxmlformats-officedocument.spreadsheetml.worksheet+xml"/>
  <Override PartName="/xl/worksheets/sheet902.xml" ContentType="application/vnd.openxmlformats-officedocument.spreadsheetml.worksheet+xml"/>
  <Override PartName="/xl/worksheets/sheet903.xml" ContentType="application/vnd.openxmlformats-officedocument.spreadsheetml.worksheet+xml"/>
  <Override PartName="/xl/worksheets/sheet904.xml" ContentType="application/vnd.openxmlformats-officedocument.spreadsheetml.worksheet+xml"/>
  <Override PartName="/xl/worksheets/sheet905.xml" ContentType="application/vnd.openxmlformats-officedocument.spreadsheetml.worksheet+xml"/>
  <Override PartName="/xl/worksheets/sheet906.xml" ContentType="application/vnd.openxmlformats-officedocument.spreadsheetml.worksheet+xml"/>
  <Override PartName="/xl/worksheets/sheet907.xml" ContentType="application/vnd.openxmlformats-officedocument.spreadsheetml.worksheet+xml"/>
  <Override PartName="/xl/worksheets/sheet908.xml" ContentType="application/vnd.openxmlformats-officedocument.spreadsheetml.worksheet+xml"/>
  <Override PartName="/xl/worksheets/sheet909.xml" ContentType="application/vnd.openxmlformats-officedocument.spreadsheetml.worksheet+xml"/>
  <Override PartName="/xl/worksheets/sheet910.xml" ContentType="application/vnd.openxmlformats-officedocument.spreadsheetml.worksheet+xml"/>
  <Override PartName="/xl/worksheets/sheet911.xml" ContentType="application/vnd.openxmlformats-officedocument.spreadsheetml.worksheet+xml"/>
  <Override PartName="/xl/worksheets/sheet912.xml" ContentType="application/vnd.openxmlformats-officedocument.spreadsheetml.worksheet+xml"/>
  <Override PartName="/xl/worksheets/sheet913.xml" ContentType="application/vnd.openxmlformats-officedocument.spreadsheetml.worksheet+xml"/>
  <Override PartName="/xl/worksheets/sheet914.xml" ContentType="application/vnd.openxmlformats-officedocument.spreadsheetml.worksheet+xml"/>
  <Override PartName="/xl/worksheets/sheet915.xml" ContentType="application/vnd.openxmlformats-officedocument.spreadsheetml.worksheet+xml"/>
  <Override PartName="/xl/worksheets/sheet916.xml" ContentType="application/vnd.openxmlformats-officedocument.spreadsheetml.worksheet+xml"/>
  <Override PartName="/xl/worksheets/sheet917.xml" ContentType="application/vnd.openxmlformats-officedocument.spreadsheetml.worksheet+xml"/>
  <Override PartName="/xl/worksheets/sheet918.xml" ContentType="application/vnd.openxmlformats-officedocument.spreadsheetml.worksheet+xml"/>
  <Override PartName="/xl/worksheets/sheet919.xml" ContentType="application/vnd.openxmlformats-officedocument.spreadsheetml.worksheet+xml"/>
  <Override PartName="/xl/worksheets/sheet920.xml" ContentType="application/vnd.openxmlformats-officedocument.spreadsheetml.worksheet+xml"/>
  <Override PartName="/xl/worksheets/sheet921.xml" ContentType="application/vnd.openxmlformats-officedocument.spreadsheetml.worksheet+xml"/>
  <Override PartName="/xl/worksheets/sheet922.xml" ContentType="application/vnd.openxmlformats-officedocument.spreadsheetml.worksheet+xml"/>
  <Override PartName="/xl/worksheets/sheet923.xml" ContentType="application/vnd.openxmlformats-officedocument.spreadsheetml.worksheet+xml"/>
  <Override PartName="/xl/worksheets/sheet924.xml" ContentType="application/vnd.openxmlformats-officedocument.spreadsheetml.worksheet+xml"/>
  <Override PartName="/xl/worksheets/sheet925.xml" ContentType="application/vnd.openxmlformats-officedocument.spreadsheetml.worksheet+xml"/>
  <Override PartName="/xl/worksheets/sheet926.xml" ContentType="application/vnd.openxmlformats-officedocument.spreadsheetml.worksheet+xml"/>
  <Override PartName="/xl/worksheets/sheet927.xml" ContentType="application/vnd.openxmlformats-officedocument.spreadsheetml.worksheet+xml"/>
  <Override PartName="/xl/worksheets/sheet928.xml" ContentType="application/vnd.openxmlformats-officedocument.spreadsheetml.worksheet+xml"/>
  <Override PartName="/xl/worksheets/sheet929.xml" ContentType="application/vnd.openxmlformats-officedocument.spreadsheetml.worksheet+xml"/>
  <Override PartName="/xl/worksheets/sheet930.xml" ContentType="application/vnd.openxmlformats-officedocument.spreadsheetml.worksheet+xml"/>
  <Override PartName="/xl/worksheets/sheet931.xml" ContentType="application/vnd.openxmlformats-officedocument.spreadsheetml.worksheet+xml"/>
  <Override PartName="/xl/worksheets/sheet932.xml" ContentType="application/vnd.openxmlformats-officedocument.spreadsheetml.worksheet+xml"/>
  <Override PartName="/xl/worksheets/sheet933.xml" ContentType="application/vnd.openxmlformats-officedocument.spreadsheetml.worksheet+xml"/>
  <Override PartName="/xl/worksheets/sheet934.xml" ContentType="application/vnd.openxmlformats-officedocument.spreadsheetml.worksheet+xml"/>
  <Override PartName="/xl/worksheets/sheet935.xml" ContentType="application/vnd.openxmlformats-officedocument.spreadsheetml.worksheet+xml"/>
  <Override PartName="/xl/worksheets/sheet936.xml" ContentType="application/vnd.openxmlformats-officedocument.spreadsheetml.worksheet+xml"/>
  <Override PartName="/xl/worksheets/sheet937.xml" ContentType="application/vnd.openxmlformats-officedocument.spreadsheetml.worksheet+xml"/>
  <Override PartName="/xl/worksheets/sheet938.xml" ContentType="application/vnd.openxmlformats-officedocument.spreadsheetml.worksheet+xml"/>
  <Override PartName="/xl/worksheets/sheet939.xml" ContentType="application/vnd.openxmlformats-officedocument.spreadsheetml.worksheet+xml"/>
  <Override PartName="/xl/worksheets/sheet940.xml" ContentType="application/vnd.openxmlformats-officedocument.spreadsheetml.worksheet+xml"/>
  <Override PartName="/xl/worksheets/sheet941.xml" ContentType="application/vnd.openxmlformats-officedocument.spreadsheetml.worksheet+xml"/>
  <Override PartName="/xl/worksheets/sheet942.xml" ContentType="application/vnd.openxmlformats-officedocument.spreadsheetml.worksheet+xml"/>
  <Override PartName="/xl/worksheets/sheet943.xml" ContentType="application/vnd.openxmlformats-officedocument.spreadsheetml.worksheet+xml"/>
  <Override PartName="/xl/worksheets/sheet944.xml" ContentType="application/vnd.openxmlformats-officedocument.spreadsheetml.worksheet+xml"/>
  <Override PartName="/xl/worksheets/sheet945.xml" ContentType="application/vnd.openxmlformats-officedocument.spreadsheetml.worksheet+xml"/>
  <Override PartName="/xl/worksheets/sheet946.xml" ContentType="application/vnd.openxmlformats-officedocument.spreadsheetml.worksheet+xml"/>
  <Override PartName="/xl/worksheets/sheet947.xml" ContentType="application/vnd.openxmlformats-officedocument.spreadsheetml.worksheet+xml"/>
  <Override PartName="/xl/worksheets/sheet948.xml" ContentType="application/vnd.openxmlformats-officedocument.spreadsheetml.worksheet+xml"/>
  <Override PartName="/xl/worksheets/sheet949.xml" ContentType="application/vnd.openxmlformats-officedocument.spreadsheetml.worksheet+xml"/>
  <Override PartName="/xl/worksheets/sheet950.xml" ContentType="application/vnd.openxmlformats-officedocument.spreadsheetml.worksheet+xml"/>
  <Override PartName="/xl/worksheets/sheet951.xml" ContentType="application/vnd.openxmlformats-officedocument.spreadsheetml.worksheet+xml"/>
  <Override PartName="/xl/worksheets/sheet952.xml" ContentType="application/vnd.openxmlformats-officedocument.spreadsheetml.worksheet+xml"/>
  <Override PartName="/xl/worksheets/sheet953.xml" ContentType="application/vnd.openxmlformats-officedocument.spreadsheetml.worksheet+xml"/>
  <Override PartName="/xl/worksheets/sheet954.xml" ContentType="application/vnd.openxmlformats-officedocument.spreadsheetml.worksheet+xml"/>
  <Override PartName="/xl/worksheets/sheet955.xml" ContentType="application/vnd.openxmlformats-officedocument.spreadsheetml.worksheet+xml"/>
  <Override PartName="/xl/worksheets/sheet956.xml" ContentType="application/vnd.openxmlformats-officedocument.spreadsheetml.worksheet+xml"/>
  <Override PartName="/xl/worksheets/sheet957.xml" ContentType="application/vnd.openxmlformats-officedocument.spreadsheetml.worksheet+xml"/>
  <Override PartName="/xl/worksheets/sheet958.xml" ContentType="application/vnd.openxmlformats-officedocument.spreadsheetml.worksheet+xml"/>
  <Override PartName="/xl/worksheets/sheet959.xml" ContentType="application/vnd.openxmlformats-officedocument.spreadsheetml.worksheet+xml"/>
  <Override PartName="/xl/worksheets/sheet960.xml" ContentType="application/vnd.openxmlformats-officedocument.spreadsheetml.worksheet+xml"/>
  <Override PartName="/xl/worksheets/sheet961.xml" ContentType="application/vnd.openxmlformats-officedocument.spreadsheetml.worksheet+xml"/>
  <Override PartName="/xl/worksheets/sheet962.xml" ContentType="application/vnd.openxmlformats-officedocument.spreadsheetml.worksheet+xml"/>
  <Override PartName="/xl/worksheets/sheet963.xml" ContentType="application/vnd.openxmlformats-officedocument.spreadsheetml.worksheet+xml"/>
  <Override PartName="/xl/worksheets/sheet964.xml" ContentType="application/vnd.openxmlformats-officedocument.spreadsheetml.worksheet+xml"/>
  <Override PartName="/xl/worksheets/sheet965.xml" ContentType="application/vnd.openxmlformats-officedocument.spreadsheetml.worksheet+xml"/>
  <Override PartName="/xl/worksheets/sheet966.xml" ContentType="application/vnd.openxmlformats-officedocument.spreadsheetml.worksheet+xml"/>
  <Override PartName="/xl/worksheets/sheet967.xml" ContentType="application/vnd.openxmlformats-officedocument.spreadsheetml.worksheet+xml"/>
  <Override PartName="/xl/worksheets/sheet968.xml" ContentType="application/vnd.openxmlformats-officedocument.spreadsheetml.worksheet+xml"/>
  <Override PartName="/xl/worksheets/sheet969.xml" ContentType="application/vnd.openxmlformats-officedocument.spreadsheetml.worksheet+xml"/>
  <Override PartName="/xl/worksheets/sheet970.xml" ContentType="application/vnd.openxmlformats-officedocument.spreadsheetml.worksheet+xml"/>
  <Override PartName="/xl/worksheets/sheet971.xml" ContentType="application/vnd.openxmlformats-officedocument.spreadsheetml.worksheet+xml"/>
  <Override PartName="/xl/worksheets/sheet972.xml" ContentType="application/vnd.openxmlformats-officedocument.spreadsheetml.worksheet+xml"/>
  <Override PartName="/xl/worksheets/sheet973.xml" ContentType="application/vnd.openxmlformats-officedocument.spreadsheetml.worksheet+xml"/>
  <Override PartName="/xl/worksheets/sheet974.xml" ContentType="application/vnd.openxmlformats-officedocument.spreadsheetml.worksheet+xml"/>
  <Override PartName="/xl/worksheets/sheet975.xml" ContentType="application/vnd.openxmlformats-officedocument.spreadsheetml.worksheet+xml"/>
  <Override PartName="/xl/worksheets/sheet976.xml" ContentType="application/vnd.openxmlformats-officedocument.spreadsheetml.worksheet+xml"/>
  <Override PartName="/xl/worksheets/sheet977.xml" ContentType="application/vnd.openxmlformats-officedocument.spreadsheetml.worksheet+xml"/>
  <Override PartName="/xl/worksheets/sheet978.xml" ContentType="application/vnd.openxmlformats-officedocument.spreadsheetml.worksheet+xml"/>
  <Override PartName="/xl/worksheets/sheet979.xml" ContentType="application/vnd.openxmlformats-officedocument.spreadsheetml.worksheet+xml"/>
  <Override PartName="/xl/worksheets/sheet980.xml" ContentType="application/vnd.openxmlformats-officedocument.spreadsheetml.worksheet+xml"/>
  <Override PartName="/xl/worksheets/sheet981.xml" ContentType="application/vnd.openxmlformats-officedocument.spreadsheetml.worksheet+xml"/>
  <Override PartName="/xl/worksheets/sheet982.xml" ContentType="application/vnd.openxmlformats-officedocument.spreadsheetml.worksheet+xml"/>
  <Override PartName="/xl/worksheets/sheet983.xml" ContentType="application/vnd.openxmlformats-officedocument.spreadsheetml.worksheet+xml"/>
  <Override PartName="/xl/worksheets/sheet984.xml" ContentType="application/vnd.openxmlformats-officedocument.spreadsheetml.worksheet+xml"/>
  <Override PartName="/xl/worksheets/sheet985.xml" ContentType="application/vnd.openxmlformats-officedocument.spreadsheetml.worksheet+xml"/>
  <Override PartName="/xl/worksheets/sheet986.xml" ContentType="application/vnd.openxmlformats-officedocument.spreadsheetml.worksheet+xml"/>
  <Override PartName="/xl/worksheets/sheet987.xml" ContentType="application/vnd.openxmlformats-officedocument.spreadsheetml.worksheet+xml"/>
  <Override PartName="/xl/worksheets/sheet988.xml" ContentType="application/vnd.openxmlformats-officedocument.spreadsheetml.worksheet+xml"/>
  <Override PartName="/xl/worksheets/sheet989.xml" ContentType="application/vnd.openxmlformats-officedocument.spreadsheetml.worksheet+xml"/>
  <Override PartName="/xl/worksheets/sheet990.xml" ContentType="application/vnd.openxmlformats-officedocument.spreadsheetml.worksheet+xml"/>
  <Override PartName="/xl/worksheets/sheet991.xml" ContentType="application/vnd.openxmlformats-officedocument.spreadsheetml.worksheet+xml"/>
  <Override PartName="/xl/worksheets/sheet992.xml" ContentType="application/vnd.openxmlformats-officedocument.spreadsheetml.worksheet+xml"/>
  <Override PartName="/xl/worksheets/sheet993.xml" ContentType="application/vnd.openxmlformats-officedocument.spreadsheetml.worksheet+xml"/>
  <Override PartName="/xl/worksheets/sheet994.xml" ContentType="application/vnd.openxmlformats-officedocument.spreadsheetml.worksheet+xml"/>
  <Override PartName="/xl/worksheets/sheet995.xml" ContentType="application/vnd.openxmlformats-officedocument.spreadsheetml.worksheet+xml"/>
  <Override PartName="/xl/worksheets/sheet996.xml" ContentType="application/vnd.openxmlformats-officedocument.spreadsheetml.worksheet+xml"/>
  <Override PartName="/xl/worksheets/sheet997.xml" ContentType="application/vnd.openxmlformats-officedocument.spreadsheetml.worksheet+xml"/>
  <Override PartName="/xl/worksheets/sheet998.xml" ContentType="application/vnd.openxmlformats-officedocument.spreadsheetml.worksheet+xml"/>
  <Override PartName="/xl/worksheets/sheet999.xml" ContentType="application/vnd.openxmlformats-officedocument.spreadsheetml.worksheet+xml"/>
  <Override PartName="/xl/worksheets/sheet1000.xml" ContentType="application/vnd.openxmlformats-officedocument.spreadsheetml.worksheet+xml"/>
  <Override PartName="/xl/worksheets/sheet1001.xml" ContentType="application/vnd.openxmlformats-officedocument.spreadsheetml.worksheet+xml"/>
  <Override PartName="/xl/worksheets/sheet1002.xml" ContentType="application/vnd.openxmlformats-officedocument.spreadsheetml.worksheet+xml"/>
  <Override PartName="/xl/worksheets/sheet1003.xml" ContentType="application/vnd.openxmlformats-officedocument.spreadsheetml.worksheet+xml"/>
  <Override PartName="/xl/worksheets/sheet1004.xml" ContentType="application/vnd.openxmlformats-officedocument.spreadsheetml.worksheet+xml"/>
  <Override PartName="/xl/worksheets/sheet1005.xml" ContentType="application/vnd.openxmlformats-officedocument.spreadsheetml.worksheet+xml"/>
  <Override PartName="/xl/worksheets/sheet1006.xml" ContentType="application/vnd.openxmlformats-officedocument.spreadsheetml.worksheet+xml"/>
  <Override PartName="/xl/worksheets/sheet1007.xml" ContentType="application/vnd.openxmlformats-officedocument.spreadsheetml.worksheet+xml"/>
  <Override PartName="/xl/worksheets/sheet1008.xml" ContentType="application/vnd.openxmlformats-officedocument.spreadsheetml.worksheet+xml"/>
  <Override PartName="/xl/worksheets/sheet1009.xml" ContentType="application/vnd.openxmlformats-officedocument.spreadsheetml.worksheet+xml"/>
  <Override PartName="/xl/worksheets/sheet1010.xml" ContentType="application/vnd.openxmlformats-officedocument.spreadsheetml.worksheet+xml"/>
  <Override PartName="/xl/worksheets/sheet1011.xml" ContentType="application/vnd.openxmlformats-officedocument.spreadsheetml.worksheet+xml"/>
  <Override PartName="/xl/worksheets/sheet1012.xml" ContentType="application/vnd.openxmlformats-officedocument.spreadsheetml.worksheet+xml"/>
  <Override PartName="/xl/worksheets/sheet1013.xml" ContentType="application/vnd.openxmlformats-officedocument.spreadsheetml.worksheet+xml"/>
  <Override PartName="/xl/worksheets/sheet1014.xml" ContentType="application/vnd.openxmlformats-officedocument.spreadsheetml.worksheet+xml"/>
  <Override PartName="/xl/worksheets/sheet1015.xml" ContentType="application/vnd.openxmlformats-officedocument.spreadsheetml.worksheet+xml"/>
  <Override PartName="/xl/worksheets/sheet1016.xml" ContentType="application/vnd.openxmlformats-officedocument.spreadsheetml.worksheet+xml"/>
  <Override PartName="/xl/worksheets/sheet1017.xml" ContentType="application/vnd.openxmlformats-officedocument.spreadsheetml.worksheet+xml"/>
  <Override PartName="/xl/worksheets/sheet1018.xml" ContentType="application/vnd.openxmlformats-officedocument.spreadsheetml.worksheet+xml"/>
  <Override PartName="/xl/worksheets/sheet1019.xml" ContentType="application/vnd.openxmlformats-officedocument.spreadsheetml.worksheet+xml"/>
  <Override PartName="/xl/worksheets/sheet1020.xml" ContentType="application/vnd.openxmlformats-officedocument.spreadsheetml.worksheet+xml"/>
  <Override PartName="/xl/worksheets/sheet1021.xml" ContentType="application/vnd.openxmlformats-officedocument.spreadsheetml.worksheet+xml"/>
  <Override PartName="/xl/worksheets/sheet1022.xml" ContentType="application/vnd.openxmlformats-officedocument.spreadsheetml.worksheet+xml"/>
  <Override PartName="/xl/worksheets/sheet1023.xml" ContentType="application/vnd.openxmlformats-officedocument.spreadsheetml.worksheet+xml"/>
  <Override PartName="/xl/worksheets/sheet1024.xml" ContentType="application/vnd.openxmlformats-officedocument.spreadsheetml.worksheet+xml"/>
  <Override PartName="/xl/worksheets/sheet1025.xml" ContentType="application/vnd.openxmlformats-officedocument.spreadsheetml.worksheet+xml"/>
  <Override PartName="/xl/worksheets/sheet1026.xml" ContentType="application/vnd.openxmlformats-officedocument.spreadsheetml.worksheet+xml"/>
  <Override PartName="/xl/worksheets/sheet1027.xml" ContentType="application/vnd.openxmlformats-officedocument.spreadsheetml.worksheet+xml"/>
  <Override PartName="/xl/worksheets/sheet1028.xml" ContentType="application/vnd.openxmlformats-officedocument.spreadsheetml.worksheet+xml"/>
  <Override PartName="/xl/worksheets/sheet1029.xml" ContentType="application/vnd.openxmlformats-officedocument.spreadsheetml.worksheet+xml"/>
  <Override PartName="/xl/worksheets/sheet1030.xml" ContentType="application/vnd.openxmlformats-officedocument.spreadsheetml.worksheet+xml"/>
  <Override PartName="/xl/worksheets/sheet1031.xml" ContentType="application/vnd.openxmlformats-officedocument.spreadsheetml.worksheet+xml"/>
  <Override PartName="/xl/worksheets/sheet1032.xml" ContentType="application/vnd.openxmlformats-officedocument.spreadsheetml.worksheet+xml"/>
  <Override PartName="/xl/worksheets/sheet1033.xml" ContentType="application/vnd.openxmlformats-officedocument.spreadsheetml.worksheet+xml"/>
  <Override PartName="/xl/worksheets/sheet1034.xml" ContentType="application/vnd.openxmlformats-officedocument.spreadsheetml.worksheet+xml"/>
  <Override PartName="/xl/worksheets/sheet1035.xml" ContentType="application/vnd.openxmlformats-officedocument.spreadsheetml.worksheet+xml"/>
  <Override PartName="/xl/worksheets/sheet1036.xml" ContentType="application/vnd.openxmlformats-officedocument.spreadsheetml.worksheet+xml"/>
  <Override PartName="/xl/worksheets/sheet1037.xml" ContentType="application/vnd.openxmlformats-officedocument.spreadsheetml.worksheet+xml"/>
  <Override PartName="/xl/worksheets/sheet1038.xml" ContentType="application/vnd.openxmlformats-officedocument.spreadsheetml.worksheet+xml"/>
  <Override PartName="/xl/worksheets/sheet1039.xml" ContentType="application/vnd.openxmlformats-officedocument.spreadsheetml.worksheet+xml"/>
  <Override PartName="/xl/worksheets/sheet1040.xml" ContentType="application/vnd.openxmlformats-officedocument.spreadsheetml.worksheet+xml"/>
  <Override PartName="/xl/worksheets/sheet1041.xml" ContentType="application/vnd.openxmlformats-officedocument.spreadsheetml.worksheet+xml"/>
  <Override PartName="/xl/worksheets/sheet1042.xml" ContentType="application/vnd.openxmlformats-officedocument.spreadsheetml.worksheet+xml"/>
  <Override PartName="/xl/worksheets/sheet1043.xml" ContentType="application/vnd.openxmlformats-officedocument.spreadsheetml.worksheet+xml"/>
  <Override PartName="/xl/worksheets/sheet1044.xml" ContentType="application/vnd.openxmlformats-officedocument.spreadsheetml.worksheet+xml"/>
  <Override PartName="/xl/worksheets/sheet1045.xml" ContentType="application/vnd.openxmlformats-officedocument.spreadsheetml.worksheet+xml"/>
  <Override PartName="/xl/worksheets/sheet1046.xml" ContentType="application/vnd.openxmlformats-officedocument.spreadsheetml.worksheet+xml"/>
  <Override PartName="/xl/worksheets/sheet1047.xml" ContentType="application/vnd.openxmlformats-officedocument.spreadsheetml.worksheet+xml"/>
  <Override PartName="/xl/worksheets/sheet1048.xml" ContentType="application/vnd.openxmlformats-officedocument.spreadsheetml.worksheet+xml"/>
  <Override PartName="/xl/worksheets/sheet1049.xml" ContentType="application/vnd.openxmlformats-officedocument.spreadsheetml.worksheet+xml"/>
  <Override PartName="/xl/worksheets/sheet1050.xml" ContentType="application/vnd.openxmlformats-officedocument.spreadsheetml.worksheet+xml"/>
  <Override PartName="/xl/worksheets/sheet1051.xml" ContentType="application/vnd.openxmlformats-officedocument.spreadsheetml.worksheet+xml"/>
  <Override PartName="/xl/worksheets/sheet1052.xml" ContentType="application/vnd.openxmlformats-officedocument.spreadsheetml.worksheet+xml"/>
  <Override PartName="/xl/worksheets/sheet1053.xml" ContentType="application/vnd.openxmlformats-officedocument.spreadsheetml.worksheet+xml"/>
  <Override PartName="/xl/worksheets/sheet1054.xml" ContentType="application/vnd.openxmlformats-officedocument.spreadsheetml.worksheet+xml"/>
  <Override PartName="/xl/worksheets/sheet1055.xml" ContentType="application/vnd.openxmlformats-officedocument.spreadsheetml.worksheet+xml"/>
  <Override PartName="/xl/worksheets/sheet1056.xml" ContentType="application/vnd.openxmlformats-officedocument.spreadsheetml.worksheet+xml"/>
  <Override PartName="/xl/worksheets/sheet1057.xml" ContentType="application/vnd.openxmlformats-officedocument.spreadsheetml.worksheet+xml"/>
  <Override PartName="/xl/worksheets/sheet1058.xml" ContentType="application/vnd.openxmlformats-officedocument.spreadsheetml.worksheet+xml"/>
  <Override PartName="/xl/worksheets/sheet1059.xml" ContentType="application/vnd.openxmlformats-officedocument.spreadsheetml.worksheet+xml"/>
  <Override PartName="/xl/worksheets/sheet1060.xml" ContentType="application/vnd.openxmlformats-officedocument.spreadsheetml.worksheet+xml"/>
  <Override PartName="/xl/worksheets/sheet1061.xml" ContentType="application/vnd.openxmlformats-officedocument.spreadsheetml.worksheet+xml"/>
  <Override PartName="/xl/worksheets/sheet1062.xml" ContentType="application/vnd.openxmlformats-officedocument.spreadsheetml.worksheet+xml"/>
  <Override PartName="/xl/worksheets/sheet1063.xml" ContentType="application/vnd.openxmlformats-officedocument.spreadsheetml.worksheet+xml"/>
  <Override PartName="/xl/worksheets/sheet1064.xml" ContentType="application/vnd.openxmlformats-officedocument.spreadsheetml.worksheet+xml"/>
  <Override PartName="/xl/worksheets/sheet1065.xml" ContentType="application/vnd.openxmlformats-officedocument.spreadsheetml.worksheet+xml"/>
  <Override PartName="/xl/worksheets/sheet1066.xml" ContentType="application/vnd.openxmlformats-officedocument.spreadsheetml.worksheet+xml"/>
  <Override PartName="/xl/worksheets/sheet1067.xml" ContentType="application/vnd.openxmlformats-officedocument.spreadsheetml.worksheet+xml"/>
  <Override PartName="/xl/worksheets/sheet1068.xml" ContentType="application/vnd.openxmlformats-officedocument.spreadsheetml.worksheet+xml"/>
  <Override PartName="/xl/worksheets/sheet1069.xml" ContentType="application/vnd.openxmlformats-officedocument.spreadsheetml.worksheet+xml"/>
  <Override PartName="/xl/worksheets/sheet1070.xml" ContentType="application/vnd.openxmlformats-officedocument.spreadsheetml.worksheet+xml"/>
  <Override PartName="/xl/worksheets/sheet1071.xml" ContentType="application/vnd.openxmlformats-officedocument.spreadsheetml.worksheet+xml"/>
  <Override PartName="/xl/worksheets/sheet1072.xml" ContentType="application/vnd.openxmlformats-officedocument.spreadsheetml.worksheet+xml"/>
  <Override PartName="/xl/worksheets/sheet1073.xml" ContentType="application/vnd.openxmlformats-officedocument.spreadsheetml.worksheet+xml"/>
  <Override PartName="/xl/worksheets/sheet1074.xml" ContentType="application/vnd.openxmlformats-officedocument.spreadsheetml.worksheet+xml"/>
  <Override PartName="/xl/worksheets/sheet1075.xml" ContentType="application/vnd.openxmlformats-officedocument.spreadsheetml.worksheet+xml"/>
  <Override PartName="/xl/worksheets/sheet1076.xml" ContentType="application/vnd.openxmlformats-officedocument.spreadsheetml.worksheet+xml"/>
  <Override PartName="/xl/worksheets/sheet1077.xml" ContentType="application/vnd.openxmlformats-officedocument.spreadsheetml.worksheet+xml"/>
  <Override PartName="/xl/worksheets/sheet1078.xml" ContentType="application/vnd.openxmlformats-officedocument.spreadsheetml.worksheet+xml"/>
  <Override PartName="/xl/worksheets/sheet1079.xml" ContentType="application/vnd.openxmlformats-officedocument.spreadsheetml.worksheet+xml"/>
  <Override PartName="/xl/worksheets/sheet1080.xml" ContentType="application/vnd.openxmlformats-officedocument.spreadsheetml.worksheet+xml"/>
  <Override PartName="/xl/worksheets/sheet1081.xml" ContentType="application/vnd.openxmlformats-officedocument.spreadsheetml.worksheet+xml"/>
  <Override PartName="/xl/worksheets/sheet1082.xml" ContentType="application/vnd.openxmlformats-officedocument.spreadsheetml.worksheet+xml"/>
  <Override PartName="/xl/worksheets/sheet1083.xml" ContentType="application/vnd.openxmlformats-officedocument.spreadsheetml.worksheet+xml"/>
  <Override PartName="/xl/worksheets/sheet1084.xml" ContentType="application/vnd.openxmlformats-officedocument.spreadsheetml.worksheet+xml"/>
  <Override PartName="/xl/worksheets/sheet1085.xml" ContentType="application/vnd.openxmlformats-officedocument.spreadsheetml.worksheet+xml"/>
  <Override PartName="/xl/worksheets/sheet1086.xml" ContentType="application/vnd.openxmlformats-officedocument.spreadsheetml.worksheet+xml"/>
  <Override PartName="/xl/worksheets/sheet1087.xml" ContentType="application/vnd.openxmlformats-officedocument.spreadsheetml.worksheet+xml"/>
  <Override PartName="/xl/worksheets/sheet1088.xml" ContentType="application/vnd.openxmlformats-officedocument.spreadsheetml.worksheet+xml"/>
  <Override PartName="/xl/worksheets/sheet1089.xml" ContentType="application/vnd.openxmlformats-officedocument.spreadsheetml.worksheet+xml"/>
  <Override PartName="/xl/worksheets/sheet1090.xml" ContentType="application/vnd.openxmlformats-officedocument.spreadsheetml.worksheet+xml"/>
  <Override PartName="/xl/worksheets/sheet1091.xml" ContentType="application/vnd.openxmlformats-officedocument.spreadsheetml.worksheet+xml"/>
  <Override PartName="/xl/worksheets/sheet1092.xml" ContentType="application/vnd.openxmlformats-officedocument.spreadsheetml.worksheet+xml"/>
  <Override PartName="/xl/worksheets/sheet1093.xml" ContentType="application/vnd.openxmlformats-officedocument.spreadsheetml.worksheet+xml"/>
  <Override PartName="/xl/worksheets/sheet1094.xml" ContentType="application/vnd.openxmlformats-officedocument.spreadsheetml.worksheet+xml"/>
  <Override PartName="/xl/worksheets/sheet1095.xml" ContentType="application/vnd.openxmlformats-officedocument.spreadsheetml.worksheet+xml"/>
  <Override PartName="/xl/worksheets/sheet1096.xml" ContentType="application/vnd.openxmlformats-officedocument.spreadsheetml.worksheet+xml"/>
  <Override PartName="/xl/worksheets/sheet1097.xml" ContentType="application/vnd.openxmlformats-officedocument.spreadsheetml.worksheet+xml"/>
  <Override PartName="/xl/worksheets/sheet1098.xml" ContentType="application/vnd.openxmlformats-officedocument.spreadsheetml.worksheet+xml"/>
  <Override PartName="/xl/worksheets/sheet1099.xml" ContentType="application/vnd.openxmlformats-officedocument.spreadsheetml.worksheet+xml"/>
  <Override PartName="/xl/worksheets/sheet1100.xml" ContentType="application/vnd.openxmlformats-officedocument.spreadsheetml.worksheet+xml"/>
  <Override PartName="/xl/worksheets/sheet1101.xml" ContentType="application/vnd.openxmlformats-officedocument.spreadsheetml.worksheet+xml"/>
  <Override PartName="/xl/worksheets/sheet1102.xml" ContentType="application/vnd.openxmlformats-officedocument.spreadsheetml.worksheet+xml"/>
  <Override PartName="/xl/worksheets/sheet1103.xml" ContentType="application/vnd.openxmlformats-officedocument.spreadsheetml.worksheet+xml"/>
  <Override PartName="/xl/worksheets/sheet1104.xml" ContentType="application/vnd.openxmlformats-officedocument.spreadsheetml.worksheet+xml"/>
  <Override PartName="/xl/worksheets/sheet1105.xml" ContentType="application/vnd.openxmlformats-officedocument.spreadsheetml.worksheet+xml"/>
  <Override PartName="/xl/worksheets/sheet1106.xml" ContentType="application/vnd.openxmlformats-officedocument.spreadsheetml.worksheet+xml"/>
  <Override PartName="/xl/worksheets/sheet1107.xml" ContentType="application/vnd.openxmlformats-officedocument.spreadsheetml.worksheet+xml"/>
  <Override PartName="/xl/worksheets/sheet1108.xml" ContentType="application/vnd.openxmlformats-officedocument.spreadsheetml.worksheet+xml"/>
  <Override PartName="/xl/worksheets/sheet1109.xml" ContentType="application/vnd.openxmlformats-officedocument.spreadsheetml.worksheet+xml"/>
  <Override PartName="/xl/worksheets/sheet1110.xml" ContentType="application/vnd.openxmlformats-officedocument.spreadsheetml.worksheet+xml"/>
  <Override PartName="/xl/worksheets/sheet1111.xml" ContentType="application/vnd.openxmlformats-officedocument.spreadsheetml.worksheet+xml"/>
  <Override PartName="/xl/worksheets/sheet1112.xml" ContentType="application/vnd.openxmlformats-officedocument.spreadsheetml.worksheet+xml"/>
  <Override PartName="/xl/worksheets/sheet1113.xml" ContentType="application/vnd.openxmlformats-officedocument.spreadsheetml.worksheet+xml"/>
  <Override PartName="/xl/worksheets/sheet1114.xml" ContentType="application/vnd.openxmlformats-officedocument.spreadsheetml.worksheet+xml"/>
  <Override PartName="/xl/worksheets/sheet1115.xml" ContentType="application/vnd.openxmlformats-officedocument.spreadsheetml.worksheet+xml"/>
  <Override PartName="/xl/worksheets/sheet1116.xml" ContentType="application/vnd.openxmlformats-officedocument.spreadsheetml.worksheet+xml"/>
  <Override PartName="/xl/worksheets/sheet1117.xml" ContentType="application/vnd.openxmlformats-officedocument.spreadsheetml.worksheet+xml"/>
  <Override PartName="/xl/worksheets/sheet1118.xml" ContentType="application/vnd.openxmlformats-officedocument.spreadsheetml.worksheet+xml"/>
  <Override PartName="/xl/worksheets/sheet1119.xml" ContentType="application/vnd.openxmlformats-officedocument.spreadsheetml.worksheet+xml"/>
  <Override PartName="/xl/worksheets/sheet1120.xml" ContentType="application/vnd.openxmlformats-officedocument.spreadsheetml.worksheet+xml"/>
  <Override PartName="/xl/worksheets/sheet1121.xml" ContentType="application/vnd.openxmlformats-officedocument.spreadsheetml.worksheet+xml"/>
  <Override PartName="/xl/worksheets/sheet1122.xml" ContentType="application/vnd.openxmlformats-officedocument.spreadsheetml.worksheet+xml"/>
  <Override PartName="/xl/worksheets/sheet1123.xml" ContentType="application/vnd.openxmlformats-officedocument.spreadsheetml.worksheet+xml"/>
  <Override PartName="/xl/worksheets/sheet1124.xml" ContentType="application/vnd.openxmlformats-officedocument.spreadsheetml.worksheet+xml"/>
  <Override PartName="/xl/worksheets/sheet1125.xml" ContentType="application/vnd.openxmlformats-officedocument.spreadsheetml.worksheet+xml"/>
  <Override PartName="/xl/worksheets/sheet1126.xml" ContentType="application/vnd.openxmlformats-officedocument.spreadsheetml.worksheet+xml"/>
  <Override PartName="/xl/worksheets/sheet1127.xml" ContentType="application/vnd.openxmlformats-officedocument.spreadsheetml.worksheet+xml"/>
  <Override PartName="/xl/worksheets/sheet1128.xml" ContentType="application/vnd.openxmlformats-officedocument.spreadsheetml.worksheet+xml"/>
  <Override PartName="/xl/worksheets/sheet1129.xml" ContentType="application/vnd.openxmlformats-officedocument.spreadsheetml.worksheet+xml"/>
  <Override PartName="/xl/worksheets/sheet1130.xml" ContentType="application/vnd.openxmlformats-officedocument.spreadsheetml.worksheet+xml"/>
  <Override PartName="/xl/worksheets/sheet1131.xml" ContentType="application/vnd.openxmlformats-officedocument.spreadsheetml.worksheet+xml"/>
  <Override PartName="/xl/worksheets/sheet1132.xml" ContentType="application/vnd.openxmlformats-officedocument.spreadsheetml.worksheet+xml"/>
  <Override PartName="/xl/worksheets/sheet1133.xml" ContentType="application/vnd.openxmlformats-officedocument.spreadsheetml.worksheet+xml"/>
  <Override PartName="/xl/worksheets/sheet1134.xml" ContentType="application/vnd.openxmlformats-officedocument.spreadsheetml.worksheet+xml"/>
  <Override PartName="/xl/worksheets/sheet1135.xml" ContentType="application/vnd.openxmlformats-officedocument.spreadsheetml.worksheet+xml"/>
  <Override PartName="/xl/worksheets/sheet1136.xml" ContentType="application/vnd.openxmlformats-officedocument.spreadsheetml.worksheet+xml"/>
  <Override PartName="/xl/worksheets/sheet1137.xml" ContentType="application/vnd.openxmlformats-officedocument.spreadsheetml.worksheet+xml"/>
  <Override PartName="/xl/worksheets/sheet1138.xml" ContentType="application/vnd.openxmlformats-officedocument.spreadsheetml.worksheet+xml"/>
  <Override PartName="/xl/worksheets/sheet1139.xml" ContentType="application/vnd.openxmlformats-officedocument.spreadsheetml.worksheet+xml"/>
  <Override PartName="/xl/worksheets/sheet1140.xml" ContentType="application/vnd.openxmlformats-officedocument.spreadsheetml.worksheet+xml"/>
  <Override PartName="/xl/worksheets/sheet1141.xml" ContentType="application/vnd.openxmlformats-officedocument.spreadsheetml.worksheet+xml"/>
  <Override PartName="/xl/worksheets/sheet1142.xml" ContentType="application/vnd.openxmlformats-officedocument.spreadsheetml.worksheet+xml"/>
  <Override PartName="/xl/worksheets/sheet1143.xml" ContentType="application/vnd.openxmlformats-officedocument.spreadsheetml.worksheet+xml"/>
  <Override PartName="/xl/worksheets/sheet1144.xml" ContentType="application/vnd.openxmlformats-officedocument.spreadsheetml.worksheet+xml"/>
  <Override PartName="/xl/worksheets/sheet1145.xml" ContentType="application/vnd.openxmlformats-officedocument.spreadsheetml.worksheet+xml"/>
  <Override PartName="/xl/worksheets/sheet1146.xml" ContentType="application/vnd.openxmlformats-officedocument.spreadsheetml.worksheet+xml"/>
  <Override PartName="/xl/worksheets/sheet1147.xml" ContentType="application/vnd.openxmlformats-officedocument.spreadsheetml.worksheet+xml"/>
  <Override PartName="/xl/worksheets/sheet1148.xml" ContentType="application/vnd.openxmlformats-officedocument.spreadsheetml.worksheet+xml"/>
  <Override PartName="/xl/worksheets/sheet1149.xml" ContentType="application/vnd.openxmlformats-officedocument.spreadsheetml.worksheet+xml"/>
  <Override PartName="/xl/worksheets/sheet1150.xml" ContentType="application/vnd.openxmlformats-officedocument.spreadsheetml.worksheet+xml"/>
  <Override PartName="/xl/worksheets/sheet1151.xml" ContentType="application/vnd.openxmlformats-officedocument.spreadsheetml.worksheet+xml"/>
  <Override PartName="/xl/worksheets/sheet1152.xml" ContentType="application/vnd.openxmlformats-officedocument.spreadsheetml.worksheet+xml"/>
  <Override PartName="/xl/worksheets/sheet1153.xml" ContentType="application/vnd.openxmlformats-officedocument.spreadsheetml.worksheet+xml"/>
  <Override PartName="/xl/worksheets/sheet1154.xml" ContentType="application/vnd.openxmlformats-officedocument.spreadsheetml.worksheet+xml"/>
  <Override PartName="/xl/worksheets/sheet1155.xml" ContentType="application/vnd.openxmlformats-officedocument.spreadsheetml.worksheet+xml"/>
  <Override PartName="/xl/worksheets/sheet1156.xml" ContentType="application/vnd.openxmlformats-officedocument.spreadsheetml.worksheet+xml"/>
  <Override PartName="/xl/worksheets/sheet1157.xml" ContentType="application/vnd.openxmlformats-officedocument.spreadsheetml.worksheet+xml"/>
  <Override PartName="/xl/worksheets/sheet1158.xml" ContentType="application/vnd.openxmlformats-officedocument.spreadsheetml.worksheet+xml"/>
  <Override PartName="/xl/worksheets/sheet1159.xml" ContentType="application/vnd.openxmlformats-officedocument.spreadsheetml.worksheet+xml"/>
  <Override PartName="/xl/worksheets/sheet1160.xml" ContentType="application/vnd.openxmlformats-officedocument.spreadsheetml.worksheet+xml"/>
  <Override PartName="/xl/worksheets/sheet1161.xml" ContentType="application/vnd.openxmlformats-officedocument.spreadsheetml.worksheet+xml"/>
  <Override PartName="/xl/worksheets/sheet1162.xml" ContentType="application/vnd.openxmlformats-officedocument.spreadsheetml.worksheet+xml"/>
  <Override PartName="/xl/worksheets/sheet1163.xml" ContentType="application/vnd.openxmlformats-officedocument.spreadsheetml.worksheet+xml"/>
  <Override PartName="/xl/worksheets/sheet1164.xml" ContentType="application/vnd.openxmlformats-officedocument.spreadsheetml.worksheet+xml"/>
  <Override PartName="/xl/worksheets/sheet1165.xml" ContentType="application/vnd.openxmlformats-officedocument.spreadsheetml.worksheet+xml"/>
  <Override PartName="/xl/worksheets/sheet1166.xml" ContentType="application/vnd.openxmlformats-officedocument.spreadsheetml.worksheet+xml"/>
  <Override PartName="/xl/worksheets/sheet1167.xml" ContentType="application/vnd.openxmlformats-officedocument.spreadsheetml.worksheet+xml"/>
  <Override PartName="/xl/worksheets/sheet116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2"/>
  <workbookPr showInkAnnotation="0" codeName="ThisWorkbook" defaultThemeVersion="124226"/>
  <bookViews>
    <workbookView xWindow="0" yWindow="0" windowWidth="20490" windowHeight="7755" tabRatio="738" firstSheet="1136" activeTab="1136"/>
  </bookViews>
  <sheets>
    <sheet name="0000000" sheetId="1" state="veryHidden" r:id="rId1"/>
    <sheet name="StartUp" sheetId="2" state="veryHidden" r:id="rId2"/>
    <sheet name="StartUp_2" sheetId="3" state="veryHidden" r:id="rId3"/>
    <sheet name="StartUp_3" sheetId="4" state="veryHidden" r:id="rId4"/>
    <sheet name="StartUp_4" sheetId="5" state="veryHidden" r:id="rId5"/>
    <sheet name="StartUp_5" sheetId="6" state="veryHidden" r:id="rId6"/>
    <sheet name="StartUp_6" sheetId="7" state="veryHidden" r:id="rId7"/>
    <sheet name="StartUp_7" sheetId="8" state="veryHidden" r:id="rId8"/>
    <sheet name="StartUp_8" sheetId="9" state="veryHidden" r:id="rId9"/>
    <sheet name="StartUp_9" sheetId="10" state="veryHidden" r:id="rId10"/>
    <sheet name="StartUp_10" sheetId="11" state="veryHidden" r:id="rId11"/>
    <sheet name="StartUp_11" sheetId="12" state="veryHidden" r:id="rId12"/>
    <sheet name="StartUp_12" sheetId="13" state="veryHidden" r:id="rId13"/>
    <sheet name="StartUp_13" sheetId="14" state="veryHidden" r:id="rId14"/>
    <sheet name="StartUp_14" sheetId="15" state="veryHidden" r:id="rId15"/>
    <sheet name="StartUp_15" sheetId="16" state="veryHidden" r:id="rId16"/>
    <sheet name="StartUp_16" sheetId="17" state="veryHidden" r:id="rId17"/>
    <sheet name="StartUp_17" sheetId="18" state="veryHidden" r:id="rId18"/>
    <sheet name="StartUp_18" sheetId="19" state="veryHidden" r:id="rId19"/>
    <sheet name="StartUp_19" sheetId="20" state="veryHidden" r:id="rId20"/>
    <sheet name="StartUp_20" sheetId="21" state="veryHidden" r:id="rId21"/>
    <sheet name="StartUp_21" sheetId="22" state="veryHidden" r:id="rId22"/>
    <sheet name="StartUp_22" sheetId="23" state="veryHidden" r:id="rId23"/>
    <sheet name="StartUp_23" sheetId="24" state="veryHidden" r:id="rId24"/>
    <sheet name="StartUp_24" sheetId="25" state="veryHidden" r:id="rId25"/>
    <sheet name="StartUp_25" sheetId="26" state="veryHidden" r:id="rId26"/>
    <sheet name="StartUp_26" sheetId="27" state="veryHidden" r:id="rId27"/>
    <sheet name="StartUp_27" sheetId="28" state="veryHidden" r:id="rId28"/>
    <sheet name="StartUp_28" sheetId="29" state="veryHidden" r:id="rId29"/>
    <sheet name="StartUp_29" sheetId="30" state="veryHidden" r:id="rId30"/>
    <sheet name="StartUp_30" sheetId="31" state="veryHidden" r:id="rId31"/>
    <sheet name="StartUp_31" sheetId="32" state="veryHidden" r:id="rId32"/>
    <sheet name="StartUp_32" sheetId="33" state="veryHidden" r:id="rId33"/>
    <sheet name="StartUp_33" sheetId="34" state="veryHidden" r:id="rId34"/>
    <sheet name="StartUp_34" sheetId="35" state="veryHidden" r:id="rId35"/>
    <sheet name="StartUp_35" sheetId="36" state="veryHidden" r:id="rId36"/>
    <sheet name="StartUp_36" sheetId="37" state="veryHidden" r:id="rId37"/>
    <sheet name="StartUp_37" sheetId="38" state="veryHidden" r:id="rId38"/>
    <sheet name="StartUp_38" sheetId="39" state="veryHidden" r:id="rId39"/>
    <sheet name="StartUp_39" sheetId="40" state="veryHidden" r:id="rId40"/>
    <sheet name="StartUp_40" sheetId="41" state="veryHidden" r:id="rId41"/>
    <sheet name="StartUp_41" sheetId="42" state="veryHidden" r:id="rId42"/>
    <sheet name="StartUp_42" sheetId="43" state="veryHidden" r:id="rId43"/>
    <sheet name="StartUp_43" sheetId="44" state="veryHidden" r:id="rId44"/>
    <sheet name="StartUp_44" sheetId="45" state="veryHidden" r:id="rId45"/>
    <sheet name="StartUp_45" sheetId="46" state="veryHidden" r:id="rId46"/>
    <sheet name="StartUp_46" sheetId="47" state="veryHidden" r:id="rId47"/>
    <sheet name="StartUp_47" sheetId="48" state="veryHidden" r:id="rId48"/>
    <sheet name="StartUp_48" sheetId="49" state="veryHidden" r:id="rId49"/>
    <sheet name="StartUp_49" sheetId="50" state="veryHidden" r:id="rId50"/>
    <sheet name="StartUp_50" sheetId="51" state="veryHidden" r:id="rId51"/>
    <sheet name="StartUp_51" sheetId="52" state="veryHidden" r:id="rId52"/>
    <sheet name="StartUp_52" sheetId="53" state="veryHidden" r:id="rId53"/>
    <sheet name="StartUp_53" sheetId="54" state="veryHidden" r:id="rId54"/>
    <sheet name="StartUp_54" sheetId="55" state="veryHidden" r:id="rId55"/>
    <sheet name="StartUp_55" sheetId="56" state="veryHidden" r:id="rId56"/>
    <sheet name="StartUp_56" sheetId="57" state="veryHidden" r:id="rId57"/>
    <sheet name="StartUp_57" sheetId="58" state="veryHidden" r:id="rId58"/>
    <sheet name="StartUp_58" sheetId="59" state="veryHidden" r:id="rId59"/>
    <sheet name="StartUp_59" sheetId="60" state="veryHidden" r:id="rId60"/>
    <sheet name="StartUp_60" sheetId="61" state="veryHidden" r:id="rId61"/>
    <sheet name="StartUp_61" sheetId="62" state="veryHidden" r:id="rId62"/>
    <sheet name="StartUp_62" sheetId="63" state="veryHidden" r:id="rId63"/>
    <sheet name="StartUp_63" sheetId="64" state="veryHidden" r:id="rId64"/>
    <sheet name="StartUp_64" sheetId="65" state="veryHidden" r:id="rId65"/>
    <sheet name="StartUp_65" sheetId="66" state="veryHidden" r:id="rId66"/>
    <sheet name="StartUp_66" sheetId="67" state="veryHidden" r:id="rId67"/>
    <sheet name="StartUp_67" sheetId="68" state="veryHidden" r:id="rId68"/>
    <sheet name="StartUp_68" sheetId="69" state="veryHidden" r:id="rId69"/>
    <sheet name="StartUp_69" sheetId="70" state="veryHidden" r:id="rId70"/>
    <sheet name="StartUp_70" sheetId="71" state="veryHidden" r:id="rId71"/>
    <sheet name="StartUp_71" sheetId="72" state="veryHidden" r:id="rId72"/>
    <sheet name="StartUp_72" sheetId="73" state="veryHidden" r:id="rId73"/>
    <sheet name="StartUp_73" sheetId="74" state="veryHidden" r:id="rId74"/>
    <sheet name="StartUp_74" sheetId="75" state="veryHidden" r:id="rId75"/>
    <sheet name="StartUp_75" sheetId="76" state="veryHidden" r:id="rId76"/>
    <sheet name="StartUp_76" sheetId="77" state="veryHidden" r:id="rId77"/>
    <sheet name="StartUp_77" sheetId="78" state="veryHidden" r:id="rId78"/>
    <sheet name="StartUp_78" sheetId="79" state="veryHidden" r:id="rId79"/>
    <sheet name="StartUp_79" sheetId="80" state="veryHidden" r:id="rId80"/>
    <sheet name="StartUp_80" sheetId="81" state="veryHidden" r:id="rId81"/>
    <sheet name="StartUp_81" sheetId="82" state="veryHidden" r:id="rId82"/>
    <sheet name="StartUp_82" sheetId="83" state="veryHidden" r:id="rId83"/>
    <sheet name="StartUp_83" sheetId="84" state="veryHidden" r:id="rId84"/>
    <sheet name="StartUp_84" sheetId="85" state="veryHidden" r:id="rId85"/>
    <sheet name="StartUp_85" sheetId="86" state="veryHidden" r:id="rId86"/>
    <sheet name="StartUp_86" sheetId="87" state="veryHidden" r:id="rId87"/>
    <sheet name="StartUp_87" sheetId="88" state="veryHidden" r:id="rId88"/>
    <sheet name="StartUp_88" sheetId="89" state="veryHidden" r:id="rId89"/>
    <sheet name="StartUp_89" sheetId="90" state="veryHidden" r:id="rId90"/>
    <sheet name="StartUp_90" sheetId="91" state="veryHidden" r:id="rId91"/>
    <sheet name="StartUp_91" sheetId="92" state="veryHidden" r:id="rId92"/>
    <sheet name="StartUp_92" sheetId="93" state="veryHidden" r:id="rId93"/>
    <sheet name="StartUp_93" sheetId="94" state="veryHidden" r:id="rId94"/>
    <sheet name="StartUp_94" sheetId="95" state="veryHidden" r:id="rId95"/>
    <sheet name="StartUp_95" sheetId="96" state="veryHidden" r:id="rId96"/>
    <sheet name="StartUp_96" sheetId="97" state="veryHidden" r:id="rId97"/>
    <sheet name="StartUp_97" sheetId="98" state="veryHidden" r:id="rId98"/>
    <sheet name="StartUp_98" sheetId="99" state="veryHidden" r:id="rId99"/>
    <sheet name="StartUp_99" sheetId="100" state="veryHidden" r:id="rId100"/>
    <sheet name="StartUp_100" sheetId="101" state="veryHidden" r:id="rId101"/>
    <sheet name="StartUp_101" sheetId="102" state="veryHidden" r:id="rId102"/>
    <sheet name="StartUp_102" sheetId="103" state="veryHidden" r:id="rId103"/>
    <sheet name="StartUp_103" sheetId="104" state="veryHidden" r:id="rId104"/>
    <sheet name="StartUp_104" sheetId="105" state="veryHidden" r:id="rId105"/>
    <sheet name="StartUp_105" sheetId="106" state="veryHidden" r:id="rId106"/>
    <sheet name="StartUp_106" sheetId="107" state="veryHidden" r:id="rId107"/>
    <sheet name="StartUp_107" sheetId="108" state="veryHidden" r:id="rId108"/>
    <sheet name="StartUp_108" sheetId="109" state="veryHidden" r:id="rId109"/>
    <sheet name="StartUp_109" sheetId="110" state="veryHidden" r:id="rId110"/>
    <sheet name="StartUp_110" sheetId="111" state="veryHidden" r:id="rId111"/>
    <sheet name="StartUp_111" sheetId="112" state="veryHidden" r:id="rId112"/>
    <sheet name="StartUp_112" sheetId="113" state="veryHidden" r:id="rId113"/>
    <sheet name="StartUp_113" sheetId="114" state="veryHidden" r:id="rId114"/>
    <sheet name="StartUp_114" sheetId="115" state="veryHidden" r:id="rId115"/>
    <sheet name="StartUp_115" sheetId="116" state="veryHidden" r:id="rId116"/>
    <sheet name="StartUp_116" sheetId="117" state="veryHidden" r:id="rId117"/>
    <sheet name="StartUp_117" sheetId="118" state="veryHidden" r:id="rId118"/>
    <sheet name="StartUp_118" sheetId="119" state="veryHidden" r:id="rId119"/>
    <sheet name="StartUp_119" sheetId="120" state="veryHidden" r:id="rId120"/>
    <sheet name="StartUp_120" sheetId="121" state="veryHidden" r:id="rId121"/>
    <sheet name="StartUp_121" sheetId="122" state="veryHidden" r:id="rId122"/>
    <sheet name="StartUp_122" sheetId="123" state="veryHidden" r:id="rId123"/>
    <sheet name="StartUp_123" sheetId="124" state="veryHidden" r:id="rId124"/>
    <sheet name="StartUp_124" sheetId="125" state="veryHidden" r:id="rId125"/>
    <sheet name="StartUp_125" sheetId="126" state="veryHidden" r:id="rId126"/>
    <sheet name="StartUp_126" sheetId="127" state="veryHidden" r:id="rId127"/>
    <sheet name="StartUp_127" sheetId="128" state="veryHidden" r:id="rId128"/>
    <sheet name="StartUp_128" sheetId="129" state="veryHidden" r:id="rId129"/>
    <sheet name="StartUp_129" sheetId="130" state="veryHidden" r:id="rId130"/>
    <sheet name="StartUp_130" sheetId="131" state="veryHidden" r:id="rId131"/>
    <sheet name="StartUp_131" sheetId="132" state="veryHidden" r:id="rId132"/>
    <sheet name="StartUp_132" sheetId="133" state="veryHidden" r:id="rId133"/>
    <sheet name="StartUp_133" sheetId="134" state="veryHidden" r:id="rId134"/>
    <sheet name="StartUp_134" sheetId="135" state="veryHidden" r:id="rId135"/>
    <sheet name="StartUp_135" sheetId="136" state="veryHidden" r:id="rId136"/>
    <sheet name="StartUp_136" sheetId="137" state="veryHidden" r:id="rId137"/>
    <sheet name="StartUp_137" sheetId="138" state="veryHidden" r:id="rId138"/>
    <sheet name="StartUp_138" sheetId="139" state="veryHidden" r:id="rId139"/>
    <sheet name="StartUp_139" sheetId="140" state="veryHidden" r:id="rId140"/>
    <sheet name="StartUp_140" sheetId="141" state="veryHidden" r:id="rId141"/>
    <sheet name="StartUp_141" sheetId="142" state="veryHidden" r:id="rId142"/>
    <sheet name="StartUp_142" sheetId="143" state="veryHidden" r:id="rId143"/>
    <sheet name="StartUp_143" sheetId="144" state="veryHidden" r:id="rId144"/>
    <sheet name="StartUp_144" sheetId="145" state="veryHidden" r:id="rId145"/>
    <sheet name="StartUp_145" sheetId="146" state="veryHidden" r:id="rId146"/>
    <sheet name="StartUp_146" sheetId="147" state="veryHidden" r:id="rId147"/>
    <sheet name="StartUp_147" sheetId="148" state="veryHidden" r:id="rId148"/>
    <sheet name="StartUp_148" sheetId="149" state="veryHidden" r:id="rId149"/>
    <sheet name="StartUp_149" sheetId="150" state="veryHidden" r:id="rId150"/>
    <sheet name="StartUp_150" sheetId="151" state="veryHidden" r:id="rId151"/>
    <sheet name="StartUp_151" sheetId="152" state="veryHidden" r:id="rId152"/>
    <sheet name="StartUp_152" sheetId="153" state="veryHidden" r:id="rId153"/>
    <sheet name="StartUp_153" sheetId="154" state="veryHidden" r:id="rId154"/>
    <sheet name="StartUp_154" sheetId="155" state="veryHidden" r:id="rId155"/>
    <sheet name="StartUp_155" sheetId="156" state="veryHidden" r:id="rId156"/>
    <sheet name="StartUp_156" sheetId="157" state="veryHidden" r:id="rId157"/>
    <sheet name="StartUp_157" sheetId="158" state="veryHidden" r:id="rId158"/>
    <sheet name="StartUp_158" sheetId="159" state="veryHidden" r:id="rId159"/>
    <sheet name="StartUp_159" sheetId="160" state="veryHidden" r:id="rId160"/>
    <sheet name="StartUp_160" sheetId="161" state="veryHidden" r:id="rId161"/>
    <sheet name="StartUp_161" sheetId="162" state="veryHidden" r:id="rId162"/>
    <sheet name="StartUp_162" sheetId="163" state="veryHidden" r:id="rId163"/>
    <sheet name="StartUp_163" sheetId="164" state="veryHidden" r:id="rId164"/>
    <sheet name="StartUp_164" sheetId="165" state="veryHidden" r:id="rId165"/>
    <sheet name="StartUp_165" sheetId="166" state="veryHidden" r:id="rId166"/>
    <sheet name="StartUp_166" sheetId="167" state="veryHidden" r:id="rId167"/>
    <sheet name="StartUp_167" sheetId="168" state="veryHidden" r:id="rId168"/>
    <sheet name="StartUp_168" sheetId="169" state="veryHidden" r:id="rId169"/>
    <sheet name="StartUp_169" sheetId="170" state="veryHidden" r:id="rId170"/>
    <sheet name="StartUp_170" sheetId="171" state="veryHidden" r:id="rId171"/>
    <sheet name="StartUp_171" sheetId="172" state="veryHidden" r:id="rId172"/>
    <sheet name="StartUp_172" sheetId="173" state="veryHidden" r:id="rId173"/>
    <sheet name="StartUp_173" sheetId="174" state="veryHidden" r:id="rId174"/>
    <sheet name="StartUp_174" sheetId="175" state="veryHidden" r:id="rId175"/>
    <sheet name="StartUp_175" sheetId="176" state="veryHidden" r:id="rId176"/>
    <sheet name="StartUp_176" sheetId="177" state="veryHidden" r:id="rId177"/>
    <sheet name="StartUp_177" sheetId="178" state="veryHidden" r:id="rId178"/>
    <sheet name="StartUp_178" sheetId="179" state="veryHidden" r:id="rId179"/>
    <sheet name="StartUp_179" sheetId="180" state="veryHidden" r:id="rId180"/>
    <sheet name="StartUp_180" sheetId="181" state="veryHidden" r:id="rId181"/>
    <sheet name="StartUp_181" sheetId="182" state="veryHidden" r:id="rId182"/>
    <sheet name="StartUp_182" sheetId="183" state="veryHidden" r:id="rId183"/>
    <sheet name="StartUp_183" sheetId="184" state="veryHidden" r:id="rId184"/>
    <sheet name="StartUp_184" sheetId="185" state="veryHidden" r:id="rId185"/>
    <sheet name="StartUp_185" sheetId="186" state="veryHidden" r:id="rId186"/>
    <sheet name="StartUp_186" sheetId="187" state="veryHidden" r:id="rId187"/>
    <sheet name="StartUp_187" sheetId="188" state="veryHidden" r:id="rId188"/>
    <sheet name="StartUp_188" sheetId="189" state="veryHidden" r:id="rId189"/>
    <sheet name="StartUp_189" sheetId="190" state="veryHidden" r:id="rId190"/>
    <sheet name="StartUp_190" sheetId="191" state="veryHidden" r:id="rId191"/>
    <sheet name="StartUp_191" sheetId="192" state="veryHidden" r:id="rId192"/>
    <sheet name="StartUp_192" sheetId="193" state="veryHidden" r:id="rId193"/>
    <sheet name="StartUp_193" sheetId="194" state="veryHidden" r:id="rId194"/>
    <sheet name="StartUp_194" sheetId="195" state="veryHidden" r:id="rId195"/>
    <sheet name="StartUp_195" sheetId="196" state="veryHidden" r:id="rId196"/>
    <sheet name="StartUp_196" sheetId="197" state="veryHidden" r:id="rId197"/>
    <sheet name="StartUp_197" sheetId="198" state="veryHidden" r:id="rId198"/>
    <sheet name="StartUp_198" sheetId="199" state="veryHidden" r:id="rId199"/>
    <sheet name="StartUp_199" sheetId="200" state="veryHidden" r:id="rId200"/>
    <sheet name="StartUp_200" sheetId="201" state="veryHidden" r:id="rId201"/>
    <sheet name="StartUp_201" sheetId="202" state="veryHidden" r:id="rId202"/>
    <sheet name="StartUp_202" sheetId="203" state="veryHidden" r:id="rId203"/>
    <sheet name="StartUp_203" sheetId="204" state="veryHidden" r:id="rId204"/>
    <sheet name="StartUp_204" sheetId="205" state="veryHidden" r:id="rId205"/>
    <sheet name="StartUp_205" sheetId="206" state="veryHidden" r:id="rId206"/>
    <sheet name="StartUp_206" sheetId="207" state="veryHidden" r:id="rId207"/>
    <sheet name="StartUp_207" sheetId="208" state="veryHidden" r:id="rId208"/>
    <sheet name="StartUp_208" sheetId="209" state="veryHidden" r:id="rId209"/>
    <sheet name="StartUp_209" sheetId="210" state="veryHidden" r:id="rId210"/>
    <sheet name="StartUp_210" sheetId="211" state="veryHidden" r:id="rId211"/>
    <sheet name="StartUp_211" sheetId="212" state="veryHidden" r:id="rId212"/>
    <sheet name="StartUp_212" sheetId="213" state="veryHidden" r:id="rId213"/>
    <sheet name="StartUp_213" sheetId="214" state="veryHidden" r:id="rId214"/>
    <sheet name="StartUp_214" sheetId="215" state="veryHidden" r:id="rId215"/>
    <sheet name="StartUp_215" sheetId="216" state="veryHidden" r:id="rId216"/>
    <sheet name="StartUp_216" sheetId="217" state="veryHidden" r:id="rId217"/>
    <sheet name="StartUp_217" sheetId="218" state="veryHidden" r:id="rId218"/>
    <sheet name="StartUp_218" sheetId="219" state="veryHidden" r:id="rId219"/>
    <sheet name="StartUp_219" sheetId="220" state="veryHidden" r:id="rId220"/>
    <sheet name="StartUp_220" sheetId="221" state="veryHidden" r:id="rId221"/>
    <sheet name="StartUp_221" sheetId="222" state="veryHidden" r:id="rId222"/>
    <sheet name="StartUp_222" sheetId="223" state="veryHidden" r:id="rId223"/>
    <sheet name="StartUp_223" sheetId="224" state="veryHidden" r:id="rId224"/>
    <sheet name="StartUp_224" sheetId="225" state="veryHidden" r:id="rId225"/>
    <sheet name="StartUp_225" sheetId="226" state="veryHidden" r:id="rId226"/>
    <sheet name="StartUp_226" sheetId="227" state="veryHidden" r:id="rId227"/>
    <sheet name="StartUp_227" sheetId="228" state="veryHidden" r:id="rId228"/>
    <sheet name="StartUp_228" sheetId="229" state="veryHidden" r:id="rId229"/>
    <sheet name="StartUp_229" sheetId="230" state="veryHidden" r:id="rId230"/>
    <sheet name="StartUp_230" sheetId="231" state="veryHidden" r:id="rId231"/>
    <sheet name="StartUp_231" sheetId="232" state="veryHidden" r:id="rId232"/>
    <sheet name="StartUp_232" sheetId="233" state="veryHidden" r:id="rId233"/>
    <sheet name="StartUp_233" sheetId="234" state="veryHidden" r:id="rId234"/>
    <sheet name="StartUp_234" sheetId="235" state="veryHidden" r:id="rId235"/>
    <sheet name="StartUp_235" sheetId="236" state="veryHidden" r:id="rId236"/>
    <sheet name="StartUp_236" sheetId="237" state="veryHidden" r:id="rId237"/>
    <sheet name="StartUp_237" sheetId="238" state="veryHidden" r:id="rId238"/>
    <sheet name="StartUp_238" sheetId="239" state="veryHidden" r:id="rId239"/>
    <sheet name="StartUp_239" sheetId="240" state="veryHidden" r:id="rId240"/>
    <sheet name="StartUp_240" sheetId="241" state="veryHidden" r:id="rId241"/>
    <sheet name="StartUp_241" sheetId="242" state="veryHidden" r:id="rId242"/>
    <sheet name="StartUp_242" sheetId="243" state="veryHidden" r:id="rId243"/>
    <sheet name="StartUp_243" sheetId="244" state="veryHidden" r:id="rId244"/>
    <sheet name="StartUp_244" sheetId="245" state="veryHidden" r:id="rId245"/>
    <sheet name="StartUp_245" sheetId="246" state="veryHidden" r:id="rId246"/>
    <sheet name="StartUp_246" sheetId="247" state="veryHidden" r:id="rId247"/>
    <sheet name="StartUp_247" sheetId="248" state="veryHidden" r:id="rId248"/>
    <sheet name="StartUp_248" sheetId="249" state="veryHidden" r:id="rId249"/>
    <sheet name="StartUp_249" sheetId="250" state="veryHidden" r:id="rId250"/>
    <sheet name="StartUp_250" sheetId="251" state="veryHidden" r:id="rId251"/>
    <sheet name="StartUp_251" sheetId="252" state="veryHidden" r:id="rId252"/>
    <sheet name="StartUp_252" sheetId="253" state="veryHidden" r:id="rId253"/>
    <sheet name="StartUp_253" sheetId="254" state="veryHidden" r:id="rId254"/>
    <sheet name="StartUp_254" sheetId="255" state="veryHidden" r:id="rId255"/>
    <sheet name="StartUp_255" sheetId="256" state="veryHidden" r:id="rId256"/>
    <sheet name="StartUp_256" sheetId="257" state="veryHidden" r:id="rId257"/>
    <sheet name="StartUp_257" sheetId="258" state="veryHidden" r:id="rId258"/>
    <sheet name="StartUp_258" sheetId="259" state="veryHidden" r:id="rId259"/>
    <sheet name="StartUp_259" sheetId="260" state="veryHidden" r:id="rId260"/>
    <sheet name="StartUp_260" sheetId="261" state="veryHidden" r:id="rId261"/>
    <sheet name="StartUp_261" sheetId="262" state="veryHidden" r:id="rId262"/>
    <sheet name="StartUp_262" sheetId="263" state="veryHidden" r:id="rId263"/>
    <sheet name="StartUp_263" sheetId="264" state="veryHidden" r:id="rId264"/>
    <sheet name="StartUp_264" sheetId="265" state="veryHidden" r:id="rId265"/>
    <sheet name="StartUp_265" sheetId="266" state="veryHidden" r:id="rId266"/>
    <sheet name="StartUp_266" sheetId="267" state="veryHidden" r:id="rId267"/>
    <sheet name="StartUp_267" sheetId="268" state="veryHidden" r:id="rId268"/>
    <sheet name="StartUp_268" sheetId="269" state="veryHidden" r:id="rId269"/>
    <sheet name="StartUp_269" sheetId="270" state="veryHidden" r:id="rId270"/>
    <sheet name="StartUp_270" sheetId="271" state="veryHidden" r:id="rId271"/>
    <sheet name="StartUp_271" sheetId="272" state="veryHidden" r:id="rId272"/>
    <sheet name="StartUp_272" sheetId="273" state="veryHidden" r:id="rId273"/>
    <sheet name="StartUp_273" sheetId="274" state="veryHidden" r:id="rId274"/>
    <sheet name="StartUp_274" sheetId="275" state="veryHidden" r:id="rId275"/>
    <sheet name="StartUp_275" sheetId="276" state="veryHidden" r:id="rId276"/>
    <sheet name="StartUp_276" sheetId="277" state="veryHidden" r:id="rId277"/>
    <sheet name="StartUp_277" sheetId="278" state="veryHidden" r:id="rId278"/>
    <sheet name="StartUp_278" sheetId="279" state="veryHidden" r:id="rId279"/>
    <sheet name="StartUp_279" sheetId="280" state="veryHidden" r:id="rId280"/>
    <sheet name="StartUp_280" sheetId="281" state="veryHidden" r:id="rId281"/>
    <sheet name="StartUp_281" sheetId="282" state="veryHidden" r:id="rId282"/>
    <sheet name="StartUp_282" sheetId="283" state="veryHidden" r:id="rId283"/>
    <sheet name="StartUp_283" sheetId="284" state="veryHidden" r:id="rId284"/>
    <sheet name="StartUp_284" sheetId="285" state="veryHidden" r:id="rId285"/>
    <sheet name="StartUp_285" sheetId="286" state="veryHidden" r:id="rId286"/>
    <sheet name="StartUp_286" sheetId="287" state="veryHidden" r:id="rId287"/>
    <sheet name="StartUp_287" sheetId="288" state="veryHidden" r:id="rId288"/>
    <sheet name="StartUp_288" sheetId="289" state="veryHidden" r:id="rId289"/>
    <sheet name="StartUp_289" sheetId="290" state="veryHidden" r:id="rId290"/>
    <sheet name="StartUp_290" sheetId="291" state="veryHidden" r:id="rId291"/>
    <sheet name="StartUp_291" sheetId="292" state="veryHidden" r:id="rId292"/>
    <sheet name="StartUp_292" sheetId="293" state="veryHidden" r:id="rId293"/>
    <sheet name="StartUp_293" sheetId="294" state="veryHidden" r:id="rId294"/>
    <sheet name="StartUp_294" sheetId="295" state="veryHidden" r:id="rId295"/>
    <sheet name="StartUp_295" sheetId="296" state="veryHidden" r:id="rId296"/>
    <sheet name="StartUp_296" sheetId="297" state="veryHidden" r:id="rId297"/>
    <sheet name="StartUp_297" sheetId="298" state="veryHidden" r:id="rId298"/>
    <sheet name="StartUp_298" sheetId="299" state="veryHidden" r:id="rId299"/>
    <sheet name="StartUp_299" sheetId="300" state="veryHidden" r:id="rId300"/>
    <sheet name="StartUp_300" sheetId="301" state="veryHidden" r:id="rId301"/>
    <sheet name="StartUp_301" sheetId="302" state="veryHidden" r:id="rId302"/>
    <sheet name="StartUp_302" sheetId="303" state="veryHidden" r:id="rId303"/>
    <sheet name="StartUp_303" sheetId="304" state="veryHidden" r:id="rId304"/>
    <sheet name="StartUp_304" sheetId="305" state="veryHidden" r:id="rId305"/>
    <sheet name="StartUp_305" sheetId="306" state="veryHidden" r:id="rId306"/>
    <sheet name="StartUp_306" sheetId="307" state="veryHidden" r:id="rId307"/>
    <sheet name="StartUp_307" sheetId="308" state="veryHidden" r:id="rId308"/>
    <sheet name="StartUp_308" sheetId="309" state="veryHidden" r:id="rId309"/>
    <sheet name="StartUp_309" sheetId="310" state="veryHidden" r:id="rId310"/>
    <sheet name="StartUp_310" sheetId="311" state="veryHidden" r:id="rId311"/>
    <sheet name="StartUp_311" sheetId="312" state="veryHidden" r:id="rId312"/>
    <sheet name="StartUp_312" sheetId="313" state="veryHidden" r:id="rId313"/>
    <sheet name="StartUp_313" sheetId="314" state="veryHidden" r:id="rId314"/>
    <sheet name="StartUp_314" sheetId="315" state="veryHidden" r:id="rId315"/>
    <sheet name="StartUp_315" sheetId="316" state="veryHidden" r:id="rId316"/>
    <sheet name="StartUp_316" sheetId="317" state="veryHidden" r:id="rId317"/>
    <sheet name="StartUp_317" sheetId="318" state="veryHidden" r:id="rId318"/>
    <sheet name="StartUp_318" sheetId="319" state="veryHidden" r:id="rId319"/>
    <sheet name="StartUp_319" sheetId="320" state="veryHidden" r:id="rId320"/>
    <sheet name="StartUp_320" sheetId="321" state="veryHidden" r:id="rId321"/>
    <sheet name="StartUp_321" sheetId="322" state="veryHidden" r:id="rId322"/>
    <sheet name="StartUp_322" sheetId="323" state="veryHidden" r:id="rId323"/>
    <sheet name="StartUp_323" sheetId="324" state="veryHidden" r:id="rId324"/>
    <sheet name="StartUp_324" sheetId="325" state="veryHidden" r:id="rId325"/>
    <sheet name="StartUp_325" sheetId="326" state="veryHidden" r:id="rId326"/>
    <sheet name="StartUp_326" sheetId="327" state="veryHidden" r:id="rId327"/>
    <sheet name="StartUp_327" sheetId="328" state="veryHidden" r:id="rId328"/>
    <sheet name="StartUp_328" sheetId="329" state="veryHidden" r:id="rId329"/>
    <sheet name="StartUp_329" sheetId="330" state="veryHidden" r:id="rId330"/>
    <sheet name="StartUp_330" sheetId="331" state="veryHidden" r:id="rId331"/>
    <sheet name="StartUp_331" sheetId="332" state="veryHidden" r:id="rId332"/>
    <sheet name="StartUp_332" sheetId="333" state="veryHidden" r:id="rId333"/>
    <sheet name="StartUp_333" sheetId="334" state="veryHidden" r:id="rId334"/>
    <sheet name="StartUp_334" sheetId="335" state="veryHidden" r:id="rId335"/>
    <sheet name="StartUp_335" sheetId="336" state="veryHidden" r:id="rId336"/>
    <sheet name="StartUp_336" sheetId="337" state="veryHidden" r:id="rId337"/>
    <sheet name="StartUp_337" sheetId="338" state="veryHidden" r:id="rId338"/>
    <sheet name="StartUp_338" sheetId="339" state="veryHidden" r:id="rId339"/>
    <sheet name="StartUp_339" sheetId="340" state="veryHidden" r:id="rId340"/>
    <sheet name="StartUp_340" sheetId="341" state="veryHidden" r:id="rId341"/>
    <sheet name="StartUp_341" sheetId="342" state="veryHidden" r:id="rId342"/>
    <sheet name="StartUp_342" sheetId="343" state="veryHidden" r:id="rId343"/>
    <sheet name="StartUp_343" sheetId="344" state="veryHidden" r:id="rId344"/>
    <sheet name="StartUp_344" sheetId="345" state="veryHidden" r:id="rId345"/>
    <sheet name="StartUp_345" sheetId="346" state="veryHidden" r:id="rId346"/>
    <sheet name="StartUp_346" sheetId="347" state="veryHidden" r:id="rId347"/>
    <sheet name="StartUp_347" sheetId="348" state="veryHidden" r:id="rId348"/>
    <sheet name="StartUp_348" sheetId="349" state="veryHidden" r:id="rId349"/>
    <sheet name="StartUp_349" sheetId="350" state="veryHidden" r:id="rId350"/>
    <sheet name="StartUp_350" sheetId="351" state="veryHidden" r:id="rId351"/>
    <sheet name="StartUp_351" sheetId="352" state="veryHidden" r:id="rId352"/>
    <sheet name="StartUp_352" sheetId="353" state="veryHidden" r:id="rId353"/>
    <sheet name="StartUp_353" sheetId="354" state="veryHidden" r:id="rId354"/>
    <sheet name="StartUp_354" sheetId="355" state="veryHidden" r:id="rId355"/>
    <sheet name="StartUp_355" sheetId="356" state="veryHidden" r:id="rId356"/>
    <sheet name="StartUp_356" sheetId="357" state="veryHidden" r:id="rId357"/>
    <sheet name="StartUp_357" sheetId="358" state="veryHidden" r:id="rId358"/>
    <sheet name="StartUp_358" sheetId="359" state="veryHidden" r:id="rId359"/>
    <sheet name="StartUp_359" sheetId="360" state="veryHidden" r:id="rId360"/>
    <sheet name="StartUp_360" sheetId="361" state="veryHidden" r:id="rId361"/>
    <sheet name="StartUp_361" sheetId="362" state="veryHidden" r:id="rId362"/>
    <sheet name="StartUp_362" sheetId="363" state="veryHidden" r:id="rId363"/>
    <sheet name="StartUp_363" sheetId="364" state="veryHidden" r:id="rId364"/>
    <sheet name="StartUp_364" sheetId="365" state="veryHidden" r:id="rId365"/>
    <sheet name="StartUp_365" sheetId="366" state="veryHidden" r:id="rId366"/>
    <sheet name="StartUp_366" sheetId="367" state="veryHidden" r:id="rId367"/>
    <sheet name="StartUp_367" sheetId="368" state="veryHidden" r:id="rId368"/>
    <sheet name="StartUp_368" sheetId="369" state="veryHidden" r:id="rId369"/>
    <sheet name="StartUp_369" sheetId="370" state="veryHidden" r:id="rId370"/>
    <sheet name="StartUp_370" sheetId="371" state="veryHidden" r:id="rId371"/>
    <sheet name="StartUp_371" sheetId="372" state="veryHidden" r:id="rId372"/>
    <sheet name="StartUp_372" sheetId="373" state="veryHidden" r:id="rId373"/>
    <sheet name="StartUp_373" sheetId="374" state="veryHidden" r:id="rId374"/>
    <sheet name="StartUp_374" sheetId="375" state="veryHidden" r:id="rId375"/>
    <sheet name="StartUp_375" sheetId="376" state="veryHidden" r:id="rId376"/>
    <sheet name="StartUp_376" sheetId="377" state="veryHidden" r:id="rId377"/>
    <sheet name="StartUp_377" sheetId="378" state="veryHidden" r:id="rId378"/>
    <sheet name="StartUp_378" sheetId="379" state="veryHidden" r:id="rId379"/>
    <sheet name="StartUp_379" sheetId="380" state="veryHidden" r:id="rId380"/>
    <sheet name="StartUp_380" sheetId="381" state="veryHidden" r:id="rId381"/>
    <sheet name="StartUp_381" sheetId="382" state="veryHidden" r:id="rId382"/>
    <sheet name="StartUp_382" sheetId="383" state="veryHidden" r:id="rId383"/>
    <sheet name="StartUp_383" sheetId="384" state="veryHidden" r:id="rId384"/>
    <sheet name="StartUp_384" sheetId="385" state="veryHidden" r:id="rId385"/>
    <sheet name="StartUp_385" sheetId="386" state="veryHidden" r:id="rId386"/>
    <sheet name="StartUp_386" sheetId="387" state="veryHidden" r:id="rId387"/>
    <sheet name="StartUp_387" sheetId="388" state="veryHidden" r:id="rId388"/>
    <sheet name="StartUp_388" sheetId="389" state="veryHidden" r:id="rId389"/>
    <sheet name="StartUp_389" sheetId="390" state="veryHidden" r:id="rId390"/>
    <sheet name="StartUp_390" sheetId="391" state="veryHidden" r:id="rId391"/>
    <sheet name="StartUp_391" sheetId="392" state="veryHidden" r:id="rId392"/>
    <sheet name="StartUp_392" sheetId="393" state="veryHidden" r:id="rId393"/>
    <sheet name="StartUp_393" sheetId="394" state="veryHidden" r:id="rId394"/>
    <sheet name="StartUp_394" sheetId="395" state="veryHidden" r:id="rId395"/>
    <sheet name="StartUp_395" sheetId="396" state="veryHidden" r:id="rId396"/>
    <sheet name="StartUp_396" sheetId="397" state="veryHidden" r:id="rId397"/>
    <sheet name="StartUp_397" sheetId="398" state="veryHidden" r:id="rId398"/>
    <sheet name="StartUp_398" sheetId="399" state="veryHidden" r:id="rId399"/>
    <sheet name="StartUp_399" sheetId="400" state="veryHidden" r:id="rId400"/>
    <sheet name="StartUp_400" sheetId="401" state="veryHidden" r:id="rId401"/>
    <sheet name="StartUp_401" sheetId="402" state="veryHidden" r:id="rId402"/>
    <sheet name="StartUp_402" sheetId="403" state="veryHidden" r:id="rId403"/>
    <sheet name="StartUp_403" sheetId="404" state="veryHidden" r:id="rId404"/>
    <sheet name="StartUp_404" sheetId="405" state="veryHidden" r:id="rId405"/>
    <sheet name="StartUp_405" sheetId="406" state="veryHidden" r:id="rId406"/>
    <sheet name="StartUp_406" sheetId="407" state="veryHidden" r:id="rId407"/>
    <sheet name="StartUp_407" sheetId="408" state="veryHidden" r:id="rId408"/>
    <sheet name="StartUp_408" sheetId="409" state="veryHidden" r:id="rId409"/>
    <sheet name="StartUp_409" sheetId="410" state="veryHidden" r:id="rId410"/>
    <sheet name="StartUp_410" sheetId="411" state="veryHidden" r:id="rId411"/>
    <sheet name="StartUp_411" sheetId="412" state="veryHidden" r:id="rId412"/>
    <sheet name="StartUp_412" sheetId="413" state="veryHidden" r:id="rId413"/>
    <sheet name="StartUp_413" sheetId="414" state="veryHidden" r:id="rId414"/>
    <sheet name="StartUp_414" sheetId="415" state="veryHidden" r:id="rId415"/>
    <sheet name="StartUp_415" sheetId="416" state="veryHidden" r:id="rId416"/>
    <sheet name="StartUp_416" sheetId="417" state="veryHidden" r:id="rId417"/>
    <sheet name="StartUp_417" sheetId="418" state="veryHidden" r:id="rId418"/>
    <sheet name="StartUp_418" sheetId="419" state="veryHidden" r:id="rId419"/>
    <sheet name="StartUp_419" sheetId="420" state="veryHidden" r:id="rId420"/>
    <sheet name="StartUp_420" sheetId="421" state="veryHidden" r:id="rId421"/>
    <sheet name="StartUp_421" sheetId="422" state="veryHidden" r:id="rId422"/>
    <sheet name="StartUp_422" sheetId="423" state="veryHidden" r:id="rId423"/>
    <sheet name="StartUp_423" sheetId="424" state="veryHidden" r:id="rId424"/>
    <sheet name="StartUp_424" sheetId="425" state="veryHidden" r:id="rId425"/>
    <sheet name="StartUp_425" sheetId="426" state="veryHidden" r:id="rId426"/>
    <sheet name="StartUp_426" sheetId="427" state="veryHidden" r:id="rId427"/>
    <sheet name="StartUp_427" sheetId="428" state="veryHidden" r:id="rId428"/>
    <sheet name="StartUp_428" sheetId="429" state="veryHidden" r:id="rId429"/>
    <sheet name="StartUp_429" sheetId="430" state="veryHidden" r:id="rId430"/>
    <sheet name="StartUp_430" sheetId="431" state="veryHidden" r:id="rId431"/>
    <sheet name="StartUp_431" sheetId="432" state="veryHidden" r:id="rId432"/>
    <sheet name="StartUp_432" sheetId="433" state="veryHidden" r:id="rId433"/>
    <sheet name="StartUp_433" sheetId="434" state="veryHidden" r:id="rId434"/>
    <sheet name="StartUp_434" sheetId="435" state="veryHidden" r:id="rId435"/>
    <sheet name="StartUp_435" sheetId="436" state="veryHidden" r:id="rId436"/>
    <sheet name="StartUp_436" sheetId="437" state="veryHidden" r:id="rId437"/>
    <sheet name="StartUp_437" sheetId="438" state="veryHidden" r:id="rId438"/>
    <sheet name="StartUp_438" sheetId="439" state="veryHidden" r:id="rId439"/>
    <sheet name="StartUp_439" sheetId="440" state="veryHidden" r:id="rId440"/>
    <sheet name="StartUp_440" sheetId="441" state="veryHidden" r:id="rId441"/>
    <sheet name="StartUp_441" sheetId="442" state="veryHidden" r:id="rId442"/>
    <sheet name="StartUp_442" sheetId="443" state="veryHidden" r:id="rId443"/>
    <sheet name="StartUp_443" sheetId="444" state="veryHidden" r:id="rId444"/>
    <sheet name="StartUp_444" sheetId="445" state="veryHidden" r:id="rId445"/>
    <sheet name="StartUp_445" sheetId="446" state="veryHidden" r:id="rId446"/>
    <sheet name="StartUp_446" sheetId="447" state="veryHidden" r:id="rId447"/>
    <sheet name="StartUp_447" sheetId="448" state="veryHidden" r:id="rId448"/>
    <sheet name="StartUp_448" sheetId="449" state="veryHidden" r:id="rId449"/>
    <sheet name="StartUp_449" sheetId="450" state="veryHidden" r:id="rId450"/>
    <sheet name="StartUp_450" sheetId="451" state="veryHidden" r:id="rId451"/>
    <sheet name="StartUp_451" sheetId="452" state="veryHidden" r:id="rId452"/>
    <sheet name="StartUp_452" sheetId="453" state="veryHidden" r:id="rId453"/>
    <sheet name="StartUp_453" sheetId="454" state="veryHidden" r:id="rId454"/>
    <sheet name="StartUp_454" sheetId="455" state="veryHidden" r:id="rId455"/>
    <sheet name="StartUp_455" sheetId="456" state="veryHidden" r:id="rId456"/>
    <sheet name="StartUp_456" sheetId="457" state="veryHidden" r:id="rId457"/>
    <sheet name="StartUp_457" sheetId="458" state="veryHidden" r:id="rId458"/>
    <sheet name="StartUp_458" sheetId="459" state="veryHidden" r:id="rId459"/>
    <sheet name="StartUp_459" sheetId="460" state="veryHidden" r:id="rId460"/>
    <sheet name="StartUp_460" sheetId="461" state="veryHidden" r:id="rId461"/>
    <sheet name="StartUp_461" sheetId="462" state="veryHidden" r:id="rId462"/>
    <sheet name="StartUp_462" sheetId="463" state="veryHidden" r:id="rId463"/>
    <sheet name="StartUp_463" sheetId="464" state="veryHidden" r:id="rId464"/>
    <sheet name="StartUp_464" sheetId="465" state="veryHidden" r:id="rId465"/>
    <sheet name="StartUp_465" sheetId="466" state="veryHidden" r:id="rId466"/>
    <sheet name="StartUp_466" sheetId="467" state="veryHidden" r:id="rId467"/>
    <sheet name="StartUp_467" sheetId="468" state="veryHidden" r:id="rId468"/>
    <sheet name="StartUp_468" sheetId="469" state="veryHidden" r:id="rId469"/>
    <sheet name="StartUp_469" sheetId="470" state="veryHidden" r:id="rId470"/>
    <sheet name="StartUp_470" sheetId="471" state="veryHidden" r:id="rId471"/>
    <sheet name="StartUp_471" sheetId="472" state="veryHidden" r:id="rId472"/>
    <sheet name="StartUp_472" sheetId="473" state="veryHidden" r:id="rId473"/>
    <sheet name="StartUp_473" sheetId="474" state="veryHidden" r:id="rId474"/>
    <sheet name="StartUp_474" sheetId="475" state="veryHidden" r:id="rId475"/>
    <sheet name="StartUp_475" sheetId="476" state="veryHidden" r:id="rId476"/>
    <sheet name="StartUp_476" sheetId="477" state="veryHidden" r:id="rId477"/>
    <sheet name="StartUp_477" sheetId="478" state="veryHidden" r:id="rId478"/>
    <sheet name="StartUp_478" sheetId="479" state="veryHidden" r:id="rId479"/>
    <sheet name="StartUp_479" sheetId="480" state="veryHidden" r:id="rId480"/>
    <sheet name="StartUp_480" sheetId="481" state="veryHidden" r:id="rId481"/>
    <sheet name="StartUp_481" sheetId="482" state="veryHidden" r:id="rId482"/>
    <sheet name="StartUp_482" sheetId="483" state="veryHidden" r:id="rId483"/>
    <sheet name="StartUp_483" sheetId="484" state="veryHidden" r:id="rId484"/>
    <sheet name="StartUp_484" sheetId="485" state="veryHidden" r:id="rId485"/>
    <sheet name="StartUp_485" sheetId="486" state="veryHidden" r:id="rId486"/>
    <sheet name="StartUp_486" sheetId="487" state="veryHidden" r:id="rId487"/>
    <sheet name="StartUp_487" sheetId="488" state="veryHidden" r:id="rId488"/>
    <sheet name="StartUp_488" sheetId="489" state="veryHidden" r:id="rId489"/>
    <sheet name="StartUp_489" sheetId="490" state="veryHidden" r:id="rId490"/>
    <sheet name="StartUp_490" sheetId="491" state="veryHidden" r:id="rId491"/>
    <sheet name="StartUp_491" sheetId="492" state="veryHidden" r:id="rId492"/>
    <sheet name="StartUp_492" sheetId="493" state="veryHidden" r:id="rId493"/>
    <sheet name="StartUp_493" sheetId="494" state="veryHidden" r:id="rId494"/>
    <sheet name="StartUp_494" sheetId="495" state="veryHidden" r:id="rId495"/>
    <sheet name="StartUp_495" sheetId="496" state="veryHidden" r:id="rId496"/>
    <sheet name="StartUp_496" sheetId="497" state="veryHidden" r:id="rId497"/>
    <sheet name="StartUp_497" sheetId="498" state="veryHidden" r:id="rId498"/>
    <sheet name="StartUp_498" sheetId="499" state="veryHidden" r:id="rId499"/>
    <sheet name="StartUp_499" sheetId="500" state="veryHidden" r:id="rId500"/>
    <sheet name="StartUp_500" sheetId="501" state="veryHidden" r:id="rId501"/>
    <sheet name="StartUp_501" sheetId="502" state="veryHidden" r:id="rId502"/>
    <sheet name="StartUp_502" sheetId="503" state="veryHidden" r:id="rId503"/>
    <sheet name="StartUp_503" sheetId="504" state="veryHidden" r:id="rId504"/>
    <sheet name="StartUp_504" sheetId="505" state="veryHidden" r:id="rId505"/>
    <sheet name="StartUp_505" sheetId="506" state="veryHidden" r:id="rId506"/>
    <sheet name="StartUp_506" sheetId="507" state="veryHidden" r:id="rId507"/>
    <sheet name="StartUp_507" sheetId="508" state="veryHidden" r:id="rId508"/>
    <sheet name="StartUp_508" sheetId="509" state="veryHidden" r:id="rId509"/>
    <sheet name="StartUp_509" sheetId="510" state="veryHidden" r:id="rId510"/>
    <sheet name="StartUp_510" sheetId="511" state="veryHidden" r:id="rId511"/>
    <sheet name="StartUp_511" sheetId="512" state="veryHidden" r:id="rId512"/>
    <sheet name="StartUp_512" sheetId="513" state="veryHidden" r:id="rId513"/>
    <sheet name="StartUp_513" sheetId="514" state="veryHidden" r:id="rId514"/>
    <sheet name="StartUp_514" sheetId="515" state="veryHidden" r:id="rId515"/>
    <sheet name="StartUp_515" sheetId="516" state="veryHidden" r:id="rId516"/>
    <sheet name="StartUp_516" sheetId="517" state="veryHidden" r:id="rId517"/>
    <sheet name="StartUp_517" sheetId="518" state="veryHidden" r:id="rId518"/>
    <sheet name="StartUp_518" sheetId="519" state="veryHidden" r:id="rId519"/>
    <sheet name="StartUp_519" sheetId="520" state="veryHidden" r:id="rId520"/>
    <sheet name="StartUp_520" sheetId="521" state="veryHidden" r:id="rId521"/>
    <sheet name="StartUp_521" sheetId="522" state="veryHidden" r:id="rId522"/>
    <sheet name="StartUp_522" sheetId="523" state="veryHidden" r:id="rId523"/>
    <sheet name="StartUp_523" sheetId="524" state="veryHidden" r:id="rId524"/>
    <sheet name="StartUp_524" sheetId="525" state="veryHidden" r:id="rId525"/>
    <sheet name="StartUp_525" sheetId="526" state="veryHidden" r:id="rId526"/>
    <sheet name="StartUp_526" sheetId="527" state="veryHidden" r:id="rId527"/>
    <sheet name="StartUp_527" sheetId="528" state="veryHidden" r:id="rId528"/>
    <sheet name="StartUp_528" sheetId="529" state="veryHidden" r:id="rId529"/>
    <sheet name="StartUp_529" sheetId="530" state="veryHidden" r:id="rId530"/>
    <sheet name="StartUp_530" sheetId="531" state="veryHidden" r:id="rId531"/>
    <sheet name="StartUp_531" sheetId="532" state="veryHidden" r:id="rId532"/>
    <sheet name="StartUp_532" sheetId="533" state="veryHidden" r:id="rId533"/>
    <sheet name="StartUp_533" sheetId="534" state="veryHidden" r:id="rId534"/>
    <sheet name="StartUp_534" sheetId="535" state="veryHidden" r:id="rId535"/>
    <sheet name="StartUp_535" sheetId="536" state="veryHidden" r:id="rId536"/>
    <sheet name="StartUp_536" sheetId="537" state="veryHidden" r:id="rId537"/>
    <sheet name="StartUp_537" sheetId="538" state="veryHidden" r:id="rId538"/>
    <sheet name="StartUp_538" sheetId="539" state="veryHidden" r:id="rId539"/>
    <sheet name="StartUp_539" sheetId="540" state="veryHidden" r:id="rId540"/>
    <sheet name="StartUp_540" sheetId="541" state="veryHidden" r:id="rId541"/>
    <sheet name="StartUp_541" sheetId="542" state="veryHidden" r:id="rId542"/>
    <sheet name="StartUp_542" sheetId="543" state="veryHidden" r:id="rId543"/>
    <sheet name="StartUp_543" sheetId="544" state="veryHidden" r:id="rId544"/>
    <sheet name="StartUp_544" sheetId="545" state="veryHidden" r:id="rId545"/>
    <sheet name="StartUp_545" sheetId="546" state="veryHidden" r:id="rId546"/>
    <sheet name="StartUp_546" sheetId="547" state="veryHidden" r:id="rId547"/>
    <sheet name="StartUp_547" sheetId="548" state="veryHidden" r:id="rId548"/>
    <sheet name="StartUp_548" sheetId="549" state="veryHidden" r:id="rId549"/>
    <sheet name="StartUp_549" sheetId="550" state="veryHidden" r:id="rId550"/>
    <sheet name="StartUp_550" sheetId="551" state="veryHidden" r:id="rId551"/>
    <sheet name="StartUp_551" sheetId="552" state="veryHidden" r:id="rId552"/>
    <sheet name="StartUp_552" sheetId="553" state="veryHidden" r:id="rId553"/>
    <sheet name="StartUp_553" sheetId="554" state="veryHidden" r:id="rId554"/>
    <sheet name="StartUp_554" sheetId="555" state="veryHidden" r:id="rId555"/>
    <sheet name="StartUp_555" sheetId="556" state="veryHidden" r:id="rId556"/>
    <sheet name="StartUp_556" sheetId="557" state="veryHidden" r:id="rId557"/>
    <sheet name="StartUp_557" sheetId="558" state="veryHidden" r:id="rId558"/>
    <sheet name="StartUp_558" sheetId="559" state="veryHidden" r:id="rId559"/>
    <sheet name="StartUp_559" sheetId="560" state="veryHidden" r:id="rId560"/>
    <sheet name="StartUp_560" sheetId="561" state="veryHidden" r:id="rId561"/>
    <sheet name="StartUp_561" sheetId="562" state="veryHidden" r:id="rId562"/>
    <sheet name="StartUp_562" sheetId="563" state="veryHidden" r:id="rId563"/>
    <sheet name="StartUp_563" sheetId="564" state="veryHidden" r:id="rId564"/>
    <sheet name="StartUp_564" sheetId="565" state="veryHidden" r:id="rId565"/>
    <sheet name="StartUp_565" sheetId="566" state="veryHidden" r:id="rId566"/>
    <sheet name="StartUp_566" sheetId="567" state="veryHidden" r:id="rId567"/>
    <sheet name="StartUp_567" sheetId="568" state="veryHidden" r:id="rId568"/>
    <sheet name="StartUp_568" sheetId="569" state="veryHidden" r:id="rId569"/>
    <sheet name="StartUp_569" sheetId="570" state="veryHidden" r:id="rId570"/>
    <sheet name="StartUp_570" sheetId="571" state="veryHidden" r:id="rId571"/>
    <sheet name="StartUp_571" sheetId="572" state="veryHidden" r:id="rId572"/>
    <sheet name="StartUp_572" sheetId="573" state="veryHidden" r:id="rId573"/>
    <sheet name="StartUp_573" sheetId="574" state="veryHidden" r:id="rId574"/>
    <sheet name="StartUp_574" sheetId="575" state="veryHidden" r:id="rId575"/>
    <sheet name="StartUp_575" sheetId="576" state="veryHidden" r:id="rId576"/>
    <sheet name="StartUp_576" sheetId="577" state="veryHidden" r:id="rId577"/>
    <sheet name="StartUp_577" sheetId="578" state="veryHidden" r:id="rId578"/>
    <sheet name="StartUp_578" sheetId="579" state="veryHidden" r:id="rId579"/>
    <sheet name="StartUp_579" sheetId="580" state="veryHidden" r:id="rId580"/>
    <sheet name="StartUp_580" sheetId="581" state="veryHidden" r:id="rId581"/>
    <sheet name="StartUp_581" sheetId="582" state="veryHidden" r:id="rId582"/>
    <sheet name="StartUp_582" sheetId="583" state="veryHidden" r:id="rId583"/>
    <sheet name="StartUp_583" sheetId="584" state="veryHidden" r:id="rId584"/>
    <sheet name="StartUp_584" sheetId="585" state="veryHidden" r:id="rId585"/>
    <sheet name="StartUp_585" sheetId="586" state="veryHidden" r:id="rId586"/>
    <sheet name="StartUp_586" sheetId="587" state="veryHidden" r:id="rId587"/>
    <sheet name="StartUp_587" sheetId="588" state="veryHidden" r:id="rId588"/>
    <sheet name="StartUp_588" sheetId="589" state="veryHidden" r:id="rId589"/>
    <sheet name="StartUp_589" sheetId="590" state="veryHidden" r:id="rId590"/>
    <sheet name="StartUp_590" sheetId="591" state="veryHidden" r:id="rId591"/>
    <sheet name="StartUp_591" sheetId="592" state="veryHidden" r:id="rId592"/>
    <sheet name="StartUp_592" sheetId="593" state="veryHidden" r:id="rId593"/>
    <sheet name="StartUp_593" sheetId="594" state="veryHidden" r:id="rId594"/>
    <sheet name="StartUp_594" sheetId="595" state="veryHidden" r:id="rId595"/>
    <sheet name="StartUp_595" sheetId="596" state="veryHidden" r:id="rId596"/>
    <sheet name="StartUp_596" sheetId="597" state="veryHidden" r:id="rId597"/>
    <sheet name="StartUp_597" sheetId="598" state="veryHidden" r:id="rId598"/>
    <sheet name="StartUp_598" sheetId="599" state="veryHidden" r:id="rId599"/>
    <sheet name="StartUp_599" sheetId="600" state="veryHidden" r:id="rId600"/>
    <sheet name="StartUp_600" sheetId="601" state="veryHidden" r:id="rId601"/>
    <sheet name="StartUp_601" sheetId="602" state="veryHidden" r:id="rId602"/>
    <sheet name="StartUp_602" sheetId="603" state="veryHidden" r:id="rId603"/>
    <sheet name="StartUp_603" sheetId="604" state="veryHidden" r:id="rId604"/>
    <sheet name="StartUp_604" sheetId="605" state="veryHidden" r:id="rId605"/>
    <sheet name="StartUp_605" sheetId="606" state="veryHidden" r:id="rId606"/>
    <sheet name="StartUp_606" sheetId="607" state="veryHidden" r:id="rId607"/>
    <sheet name="StartUp_607" sheetId="608" state="veryHidden" r:id="rId608"/>
    <sheet name="StartUp_608" sheetId="609" state="veryHidden" r:id="rId609"/>
    <sheet name="StartUp_609" sheetId="610" state="veryHidden" r:id="rId610"/>
    <sheet name="StartUp_610" sheetId="611" state="veryHidden" r:id="rId611"/>
    <sheet name="StartUp_611" sheetId="612" state="veryHidden" r:id="rId612"/>
    <sheet name="StartUp_612" sheetId="613" state="veryHidden" r:id="rId613"/>
    <sheet name="StartUp_613" sheetId="614" state="veryHidden" r:id="rId614"/>
    <sheet name="StartUp_614" sheetId="615" state="veryHidden" r:id="rId615"/>
    <sheet name="StartUp_615" sheetId="616" state="veryHidden" r:id="rId616"/>
    <sheet name="StartUp_616" sheetId="617" state="veryHidden" r:id="rId617"/>
    <sheet name="StartUp_617" sheetId="618" state="veryHidden" r:id="rId618"/>
    <sheet name="StartUp_618" sheetId="619" state="veryHidden" r:id="rId619"/>
    <sheet name="StartUp_619" sheetId="620" state="veryHidden" r:id="rId620"/>
    <sheet name="StartUp_620" sheetId="621" state="veryHidden" r:id="rId621"/>
    <sheet name="StartUp_621" sheetId="622" state="veryHidden" r:id="rId622"/>
    <sheet name="StartUp_622" sheetId="623" state="veryHidden" r:id="rId623"/>
    <sheet name="StartUp_623" sheetId="624" state="veryHidden" r:id="rId624"/>
    <sheet name="StartUp_624" sheetId="625" state="veryHidden" r:id="rId625"/>
    <sheet name="StartUp_625" sheetId="626" state="veryHidden" r:id="rId626"/>
    <sheet name="StartUp_626" sheetId="627" state="veryHidden" r:id="rId627"/>
    <sheet name="StartUp_627" sheetId="628" state="veryHidden" r:id="rId628"/>
    <sheet name="StartUp_628" sheetId="629" state="veryHidden" r:id="rId629"/>
    <sheet name="StartUp_629" sheetId="630" state="veryHidden" r:id="rId630"/>
    <sheet name="StartUp_630" sheetId="631" state="veryHidden" r:id="rId631"/>
    <sheet name="StartUp_631" sheetId="632" state="veryHidden" r:id="rId632"/>
    <sheet name="StartUp_632" sheetId="633" state="veryHidden" r:id="rId633"/>
    <sheet name="StartUp_633" sheetId="634" state="veryHidden" r:id="rId634"/>
    <sheet name="StartUp_634" sheetId="635" state="veryHidden" r:id="rId635"/>
    <sheet name="StartUp_635" sheetId="636" state="veryHidden" r:id="rId636"/>
    <sheet name="StartUp_636" sheetId="637" state="veryHidden" r:id="rId637"/>
    <sheet name="StartUp_637" sheetId="638" state="veryHidden" r:id="rId638"/>
    <sheet name="StartUp_638" sheetId="639" state="veryHidden" r:id="rId639"/>
    <sheet name="StartUp_639" sheetId="640" state="veryHidden" r:id="rId640"/>
    <sheet name="StartUp_640" sheetId="641" state="veryHidden" r:id="rId641"/>
    <sheet name="StartUp_641" sheetId="642" state="veryHidden" r:id="rId642"/>
    <sheet name="StartUp_642" sheetId="643" state="veryHidden" r:id="rId643"/>
    <sheet name="StartUp_643" sheetId="644" state="veryHidden" r:id="rId644"/>
    <sheet name="StartUp_644" sheetId="645" state="veryHidden" r:id="rId645"/>
    <sheet name="StartUp_645" sheetId="646" state="veryHidden" r:id="rId646"/>
    <sheet name="StartUp_646" sheetId="647" state="veryHidden" r:id="rId647"/>
    <sheet name="StartUp_647" sheetId="648" state="veryHidden" r:id="rId648"/>
    <sheet name="StartUp_648" sheetId="649" state="veryHidden" r:id="rId649"/>
    <sheet name="StartUp_649" sheetId="650" state="veryHidden" r:id="rId650"/>
    <sheet name="StartUp_650" sheetId="651" state="veryHidden" r:id="rId651"/>
    <sheet name="StartUp_651" sheetId="652" state="veryHidden" r:id="rId652"/>
    <sheet name="StartUp_652" sheetId="653" state="veryHidden" r:id="rId653"/>
    <sheet name="StartUp_653" sheetId="654" state="veryHidden" r:id="rId654"/>
    <sheet name="StartUp_654" sheetId="655" state="veryHidden" r:id="rId655"/>
    <sheet name="StartUp_655" sheetId="656" state="veryHidden" r:id="rId656"/>
    <sheet name="StartUp_656" sheetId="657" state="veryHidden" r:id="rId657"/>
    <sheet name="StartUp_657" sheetId="658" state="veryHidden" r:id="rId658"/>
    <sheet name="StartUp_658" sheetId="659" state="veryHidden" r:id="rId659"/>
    <sheet name="StartUp_659" sheetId="660" state="veryHidden" r:id="rId660"/>
    <sheet name="StartUp_660" sheetId="661" state="veryHidden" r:id="rId661"/>
    <sheet name="StartUp_661" sheetId="662" state="veryHidden" r:id="rId662"/>
    <sheet name="StartUp_662" sheetId="663" state="veryHidden" r:id="rId663"/>
    <sheet name="StartUp_663" sheetId="664" state="veryHidden" r:id="rId664"/>
    <sheet name="StartUp_664" sheetId="665" state="veryHidden" r:id="rId665"/>
    <sheet name="StartUp_665" sheetId="666" state="veryHidden" r:id="rId666"/>
    <sheet name="StartUp_666" sheetId="667" state="veryHidden" r:id="rId667"/>
    <sheet name="StartUp_667" sheetId="668" state="veryHidden" r:id="rId668"/>
    <sheet name="StartUp_668" sheetId="669" state="veryHidden" r:id="rId669"/>
    <sheet name="StartUp_669" sheetId="670" state="veryHidden" r:id="rId670"/>
    <sheet name="StartUp_670" sheetId="671" state="veryHidden" r:id="rId671"/>
    <sheet name="StartUp_671" sheetId="672" state="veryHidden" r:id="rId672"/>
    <sheet name="StartUp_672" sheetId="673" state="veryHidden" r:id="rId673"/>
    <sheet name="StartUp_673" sheetId="674" state="veryHidden" r:id="rId674"/>
    <sheet name="StartUp_674" sheetId="675" state="veryHidden" r:id="rId675"/>
    <sheet name="StartUp_675" sheetId="676" state="veryHidden" r:id="rId676"/>
    <sheet name="StartUp_676" sheetId="677" state="veryHidden" r:id="rId677"/>
    <sheet name="StartUp_677" sheetId="678" state="veryHidden" r:id="rId678"/>
    <sheet name="StartUp_678" sheetId="679" state="veryHidden" r:id="rId679"/>
    <sheet name="StartUp_679" sheetId="680" state="veryHidden" r:id="rId680"/>
    <sheet name="StartUp_680" sheetId="681" state="veryHidden" r:id="rId681"/>
    <sheet name="StartUp_681" sheetId="682" state="veryHidden" r:id="rId682"/>
    <sheet name="StartUp_682" sheetId="683" state="veryHidden" r:id="rId683"/>
    <sheet name="StartUp_683" sheetId="684" state="veryHidden" r:id="rId684"/>
    <sheet name="StartUp_684" sheetId="685" state="veryHidden" r:id="rId685"/>
    <sheet name="StartUp_685" sheetId="686" state="veryHidden" r:id="rId686"/>
    <sheet name="StartUp_686" sheetId="687" state="veryHidden" r:id="rId687"/>
    <sheet name="StartUp_687" sheetId="688" state="veryHidden" r:id="rId688"/>
    <sheet name="StartUp_688" sheetId="689" state="veryHidden" r:id="rId689"/>
    <sheet name="StartUp_689" sheetId="690" state="veryHidden" r:id="rId690"/>
    <sheet name="StartUp_690" sheetId="691" state="veryHidden" r:id="rId691"/>
    <sheet name="StartUp_691" sheetId="692" state="veryHidden" r:id="rId692"/>
    <sheet name="StartUp_692" sheetId="693" state="veryHidden" r:id="rId693"/>
    <sheet name="StartUp_693" sheetId="694" state="veryHidden" r:id="rId694"/>
    <sheet name="StartUp_694" sheetId="695" state="veryHidden" r:id="rId695"/>
    <sheet name="StartUp_695" sheetId="696" state="veryHidden" r:id="rId696"/>
    <sheet name="StartUp_696" sheetId="697" state="veryHidden" r:id="rId697"/>
    <sheet name="StartUp_697" sheetId="698" state="veryHidden" r:id="rId698"/>
    <sheet name="StartUp_698" sheetId="699" state="veryHidden" r:id="rId699"/>
    <sheet name="StartUp_699" sheetId="700" state="veryHidden" r:id="rId700"/>
    <sheet name="StartUp_700" sheetId="701" state="veryHidden" r:id="rId701"/>
    <sheet name="StartUp_701" sheetId="702" state="veryHidden" r:id="rId702"/>
    <sheet name="StartUp_702" sheetId="703" state="veryHidden" r:id="rId703"/>
    <sheet name="StartUp_703" sheetId="704" state="veryHidden" r:id="rId704"/>
    <sheet name="StartUp_704" sheetId="705" state="veryHidden" r:id="rId705"/>
    <sheet name="StartUp_705" sheetId="706" state="veryHidden" r:id="rId706"/>
    <sheet name="StartUp_706" sheetId="707" state="veryHidden" r:id="rId707"/>
    <sheet name="StartUp_707" sheetId="708" state="veryHidden" r:id="rId708"/>
    <sheet name="StartUp_708" sheetId="709" state="veryHidden" r:id="rId709"/>
    <sheet name="StartUp_709" sheetId="710" state="veryHidden" r:id="rId710"/>
    <sheet name="StartUp_710" sheetId="711" state="veryHidden" r:id="rId711"/>
    <sheet name="StartUp_711" sheetId="712" state="veryHidden" r:id="rId712"/>
    <sheet name="StartUp_712" sheetId="713" state="veryHidden" r:id="rId713"/>
    <sheet name="StartUp_713" sheetId="714" state="veryHidden" r:id="rId714"/>
    <sheet name="StartUp_714" sheetId="715" state="veryHidden" r:id="rId715"/>
    <sheet name="StartUp_715" sheetId="716" state="veryHidden" r:id="rId716"/>
    <sheet name="StartUp_716" sheetId="717" state="veryHidden" r:id="rId717"/>
    <sheet name="StartUp_717" sheetId="718" state="veryHidden" r:id="rId718"/>
    <sheet name="StartUp_718" sheetId="719" state="veryHidden" r:id="rId719"/>
    <sheet name="StartUp_719" sheetId="720" state="veryHidden" r:id="rId720"/>
    <sheet name="StartUp_720" sheetId="721" state="veryHidden" r:id="rId721"/>
    <sheet name="StartUp_721" sheetId="722" state="veryHidden" r:id="rId722"/>
    <sheet name="StartUp_722" sheetId="723" state="veryHidden" r:id="rId723"/>
    <sheet name="StartUp_723" sheetId="724" state="veryHidden" r:id="rId724"/>
    <sheet name="StartUp_724" sheetId="725" state="veryHidden" r:id="rId725"/>
    <sheet name="StartUp_725" sheetId="726" state="veryHidden" r:id="rId726"/>
    <sheet name="StartUp_726" sheetId="727" state="veryHidden" r:id="rId727"/>
    <sheet name="StartUp_727" sheetId="728" state="veryHidden" r:id="rId728"/>
    <sheet name="StartUp_728" sheetId="729" state="veryHidden" r:id="rId729"/>
    <sheet name="StartUp_729" sheetId="730" state="veryHidden" r:id="rId730"/>
    <sheet name="StartUp_730" sheetId="731" state="veryHidden" r:id="rId731"/>
    <sheet name="StartUp_731" sheetId="732" state="veryHidden" r:id="rId732"/>
    <sheet name="StartUp_732" sheetId="733" state="veryHidden" r:id="rId733"/>
    <sheet name="StartUp_733" sheetId="734" state="veryHidden" r:id="rId734"/>
    <sheet name="StartUp_734" sheetId="735" state="veryHidden" r:id="rId735"/>
    <sheet name="StartUp_735" sheetId="736" state="veryHidden" r:id="rId736"/>
    <sheet name="StartUp_736" sheetId="737" state="veryHidden" r:id="rId737"/>
    <sheet name="StartUp_737" sheetId="738" state="veryHidden" r:id="rId738"/>
    <sheet name="StartUp_738" sheetId="739" state="veryHidden" r:id="rId739"/>
    <sheet name="StartUp_739" sheetId="740" state="veryHidden" r:id="rId740"/>
    <sheet name="StartUp_740" sheetId="741" state="veryHidden" r:id="rId741"/>
    <sheet name="StartUp_741" sheetId="742" state="veryHidden" r:id="rId742"/>
    <sheet name="StartUp_742" sheetId="743" state="veryHidden" r:id="rId743"/>
    <sheet name="StartUp_743" sheetId="744" state="veryHidden" r:id="rId744"/>
    <sheet name="StartUp_744" sheetId="745" state="veryHidden" r:id="rId745"/>
    <sheet name="StartUp_745" sheetId="746" state="veryHidden" r:id="rId746"/>
    <sheet name="StartUp_746" sheetId="747" state="veryHidden" r:id="rId747"/>
    <sheet name="StartUp_747" sheetId="748" state="veryHidden" r:id="rId748"/>
    <sheet name="StartUp_748" sheetId="749" state="veryHidden" r:id="rId749"/>
    <sheet name="StartUp_749" sheetId="750" state="veryHidden" r:id="rId750"/>
    <sheet name="StartUp_750" sheetId="751" state="veryHidden" r:id="rId751"/>
    <sheet name="StartUp_751" sheetId="752" state="veryHidden" r:id="rId752"/>
    <sheet name="StartUp_752" sheetId="753" state="veryHidden" r:id="rId753"/>
    <sheet name="StartUp_753" sheetId="754" state="veryHidden" r:id="rId754"/>
    <sheet name="StartUp_754" sheetId="755" state="veryHidden" r:id="rId755"/>
    <sheet name="StartUp_755" sheetId="756" state="veryHidden" r:id="rId756"/>
    <sheet name="StartUp_756" sheetId="757" state="veryHidden" r:id="rId757"/>
    <sheet name="StartUp_757" sheetId="758" state="veryHidden" r:id="rId758"/>
    <sheet name="StartUp_758" sheetId="759" state="veryHidden" r:id="rId759"/>
    <sheet name="StartUp_759" sheetId="760" state="veryHidden" r:id="rId760"/>
    <sheet name="StartUp_760" sheetId="761" state="veryHidden" r:id="rId761"/>
    <sheet name="StartUp_761" sheetId="762" state="veryHidden" r:id="rId762"/>
    <sheet name="StartUp_762" sheetId="763" state="veryHidden" r:id="rId763"/>
    <sheet name="StartUp_763" sheetId="764" state="veryHidden" r:id="rId764"/>
    <sheet name="StartUp_764" sheetId="765" state="veryHidden" r:id="rId765"/>
    <sheet name="StartUp_765" sheetId="766" state="veryHidden" r:id="rId766"/>
    <sheet name="StartUp_766" sheetId="767" state="veryHidden" r:id="rId767"/>
    <sheet name="StartUp_767" sheetId="768" state="veryHidden" r:id="rId768"/>
    <sheet name="StartUp_768" sheetId="769" state="veryHidden" r:id="rId769"/>
    <sheet name="StartUp_769" sheetId="770" state="veryHidden" r:id="rId770"/>
    <sheet name="StartUp_770" sheetId="771" state="veryHidden" r:id="rId771"/>
    <sheet name="StartUp_771" sheetId="772" state="veryHidden" r:id="rId772"/>
    <sheet name="StartUp_772" sheetId="773" state="veryHidden" r:id="rId773"/>
    <sheet name="StartUp_773" sheetId="774" state="veryHidden" r:id="rId774"/>
    <sheet name="StartUp_774" sheetId="775" state="veryHidden" r:id="rId775"/>
    <sheet name="StartUp_775" sheetId="776" state="veryHidden" r:id="rId776"/>
    <sheet name="StartUp_776" sheetId="777" state="veryHidden" r:id="rId777"/>
    <sheet name="StartUp_777" sheetId="778" state="veryHidden" r:id="rId778"/>
    <sheet name="StartUp_778" sheetId="779" state="veryHidden" r:id="rId779"/>
    <sheet name="StartUp_779" sheetId="780" state="veryHidden" r:id="rId780"/>
    <sheet name="StartUp_780" sheetId="781" state="veryHidden" r:id="rId781"/>
    <sheet name="StartUp_781" sheetId="782" state="veryHidden" r:id="rId782"/>
    <sheet name="StartUp_782" sheetId="783" state="veryHidden" r:id="rId783"/>
    <sheet name="StartUp_783" sheetId="784" state="veryHidden" r:id="rId784"/>
    <sheet name="StartUp_784" sheetId="785" state="veryHidden" r:id="rId785"/>
    <sheet name="StartUp_785" sheetId="786" state="veryHidden" r:id="rId786"/>
    <sheet name="StartUp_786" sheetId="787" state="veryHidden" r:id="rId787"/>
    <sheet name="StartUp_787" sheetId="788" state="veryHidden" r:id="rId788"/>
    <sheet name="StartUp_788" sheetId="789" state="veryHidden" r:id="rId789"/>
    <sheet name="StartUp_789" sheetId="790" state="veryHidden" r:id="rId790"/>
    <sheet name="StartUp_790" sheetId="791" state="veryHidden" r:id="rId791"/>
    <sheet name="StartUp_791" sheetId="792" state="veryHidden" r:id="rId792"/>
    <sheet name="StartUp_792" sheetId="793" state="veryHidden" r:id="rId793"/>
    <sheet name="StartUp_793" sheetId="794" state="veryHidden" r:id="rId794"/>
    <sheet name="StartUp_794" sheetId="795" state="veryHidden" r:id="rId795"/>
    <sheet name="StartUp_795" sheetId="796" state="veryHidden" r:id="rId796"/>
    <sheet name="StartUp_796" sheetId="797" state="veryHidden" r:id="rId797"/>
    <sheet name="StartUp_797" sheetId="798" state="veryHidden" r:id="rId798"/>
    <sheet name="StartUp_798" sheetId="799" state="veryHidden" r:id="rId799"/>
    <sheet name="StartUp_799" sheetId="800" state="veryHidden" r:id="rId800"/>
    <sheet name="StartUp_800" sheetId="801" state="veryHidden" r:id="rId801"/>
    <sheet name="StartUp_801" sheetId="802" state="veryHidden" r:id="rId802"/>
    <sheet name="StartUp_802" sheetId="803" state="veryHidden" r:id="rId803"/>
    <sheet name="StartUp_803" sheetId="804" state="veryHidden" r:id="rId804"/>
    <sheet name="StartUp_804" sheetId="805" state="veryHidden" r:id="rId805"/>
    <sheet name="StartUp_805" sheetId="806" state="veryHidden" r:id="rId806"/>
    <sheet name="StartUp_806" sheetId="807" state="veryHidden" r:id="rId807"/>
    <sheet name="StartUp_807" sheetId="808" state="veryHidden" r:id="rId808"/>
    <sheet name="StartUp_808" sheetId="809" state="veryHidden" r:id="rId809"/>
    <sheet name="StartUp_809" sheetId="810" state="veryHidden" r:id="rId810"/>
    <sheet name="StartUp_810" sheetId="811" state="veryHidden" r:id="rId811"/>
    <sheet name="StartUp_811" sheetId="812" state="veryHidden" r:id="rId812"/>
    <sheet name="StartUp_812" sheetId="813" state="veryHidden" r:id="rId813"/>
    <sheet name="StartUp_813" sheetId="814" state="veryHidden" r:id="rId814"/>
    <sheet name="StartUp_814" sheetId="815" state="veryHidden" r:id="rId815"/>
    <sheet name="StartUp_815" sheetId="816" state="veryHidden" r:id="rId816"/>
    <sheet name="StartUp_816" sheetId="817" state="veryHidden" r:id="rId817"/>
    <sheet name="StartUp_817" sheetId="818" state="veryHidden" r:id="rId818"/>
    <sheet name="StartUp_818" sheetId="819" state="veryHidden" r:id="rId819"/>
    <sheet name="StartUp_819" sheetId="820" state="veryHidden" r:id="rId820"/>
    <sheet name="StartUp_820" sheetId="821" state="veryHidden" r:id="rId821"/>
    <sheet name="StartUp_821" sheetId="822" state="veryHidden" r:id="rId822"/>
    <sheet name="StartUp_822" sheetId="823" state="veryHidden" r:id="rId823"/>
    <sheet name="StartUp_823" sheetId="824" state="veryHidden" r:id="rId824"/>
    <sheet name="StartUp_824" sheetId="825" state="veryHidden" r:id="rId825"/>
    <sheet name="StartUp_825" sheetId="826" state="veryHidden" r:id="rId826"/>
    <sheet name="StartUp_826" sheetId="827" state="veryHidden" r:id="rId827"/>
    <sheet name="StartUp_827" sheetId="828" state="veryHidden" r:id="rId828"/>
    <sheet name="StartUp_828" sheetId="829" state="veryHidden" r:id="rId829"/>
    <sheet name="StartUp_829" sheetId="830" state="veryHidden" r:id="rId830"/>
    <sheet name="StartUp_830" sheetId="831" state="veryHidden" r:id="rId831"/>
    <sheet name="StartUp_831" sheetId="832" state="veryHidden" r:id="rId832"/>
    <sheet name="StartUp_832" sheetId="833" state="veryHidden" r:id="rId833"/>
    <sheet name="StartUp_833" sheetId="834" state="veryHidden" r:id="rId834"/>
    <sheet name="StartUp_834" sheetId="835" state="veryHidden" r:id="rId835"/>
    <sheet name="StartUp_835" sheetId="836" state="veryHidden" r:id="rId836"/>
    <sheet name="StartUp_836" sheetId="837" state="veryHidden" r:id="rId837"/>
    <sheet name="StartUp_837" sheetId="838" state="veryHidden" r:id="rId838"/>
    <sheet name="StartUp_838" sheetId="839" state="veryHidden" r:id="rId839"/>
    <sheet name="StartUp_839" sheetId="840" state="veryHidden" r:id="rId840"/>
    <sheet name="StartUp_840" sheetId="841" state="veryHidden" r:id="rId841"/>
    <sheet name="StartUp_841" sheetId="842" state="veryHidden" r:id="rId842"/>
    <sheet name="StartUp_842" sheetId="843" state="veryHidden" r:id="rId843"/>
    <sheet name="StartUp_843" sheetId="844" state="veryHidden" r:id="rId844"/>
    <sheet name="StartUp_844" sheetId="845" state="veryHidden" r:id="rId845"/>
    <sheet name="StartUp_845" sheetId="846" state="veryHidden" r:id="rId846"/>
    <sheet name="StartUp_846" sheetId="847" state="veryHidden" r:id="rId847"/>
    <sheet name="StartUp_847" sheetId="848" state="veryHidden" r:id="rId848"/>
    <sheet name="StartUp_848" sheetId="849" state="veryHidden" r:id="rId849"/>
    <sheet name="StartUp_849" sheetId="850" state="veryHidden" r:id="rId850"/>
    <sheet name="StartUp_850" sheetId="851" state="veryHidden" r:id="rId851"/>
    <sheet name="StartUp_851" sheetId="852" state="veryHidden" r:id="rId852"/>
    <sheet name="StartUp_852" sheetId="853" state="veryHidden" r:id="rId853"/>
    <sheet name="StartUp_853" sheetId="854" state="veryHidden" r:id="rId854"/>
    <sheet name="StartUp_854" sheetId="855" state="veryHidden" r:id="rId855"/>
    <sheet name="StartUp_855" sheetId="856" state="veryHidden" r:id="rId856"/>
    <sheet name="StartUp_856" sheetId="857" state="veryHidden" r:id="rId857"/>
    <sheet name="StartUp_857" sheetId="858" state="veryHidden" r:id="rId858"/>
    <sheet name="StartUp_858" sheetId="859" state="veryHidden" r:id="rId859"/>
    <sheet name="StartUp_859" sheetId="860" state="veryHidden" r:id="rId860"/>
    <sheet name="StartUp_860" sheetId="861" state="veryHidden" r:id="rId861"/>
    <sheet name="StartUp_861" sheetId="862" state="veryHidden" r:id="rId862"/>
    <sheet name="StartUp_862" sheetId="863" state="veryHidden" r:id="rId863"/>
    <sheet name="StartUp_863" sheetId="864" state="veryHidden" r:id="rId864"/>
    <sheet name="StartUp_864" sheetId="865" state="veryHidden" r:id="rId865"/>
    <sheet name="StartUp_865" sheetId="866" state="veryHidden" r:id="rId866"/>
    <sheet name="StartUp_866" sheetId="867" state="veryHidden" r:id="rId867"/>
    <sheet name="StartUp_867" sheetId="868" state="veryHidden" r:id="rId868"/>
    <sheet name="StartUp_868" sheetId="869" state="veryHidden" r:id="rId869"/>
    <sheet name="StartUp_869" sheetId="870" state="veryHidden" r:id="rId870"/>
    <sheet name="StartUp_870" sheetId="871" state="veryHidden" r:id="rId871"/>
    <sheet name="StartUp_871" sheetId="872" state="veryHidden" r:id="rId872"/>
    <sheet name="StartUp_872" sheetId="873" state="veryHidden" r:id="rId873"/>
    <sheet name="StartUp_873" sheetId="874" state="veryHidden" r:id="rId874"/>
    <sheet name="StartUp_874" sheetId="875" state="veryHidden" r:id="rId875"/>
    <sheet name="StartUp_875" sheetId="876" state="veryHidden" r:id="rId876"/>
    <sheet name="StartUp_876" sheetId="877" state="veryHidden" r:id="rId877"/>
    <sheet name="StartUp_877" sheetId="878" state="veryHidden" r:id="rId878"/>
    <sheet name="StartUp_878" sheetId="879" state="veryHidden" r:id="rId879"/>
    <sheet name="StartUp_879" sheetId="880" state="veryHidden" r:id="rId880"/>
    <sheet name="StartUp_880" sheetId="881" state="veryHidden" r:id="rId881"/>
    <sheet name="StartUp_881" sheetId="882" state="veryHidden" r:id="rId882"/>
    <sheet name="StartUp_882" sheetId="883" state="veryHidden" r:id="rId883"/>
    <sheet name="StartUp_883" sheetId="884" state="veryHidden" r:id="rId884"/>
    <sheet name="StartUp_884" sheetId="885" state="veryHidden" r:id="rId885"/>
    <sheet name="StartUp_885" sheetId="886" state="veryHidden" r:id="rId886"/>
    <sheet name="StartUp_886" sheetId="887" state="veryHidden" r:id="rId887"/>
    <sheet name="StartUp_887" sheetId="888" state="veryHidden" r:id="rId888"/>
    <sheet name="StartUp_888" sheetId="889" state="veryHidden" r:id="rId889"/>
    <sheet name="StartUp_889" sheetId="890" state="veryHidden" r:id="rId890"/>
    <sheet name="StartUp_890" sheetId="891" state="veryHidden" r:id="rId891"/>
    <sheet name="StartUp_891" sheetId="892" state="veryHidden" r:id="rId892"/>
    <sheet name="StartUp_892" sheetId="893" state="veryHidden" r:id="rId893"/>
    <sheet name="StartUp_893" sheetId="894" state="veryHidden" r:id="rId894"/>
    <sheet name="StartUp_894" sheetId="895" state="veryHidden" r:id="rId895"/>
    <sheet name="StartUp_895" sheetId="896" state="veryHidden" r:id="rId896"/>
    <sheet name="StartUp_896" sheetId="897" state="veryHidden" r:id="rId897"/>
    <sheet name="StartUp_897" sheetId="898" state="veryHidden" r:id="rId898"/>
    <sheet name="StartUp_898" sheetId="899" state="veryHidden" r:id="rId899"/>
    <sheet name="StartUp_899" sheetId="900" state="veryHidden" r:id="rId900"/>
    <sheet name="StartUp_900" sheetId="901" state="veryHidden" r:id="rId901"/>
    <sheet name="StartUp_901" sheetId="902" state="veryHidden" r:id="rId902"/>
    <sheet name="StartUp_902" sheetId="903" state="veryHidden" r:id="rId903"/>
    <sheet name="StartUp_903" sheetId="904" state="veryHidden" r:id="rId904"/>
    <sheet name="StartUp_904" sheetId="905" state="veryHidden" r:id="rId905"/>
    <sheet name="StartUp_905" sheetId="906" state="veryHidden" r:id="rId906"/>
    <sheet name="StartUp_906" sheetId="907" state="veryHidden" r:id="rId907"/>
    <sheet name="StartUp_907" sheetId="908" state="veryHidden" r:id="rId908"/>
    <sheet name="StartUp_908" sheetId="909" state="veryHidden" r:id="rId909"/>
    <sheet name="StartUp_909" sheetId="910" state="veryHidden" r:id="rId910"/>
    <sheet name="StartUp_910" sheetId="911" state="veryHidden" r:id="rId911"/>
    <sheet name="StartUp_911" sheetId="912" state="veryHidden" r:id="rId912"/>
    <sheet name="StartUp_912" sheetId="913" state="veryHidden" r:id="rId913"/>
    <sheet name="StartUp_913" sheetId="914" state="veryHidden" r:id="rId914"/>
    <sheet name="StartUp_914" sheetId="915" state="veryHidden" r:id="rId915"/>
    <sheet name="StartUp_915" sheetId="916" state="veryHidden" r:id="rId916"/>
    <sheet name="StartUp_916" sheetId="917" state="veryHidden" r:id="rId917"/>
    <sheet name="StartUp_917" sheetId="918" state="veryHidden" r:id="rId918"/>
    <sheet name="StartUp_918" sheetId="919" state="veryHidden" r:id="rId919"/>
    <sheet name="StartUp_919" sheetId="920" state="veryHidden" r:id="rId920"/>
    <sheet name="StartUp_920" sheetId="921" state="veryHidden" r:id="rId921"/>
    <sheet name="StartUp_921" sheetId="922" state="veryHidden" r:id="rId922"/>
    <sheet name="StartUp_922" sheetId="923" state="veryHidden" r:id="rId923"/>
    <sheet name="StartUp_923" sheetId="924" state="veryHidden" r:id="rId924"/>
    <sheet name="StartUp_924" sheetId="925" state="veryHidden" r:id="rId925"/>
    <sheet name="StartUp_925" sheetId="926" state="veryHidden" r:id="rId926"/>
    <sheet name="StartUp_926" sheetId="927" state="veryHidden" r:id="rId927"/>
    <sheet name="StartUp_927" sheetId="928" state="veryHidden" r:id="rId928"/>
    <sheet name="StartUp_928" sheetId="929" state="veryHidden" r:id="rId929"/>
    <sheet name="StartUp_929" sheetId="930" state="veryHidden" r:id="rId930"/>
    <sheet name="StartUp_930" sheetId="931" state="veryHidden" r:id="rId931"/>
    <sheet name="StartUp_931" sheetId="932" state="veryHidden" r:id="rId932"/>
    <sheet name="StartUp_932" sheetId="933" state="veryHidden" r:id="rId933"/>
    <sheet name="StartUp_933" sheetId="934" state="veryHidden" r:id="rId934"/>
    <sheet name="StartUp_934" sheetId="935" state="veryHidden" r:id="rId935"/>
    <sheet name="StartUp_935" sheetId="936" state="veryHidden" r:id="rId936"/>
    <sheet name="StartUp_936" sheetId="937" state="veryHidden" r:id="rId937"/>
    <sheet name="StartUp_937" sheetId="938" state="veryHidden" r:id="rId938"/>
    <sheet name="StartUp_938" sheetId="939" state="veryHidden" r:id="rId939"/>
    <sheet name="StartUp_939" sheetId="940" state="veryHidden" r:id="rId940"/>
    <sheet name="StartUp_940" sheetId="941" state="veryHidden" r:id="rId941"/>
    <sheet name="StartUp_941" sheetId="942" state="veryHidden" r:id="rId942"/>
    <sheet name="StartUp_942" sheetId="943" state="veryHidden" r:id="rId943"/>
    <sheet name="StartUp_943" sheetId="944" state="veryHidden" r:id="rId944"/>
    <sheet name="StartUp_944" sheetId="945" state="veryHidden" r:id="rId945"/>
    <sheet name="StartUp_945" sheetId="946" state="veryHidden" r:id="rId946"/>
    <sheet name="StartUp_946" sheetId="947" state="veryHidden" r:id="rId947"/>
    <sheet name="StartUp_947" sheetId="948" state="veryHidden" r:id="rId948"/>
    <sheet name="StartUp_948" sheetId="949" state="veryHidden" r:id="rId949"/>
    <sheet name="StartUp_949" sheetId="950" state="veryHidden" r:id="rId950"/>
    <sheet name="StartUp_950" sheetId="951" state="veryHidden" r:id="rId951"/>
    <sheet name="StartUp_951" sheetId="952" state="veryHidden" r:id="rId952"/>
    <sheet name="StartUp_952" sheetId="953" state="veryHidden" r:id="rId953"/>
    <sheet name="StartUp_953" sheetId="954" state="veryHidden" r:id="rId954"/>
    <sheet name="StartUp_954" sheetId="955" state="veryHidden" r:id="rId955"/>
    <sheet name="StartUp_955" sheetId="956" state="veryHidden" r:id="rId956"/>
    <sheet name="StartUp_956" sheetId="957" state="veryHidden" r:id="rId957"/>
    <sheet name="StartUp_957" sheetId="958" state="veryHidden" r:id="rId958"/>
    <sheet name="StartUp_958" sheetId="959" state="veryHidden" r:id="rId959"/>
    <sheet name="StartUp_959" sheetId="960" state="veryHidden" r:id="rId960"/>
    <sheet name="StartUp_960" sheetId="961" state="veryHidden" r:id="rId961"/>
    <sheet name="StartUp_961" sheetId="962" state="veryHidden" r:id="rId962"/>
    <sheet name="StartUp_962" sheetId="963" state="veryHidden" r:id="rId963"/>
    <sheet name="StartUp_963" sheetId="964" state="veryHidden" r:id="rId964"/>
    <sheet name="StartUp_964" sheetId="965" state="veryHidden" r:id="rId965"/>
    <sheet name="StartUp_965" sheetId="966" state="veryHidden" r:id="rId966"/>
    <sheet name="StartUp_966" sheetId="967" state="veryHidden" r:id="rId967"/>
    <sheet name="StartUp_967" sheetId="968" state="veryHidden" r:id="rId968"/>
    <sheet name="StartUp_968" sheetId="969" state="veryHidden" r:id="rId969"/>
    <sheet name="StartUp_969" sheetId="970" state="veryHidden" r:id="rId970"/>
    <sheet name="StartUp_970" sheetId="971" state="veryHidden" r:id="rId971"/>
    <sheet name="StartUp_971" sheetId="972" state="veryHidden" r:id="rId972"/>
    <sheet name="StartUp_972" sheetId="973" state="veryHidden" r:id="rId973"/>
    <sheet name="StartUp_973" sheetId="974" state="veryHidden" r:id="rId974"/>
    <sheet name="StartUp_974" sheetId="975" state="veryHidden" r:id="rId975"/>
    <sheet name="StartUp_975" sheetId="976" state="veryHidden" r:id="rId976"/>
    <sheet name="StartUp_976" sheetId="977" state="veryHidden" r:id="rId977"/>
    <sheet name="StartUp_977" sheetId="978" state="veryHidden" r:id="rId978"/>
    <sheet name="StartUp_978" sheetId="979" state="veryHidden" r:id="rId979"/>
    <sheet name="StartUp_979" sheetId="980" state="veryHidden" r:id="rId980"/>
    <sheet name="StartUp_980" sheetId="981" state="veryHidden" r:id="rId981"/>
    <sheet name="StartUp_981" sheetId="982" state="veryHidden" r:id="rId982"/>
    <sheet name="StartUp_982" sheetId="983" state="veryHidden" r:id="rId983"/>
    <sheet name="StartUp_983" sheetId="984" state="veryHidden" r:id="rId984"/>
    <sheet name="StartUp_984" sheetId="985" state="veryHidden" r:id="rId985"/>
    <sheet name="StartUp_985" sheetId="986" state="veryHidden" r:id="rId986"/>
    <sheet name="StartUp_986" sheetId="987" state="veryHidden" r:id="rId987"/>
    <sheet name="StartUp_987" sheetId="988" state="veryHidden" r:id="rId988"/>
    <sheet name="StartUp_988" sheetId="989" state="veryHidden" r:id="rId989"/>
    <sheet name="StartUp_989" sheetId="990" state="veryHidden" r:id="rId990"/>
    <sheet name="StartUp_990" sheetId="991" state="veryHidden" r:id="rId991"/>
    <sheet name="StartUp_991" sheetId="992" state="veryHidden" r:id="rId992"/>
    <sheet name="StartUp_992" sheetId="993" state="veryHidden" r:id="rId993"/>
    <sheet name="StartUp_993" sheetId="994" state="veryHidden" r:id="rId994"/>
    <sheet name="StartUp_994" sheetId="995" state="veryHidden" r:id="rId995"/>
    <sheet name="StartUp_995" sheetId="996" state="veryHidden" r:id="rId996"/>
    <sheet name="StartUp_996" sheetId="997" state="veryHidden" r:id="rId997"/>
    <sheet name="StartUp_997" sheetId="998" state="veryHidden" r:id="rId998"/>
    <sheet name="StartUp_998" sheetId="999" state="veryHidden" r:id="rId999"/>
    <sheet name="StartUp_999" sheetId="1000" state="veryHidden" r:id="rId1000"/>
    <sheet name="StartUp_1000" sheetId="1001" state="veryHidden" r:id="rId1001"/>
    <sheet name="StartUp_1001" sheetId="1002" state="veryHidden" r:id="rId1002"/>
    <sheet name="StartUp_1002" sheetId="1003" state="veryHidden" r:id="rId1003"/>
    <sheet name="StartUp_1003" sheetId="1004" state="veryHidden" r:id="rId1004"/>
    <sheet name="StartUp_1004" sheetId="1005" state="veryHidden" r:id="rId1005"/>
    <sheet name="StartUp_1005" sheetId="1006" state="veryHidden" r:id="rId1006"/>
    <sheet name="StartUp_1006" sheetId="1007" state="veryHidden" r:id="rId1007"/>
    <sheet name="StartUp_1007" sheetId="1008" state="veryHidden" r:id="rId1008"/>
    <sheet name="StartUp_1008" sheetId="1009" state="veryHidden" r:id="rId1009"/>
    <sheet name="StartUp_1009" sheetId="1010" state="veryHidden" r:id="rId1010"/>
    <sheet name="StartUp_1010" sheetId="1011" state="veryHidden" r:id="rId1011"/>
    <sheet name="StartUp_1011" sheetId="1012" state="veryHidden" r:id="rId1012"/>
    <sheet name="StartUp_1012" sheetId="1013" state="veryHidden" r:id="rId1013"/>
    <sheet name="StartUp_1013" sheetId="1014" state="veryHidden" r:id="rId1014"/>
    <sheet name="StartUp_1014" sheetId="1015" state="veryHidden" r:id="rId1015"/>
    <sheet name="StartUp_1015" sheetId="1016" state="veryHidden" r:id="rId1016"/>
    <sheet name="StartUp_1016" sheetId="1017" state="veryHidden" r:id="rId1017"/>
    <sheet name="StartUp_1017" sheetId="1018" state="veryHidden" r:id="rId1018"/>
    <sheet name="StartUp_1018" sheetId="1019" state="veryHidden" r:id="rId1019"/>
    <sheet name="StartUp_1019" sheetId="1020" state="veryHidden" r:id="rId1020"/>
    <sheet name="StartUp_1020" sheetId="1021" state="veryHidden" r:id="rId1021"/>
    <sheet name="StartUp_1021" sheetId="1022" state="veryHidden" r:id="rId1022"/>
    <sheet name="StartUp_1022" sheetId="1023" state="veryHidden" r:id="rId1023"/>
    <sheet name="StartUp_1023" sheetId="1024" state="veryHidden" r:id="rId1024"/>
    <sheet name="StartUp_1024" sheetId="1025" state="veryHidden" r:id="rId1025"/>
    <sheet name="StartUp_1025" sheetId="1026" state="veryHidden" r:id="rId1026"/>
    <sheet name="StartUp_1026" sheetId="1027" state="veryHidden" r:id="rId1027"/>
    <sheet name="StartUp_1027" sheetId="1028" state="veryHidden" r:id="rId1028"/>
    <sheet name="StartUp_1028" sheetId="1029" state="veryHidden" r:id="rId1029"/>
    <sheet name="StartUp_1029" sheetId="1030" state="veryHidden" r:id="rId1030"/>
    <sheet name="StartUp_1030" sheetId="1031" state="veryHidden" r:id="rId1031"/>
    <sheet name="StartUp_1031" sheetId="1032" state="veryHidden" r:id="rId1032"/>
    <sheet name="StartUp_1032" sheetId="1033" state="veryHidden" r:id="rId1033"/>
    <sheet name="StartUp_1033" sheetId="1034" state="veryHidden" r:id="rId1034"/>
    <sheet name="StartUp_1034" sheetId="1035" state="veryHidden" r:id="rId1035"/>
    <sheet name="StartUp_1035" sheetId="1036" state="veryHidden" r:id="rId1036"/>
    <sheet name="StartUp_1036" sheetId="1037" state="veryHidden" r:id="rId1037"/>
    <sheet name="StartUp_1037" sheetId="1038" state="veryHidden" r:id="rId1038"/>
    <sheet name="StartUp_1038" sheetId="1039" state="veryHidden" r:id="rId1039"/>
    <sheet name="StartUp_1039" sheetId="1040" state="veryHidden" r:id="rId1040"/>
    <sheet name="StartUp_1040" sheetId="1041" state="veryHidden" r:id="rId1041"/>
    <sheet name="StartUp_1041" sheetId="1042" state="veryHidden" r:id="rId1042"/>
    <sheet name="StartUp_1042" sheetId="1043" state="veryHidden" r:id="rId1043"/>
    <sheet name="StartUp_1043" sheetId="1044" state="veryHidden" r:id="rId1044"/>
    <sheet name="StartUp_1044" sheetId="1045" state="veryHidden" r:id="rId1045"/>
    <sheet name="StartUp_1045" sheetId="1046" state="veryHidden" r:id="rId1046"/>
    <sheet name="StartUp_1046" sheetId="1047" state="veryHidden" r:id="rId1047"/>
    <sheet name="StartUp_1047" sheetId="1048" state="veryHidden" r:id="rId1048"/>
    <sheet name="StartUp_1048" sheetId="1049" state="veryHidden" r:id="rId1049"/>
    <sheet name="StartUp_1049" sheetId="1050" state="veryHidden" r:id="rId1050"/>
    <sheet name="StartUp_1050" sheetId="1051" state="veryHidden" r:id="rId1051"/>
    <sheet name="StartUp_1051" sheetId="1052" state="veryHidden" r:id="rId1052"/>
    <sheet name="StartUp_1052" sheetId="1053" state="veryHidden" r:id="rId1053"/>
    <sheet name="StartUp_1053" sheetId="1054" state="veryHidden" r:id="rId1054"/>
    <sheet name="StartUp_1054" sheetId="1055" state="veryHidden" r:id="rId1055"/>
    <sheet name="StartUp_1055" sheetId="1056" state="veryHidden" r:id="rId1056"/>
    <sheet name="StartUp_1056" sheetId="1057" state="veryHidden" r:id="rId1057"/>
    <sheet name="StartUp_1057" sheetId="1058" state="veryHidden" r:id="rId1058"/>
    <sheet name="StartUp_1058" sheetId="1059" state="veryHidden" r:id="rId1059"/>
    <sheet name="StartUp_1059" sheetId="1060" state="veryHidden" r:id="rId1060"/>
    <sheet name="StartUp_1060" sheetId="1061" state="veryHidden" r:id="rId1061"/>
    <sheet name="StartUp_1061" sheetId="1062" state="veryHidden" r:id="rId1062"/>
    <sheet name="StartUp_1062" sheetId="1063" state="veryHidden" r:id="rId1063"/>
    <sheet name="StartUp_1063" sheetId="1064" state="veryHidden" r:id="rId1064"/>
    <sheet name="StartUp_1064" sheetId="1065" state="veryHidden" r:id="rId1065"/>
    <sheet name="StartUp_1065" sheetId="1066" state="veryHidden" r:id="rId1066"/>
    <sheet name="StartUp_1066" sheetId="1067" state="veryHidden" r:id="rId1067"/>
    <sheet name="StartUp_1067" sheetId="1068" state="veryHidden" r:id="rId1068"/>
    <sheet name="StartUp_1068" sheetId="1069" state="veryHidden" r:id="rId1069"/>
    <sheet name="StartUp_1069" sheetId="1070" state="veryHidden" r:id="rId1070"/>
    <sheet name="StartUp_1070" sheetId="1071" state="veryHidden" r:id="rId1071"/>
    <sheet name="StartUp_1071" sheetId="1072" state="veryHidden" r:id="rId1072"/>
    <sheet name="StartUp_1072" sheetId="1073" state="veryHidden" r:id="rId1073"/>
    <sheet name="StartUp_1073" sheetId="1074" state="veryHidden" r:id="rId1074"/>
    <sheet name="StartUp_1074" sheetId="1075" state="veryHidden" r:id="rId1075"/>
    <sheet name="StartUp_1075" sheetId="1076" state="veryHidden" r:id="rId1076"/>
    <sheet name="StartUp_1076" sheetId="1077" state="veryHidden" r:id="rId1077"/>
    <sheet name="StartUp_1077" sheetId="1078" state="veryHidden" r:id="rId1078"/>
    <sheet name="StartUp_1078" sheetId="1079" state="veryHidden" r:id="rId1079"/>
    <sheet name="StartUp_1079" sheetId="1080" state="veryHidden" r:id="rId1080"/>
    <sheet name="StartUp_1080" sheetId="1081" state="veryHidden" r:id="rId1081"/>
    <sheet name="StartUp_1081" sheetId="1082" state="veryHidden" r:id="rId1082"/>
    <sheet name="StartUp_1082" sheetId="1083" state="veryHidden" r:id="rId1083"/>
    <sheet name="StartUp_1083" sheetId="1084" state="veryHidden" r:id="rId1084"/>
    <sheet name="StartUp_1084" sheetId="1085" state="veryHidden" r:id="rId1085"/>
    <sheet name="StartUp_1085" sheetId="1086" state="veryHidden" r:id="rId1086"/>
    <sheet name="StartUp_1086" sheetId="1087" state="veryHidden" r:id="rId1087"/>
    <sheet name="StartUp_1087" sheetId="1088" state="veryHidden" r:id="rId1088"/>
    <sheet name="StartUp_1088" sheetId="1089" state="veryHidden" r:id="rId1089"/>
    <sheet name="StartUp_1089" sheetId="1090" state="veryHidden" r:id="rId1090"/>
    <sheet name="StartUp_1090" sheetId="1091" state="veryHidden" r:id="rId1091"/>
    <sheet name="StartUp_1091" sheetId="1092" state="veryHidden" r:id="rId1092"/>
    <sheet name="StartUp_1092" sheetId="1093" state="veryHidden" r:id="rId1093"/>
    <sheet name="StartUp_1093" sheetId="1094" state="veryHidden" r:id="rId1094"/>
    <sheet name="StartUp_1094" sheetId="1095" state="veryHidden" r:id="rId1095"/>
    <sheet name="StartUp_1095" sheetId="1096" state="veryHidden" r:id="rId1096"/>
    <sheet name="StartUp_1096" sheetId="1097" state="veryHidden" r:id="rId1097"/>
    <sheet name="StartUp_1097" sheetId="1098" state="veryHidden" r:id="rId1098"/>
    <sheet name="StartUp_1098" sheetId="1099" state="veryHidden" r:id="rId1099"/>
    <sheet name="StartUp_1099" sheetId="1100" state="veryHidden" r:id="rId1100"/>
    <sheet name="StartUp_1100" sheetId="1101" state="veryHidden" r:id="rId1101"/>
    <sheet name="StartUp_1101" sheetId="1102" state="veryHidden" r:id="rId1102"/>
    <sheet name="StartUp_1102" sheetId="1103" state="veryHidden" r:id="rId1103"/>
    <sheet name="StartUp_1103" sheetId="1104" state="veryHidden" r:id="rId1104"/>
    <sheet name="StartUp_1104" sheetId="1105" state="veryHidden" r:id="rId1105"/>
    <sheet name="StartUp_1105" sheetId="1106" state="veryHidden" r:id="rId1106"/>
    <sheet name="StartUp_1106" sheetId="1107" state="veryHidden" r:id="rId1107"/>
    <sheet name="StartUp_1107" sheetId="1108" state="veryHidden" r:id="rId1108"/>
    <sheet name="StartUp_1108" sheetId="1109" state="veryHidden" r:id="rId1109"/>
    <sheet name="StartUp_1109" sheetId="1110" state="veryHidden" r:id="rId1110"/>
    <sheet name="StartUp_1110" sheetId="1111" state="veryHidden" r:id="rId1111"/>
    <sheet name="StartUp_1111" sheetId="1112" state="veryHidden" r:id="rId1112"/>
    <sheet name="StartUp_1112" sheetId="1113" state="veryHidden" r:id="rId1113"/>
    <sheet name="StartUp_1113" sheetId="1114" state="veryHidden" r:id="rId1114"/>
    <sheet name="StartUp_1114" sheetId="1115" state="veryHidden" r:id="rId1115"/>
    <sheet name="StartUp_1115" sheetId="1116" state="veryHidden" r:id="rId1116"/>
    <sheet name="StartUp_1116" sheetId="1117" state="veryHidden" r:id="rId1117"/>
    <sheet name="StartUp_1117" sheetId="1118" state="veryHidden" r:id="rId1118"/>
    <sheet name="StartUp_1118" sheetId="1119" state="veryHidden" r:id="rId1119"/>
    <sheet name="StartUp_1119" sheetId="1120" state="veryHidden" r:id="rId1120"/>
    <sheet name="StartUp_1120" sheetId="1121" state="veryHidden" r:id="rId1121"/>
    <sheet name="StartUp_1121" sheetId="1122" state="veryHidden" r:id="rId1122"/>
    <sheet name="StartUp_1122" sheetId="1123" state="veryHidden" r:id="rId1123"/>
    <sheet name="StartUp_1123" sheetId="1124" state="veryHidden" r:id="rId1124"/>
    <sheet name="StartUp_1124" sheetId="1125" state="veryHidden" r:id="rId1125"/>
    <sheet name="StartUp_1125" sheetId="1126" state="veryHidden" r:id="rId1126"/>
    <sheet name="StartUp_1126" sheetId="1127" state="veryHidden" r:id="rId1127"/>
    <sheet name="StartUp_1127" sheetId="1128" state="veryHidden" r:id="rId1128"/>
    <sheet name="StartUp_1128" sheetId="1129" state="veryHidden" r:id="rId1129"/>
    <sheet name="StartUp_1129" sheetId="1130" state="veryHidden" r:id="rId1130"/>
    <sheet name="StartUp_1130" sheetId="1131" state="veryHidden" r:id="rId1131"/>
    <sheet name="XXXXXXXXXXXX" sheetId="1132" state="veryHidden" r:id="rId1132"/>
    <sheet name="Bia (1)" sheetId="1133" state="hidden" r:id="rId1133"/>
    <sheet name="foxz" sheetId="1170" state="hidden" r:id="rId1134"/>
    <sheet name="foxz_2" sheetId="1171" state="veryHidden" r:id="rId1135"/>
    <sheet name="foxz_3" sheetId="1172" state="veryHidden" r:id="rId1136"/>
    <sheet name="B1 Bieu TH " sheetId="1134" r:id="rId1137"/>
    <sheet name="B2 SXNN" sheetId="1135" r:id="rId1138"/>
    <sheet name="B3 NTM" sheetId="1167" r:id="rId1139"/>
    <sheet name="HTSX" sheetId="1165" state="hidden" r:id="rId1140"/>
    <sheet name="B4 SXCN" sheetId="1136" r:id="rId1141"/>
    <sheet name="B5 TM-DV " sheetId="1137" r:id="rId1142"/>
    <sheet name="B6. PTDN" sheetId="1139" r:id="rId1143"/>
    <sheet name="B7 LD&amp;VL-XDGN" sheetId="1140" r:id="rId1144"/>
    <sheet name="B8.PCTT, BVMT..." sheetId="1141" state="hidden" r:id="rId1145"/>
    <sheet name="B8. DS-GD&amp;TE " sheetId="1142" r:id="rId1146"/>
    <sheet name="B9. Y TE" sheetId="1143" r:id="rId1147"/>
    <sheet name="B10.GIAODUC" sheetId="1144" r:id="rId1148"/>
    <sheet name="B11 VHTT" sheetId="1145" r:id="rId1149"/>
    <sheet name="Sheet5" sheetId="1162" state="hidden" r:id="rId1150"/>
    <sheet name="Sheet2" sheetId="1159" state="hidden" r:id="rId1151"/>
    <sheet name="Sheet1" sheetId="1158" state="hidden" r:id="rId1152"/>
    <sheet name="B12.TTTT" sheetId="1146" r:id="rId1153"/>
    <sheet name="Sheet6" sheetId="1164" state="hidden" r:id="rId1154"/>
    <sheet name="Sheet4" sheetId="1161" state="hidden" r:id="rId1155"/>
    <sheet name="Sheet3" sheetId="1160" state="hidden" r:id="rId1156"/>
    <sheet name="00000000" sheetId="1148" state="veryHidden" r:id="rId1157"/>
    <sheet name="10000000" sheetId="1149" state="veryHidden" r:id="rId1158"/>
    <sheet name="20000000" sheetId="1150" state="veryHidden" r:id="rId1159"/>
    <sheet name="40000000" sheetId="1151" state="veryHidden" r:id="rId1160"/>
    <sheet name="30000000" sheetId="1152" state="veryHidden" r:id="rId1161"/>
    <sheet name="000000000000" sheetId="1153" state="veryHidden" r:id="rId1162"/>
    <sheet name="50000000" sheetId="1154" state="veryHidden" r:id="rId1163"/>
    <sheet name="60000000" sheetId="1155" state="veryHidden" r:id="rId1164"/>
    <sheet name="B điều chỉnh" sheetId="1157" state="hidden" r:id="rId1165"/>
    <sheet name="TH so sanh KH tỉnh" sheetId="1163" state="hidden" r:id="rId1166"/>
    <sheet name="Sheet7" sheetId="1168" state="hidden" r:id="rId1167"/>
    <sheet name="Sheet8" sheetId="1169" state="hidden" r:id="rId1168"/>
  </sheets>
  <externalReferences>
    <externalReference r:id="rId1169"/>
  </externalReferences>
  <definedNames>
    <definedName name="_xlnm.Print_Area" localSheetId="1136">'B1 Bieu TH '!$A$1:$U$73</definedName>
    <definedName name="_xlnm.Print_Area" localSheetId="1147">B10.GIAODUC!$A$1:$BC$86</definedName>
    <definedName name="_xlnm.Print_Area" localSheetId="1148">'B11 VHTT'!$A$1:$BC$74</definedName>
    <definedName name="_xlnm.Print_Area" localSheetId="1152">B12.TTTT!$A$1:$M$25</definedName>
    <definedName name="_xlnm.Print_Area" localSheetId="1137">'B2 SXNN'!$A$1:$BC$145</definedName>
    <definedName name="_xlnm.Print_Area" localSheetId="1138">'B3 NTM'!$A$1:$BC$16</definedName>
    <definedName name="_xlnm.Print_Area" localSheetId="1140">'B4 SXCN'!$A$1:$M$36</definedName>
    <definedName name="_xlnm.Print_Area" localSheetId="1141">'B5 TM-DV '!$A$1:$M$37</definedName>
    <definedName name="_xlnm.Print_Area" localSheetId="1142">'B6. PTDN'!$A$1:$N$40</definedName>
    <definedName name="_xlnm.Print_Area" localSheetId="1143">'B7 LD&amp;VL-XDGN'!$A$1:$BZ$76</definedName>
    <definedName name="_xlnm.Print_Area" localSheetId="1145">'B8. DS-GD&amp;TE '!$A$1:$BC$21</definedName>
    <definedName name="_xlnm.Print_Area" localSheetId="1144">'B8.PCTT, BVMT...'!$A$1:$Y$30</definedName>
    <definedName name="_xlnm.Print_Area" localSheetId="1146">'B9. Y TE'!$A$1:$BQ$61</definedName>
    <definedName name="_xlnm.Print_Area" localSheetId="1139">HTSX!$A$1:$P$36</definedName>
    <definedName name="_xlnm.Print_Titles" localSheetId="1164">'B điều chỉnh'!$4:$4</definedName>
    <definedName name="_xlnm.Print_Titles" localSheetId="1136">'B1 Bieu TH '!$5:$6</definedName>
    <definedName name="_xlnm.Print_Titles" localSheetId="1147">B10.GIAODUC!$6:$8</definedName>
    <definedName name="_xlnm.Print_Titles" localSheetId="1148">'B11 VHTT'!$5:$7</definedName>
    <definedName name="_xlnm.Print_Titles" localSheetId="1152">B12.TTTT!$5:$7</definedName>
    <definedName name="_xlnm.Print_Titles" localSheetId="1137">'B2 SXNN'!$5:$7</definedName>
    <definedName name="_xlnm.Print_Titles" localSheetId="1141">'B5 TM-DV '!$5:$7</definedName>
    <definedName name="_xlnm.Print_Titles" localSheetId="1143">'B7 LD&amp;VL-XDGN'!$5:$7</definedName>
    <definedName name="_xlnm.Print_Titles" localSheetId="1145">'B8. DS-GD&amp;TE '!$5:$7</definedName>
    <definedName name="_xlnm.Print_Titles" localSheetId="1144">'B8.PCTT, BVMT...'!$5:$6</definedName>
    <definedName name="_xlnm.Print_Titles" localSheetId="1146">'B9. Y TE'!$5:$7</definedName>
    <definedName name="_xlnm.Print_Titles" localSheetId="1166">Sheet7!$4:$5</definedName>
    <definedName name="_xlnm.Print_Titles" localSheetId="1165">'TH so sanh KH tỉnh'!$3:$3</definedName>
  </definedNames>
  <calcPr calcId="144525"/>
</workbook>
</file>

<file path=xl/calcChain.xml><?xml version="1.0" encoding="utf-8"?>
<calcChain xmlns="http://schemas.openxmlformats.org/spreadsheetml/2006/main">
  <c r="CC54" i="1140" l="1"/>
  <c r="CC53" i="1140"/>
  <c r="S16" i="1137" l="1"/>
  <c r="BD11" i="1167" l="1"/>
  <c r="BD106" i="1135"/>
  <c r="AZ47" i="1135"/>
  <c r="AY47" i="1135"/>
  <c r="AX47" i="1135"/>
  <c r="AW47" i="1135"/>
  <c r="AV47" i="1135"/>
  <c r="AU47" i="1135"/>
  <c r="AT47" i="1135"/>
  <c r="AS47" i="1135"/>
  <c r="AR47" i="1135"/>
  <c r="AQ47" i="1135"/>
  <c r="AP47" i="1135"/>
  <c r="AO47" i="1135"/>
  <c r="AN47" i="1135"/>
  <c r="AM47" i="1135"/>
  <c r="BA51" i="1143" l="1"/>
  <c r="BB51" i="1143"/>
  <c r="BA52" i="1143"/>
  <c r="BB52" i="1143"/>
  <c r="BA53" i="1143"/>
  <c r="BB53" i="1143"/>
  <c r="BA54" i="1143"/>
  <c r="BB54" i="1143"/>
  <c r="BA55" i="1143"/>
  <c r="BB55" i="1143"/>
  <c r="BA56" i="1143"/>
  <c r="BB56" i="1143"/>
  <c r="BA57" i="1143"/>
  <c r="BB57" i="1143"/>
  <c r="BA58" i="1143"/>
  <c r="BB58" i="1143"/>
  <c r="BA59" i="1143"/>
  <c r="BB59" i="1143"/>
  <c r="BA60" i="1143"/>
  <c r="BB60" i="1143"/>
  <c r="BA61" i="1143"/>
  <c r="BB61" i="1143"/>
  <c r="BA46" i="1143"/>
  <c r="BA47" i="1143"/>
  <c r="BB47" i="1143"/>
  <c r="BA48" i="1143"/>
  <c r="BB48" i="1143"/>
  <c r="BA49" i="1143"/>
  <c r="BB49" i="1143"/>
  <c r="BA27" i="1143"/>
  <c r="BB27" i="1143"/>
  <c r="BA28" i="1143"/>
  <c r="BB28" i="1143"/>
  <c r="BA29" i="1143"/>
  <c r="BB29" i="1143"/>
  <c r="BA30" i="1143"/>
  <c r="BB30" i="1143"/>
  <c r="BA31" i="1143"/>
  <c r="BB31" i="1143"/>
  <c r="BA32" i="1143"/>
  <c r="BB32" i="1143"/>
  <c r="BA33" i="1143"/>
  <c r="BB33" i="1143"/>
  <c r="BA34" i="1143"/>
  <c r="BB34" i="1143"/>
  <c r="BA35" i="1143"/>
  <c r="BB35" i="1143"/>
  <c r="BA36" i="1143"/>
  <c r="BB36" i="1143"/>
  <c r="BA38" i="1143"/>
  <c r="BB38" i="1143"/>
  <c r="BA40" i="1143"/>
  <c r="BB40" i="1143"/>
  <c r="BA41" i="1143"/>
  <c r="BB41" i="1143"/>
  <c r="BA42" i="1143"/>
  <c r="BB42" i="1143"/>
  <c r="BA44" i="1143"/>
  <c r="BB44" i="1143"/>
  <c r="BA45" i="1143"/>
  <c r="BB45" i="1143"/>
  <c r="BA10" i="1143"/>
  <c r="BB10" i="1143"/>
  <c r="BA11" i="1143"/>
  <c r="BA12" i="1143"/>
  <c r="BA14" i="1143"/>
  <c r="BB14" i="1143"/>
  <c r="BA15" i="1143"/>
  <c r="BB15" i="1143"/>
  <c r="BA16" i="1143"/>
  <c r="BB16" i="1143"/>
  <c r="BA17" i="1143"/>
  <c r="BB17" i="1143"/>
  <c r="BA18" i="1143"/>
  <c r="BA19" i="1143"/>
  <c r="BB19" i="1143"/>
  <c r="BA20" i="1143"/>
  <c r="BB20" i="1143"/>
  <c r="BA22" i="1143"/>
  <c r="BB22" i="1143"/>
  <c r="BA23" i="1143"/>
  <c r="BB23" i="1143"/>
  <c r="BA25" i="1143"/>
  <c r="BB25" i="1143"/>
  <c r="BA10" i="1167"/>
  <c r="BB10" i="1167"/>
  <c r="BA11" i="1167"/>
  <c r="BB11" i="1167"/>
  <c r="BA12" i="1167"/>
  <c r="BB12" i="1167"/>
  <c r="BB13" i="1167"/>
  <c r="BA14" i="1167"/>
  <c r="BB14" i="1167"/>
  <c r="BA15" i="1167"/>
  <c r="BA16" i="1167"/>
  <c r="BB9" i="1167"/>
  <c r="BA9" i="1167"/>
  <c r="BA99" i="1135"/>
  <c r="BB99" i="1135"/>
  <c r="BA100" i="1135"/>
  <c r="BB100" i="1135"/>
  <c r="BA101" i="1135"/>
  <c r="BB101" i="1135"/>
  <c r="BA104" i="1135"/>
  <c r="BB104" i="1135"/>
  <c r="BA105" i="1135"/>
  <c r="BB105" i="1135"/>
  <c r="BA111" i="1135"/>
  <c r="BB111" i="1135"/>
  <c r="BA112" i="1135"/>
  <c r="BB112" i="1135"/>
  <c r="BA113" i="1135"/>
  <c r="BB113" i="1135"/>
  <c r="BA114" i="1135"/>
  <c r="BB114" i="1135"/>
  <c r="BA115" i="1135"/>
  <c r="BB115" i="1135"/>
  <c r="BB116" i="1135"/>
  <c r="BA117" i="1135"/>
  <c r="BB117" i="1135"/>
  <c r="BA118" i="1135"/>
  <c r="BB118" i="1135"/>
  <c r="BA119" i="1135"/>
  <c r="BB119" i="1135"/>
  <c r="BA120" i="1135"/>
  <c r="BB120" i="1135"/>
  <c r="BA122" i="1135"/>
  <c r="BB122" i="1135"/>
  <c r="BA124" i="1135"/>
  <c r="BB124" i="1135"/>
  <c r="BA125" i="1135"/>
  <c r="BB125" i="1135"/>
  <c r="BA127" i="1135"/>
  <c r="BB127" i="1135"/>
  <c r="BA128" i="1135"/>
  <c r="BB128" i="1135"/>
  <c r="BA129" i="1135"/>
  <c r="BB129" i="1135"/>
  <c r="BA130" i="1135"/>
  <c r="BB130" i="1135"/>
  <c r="BA131" i="1135"/>
  <c r="BB131" i="1135"/>
  <c r="BA132" i="1135"/>
  <c r="BB132" i="1135"/>
  <c r="BA133" i="1135"/>
  <c r="BB133" i="1135"/>
  <c r="BA134" i="1135"/>
  <c r="BB134" i="1135"/>
  <c r="BA135" i="1135"/>
  <c r="BB135" i="1135"/>
  <c r="BA136" i="1135"/>
  <c r="BB136" i="1135"/>
  <c r="BB137" i="1135"/>
  <c r="BA138" i="1135"/>
  <c r="BB138" i="1135"/>
  <c r="BA139" i="1135"/>
  <c r="BB139" i="1135"/>
  <c r="BA140" i="1135"/>
  <c r="BB140" i="1135"/>
  <c r="BA141" i="1135"/>
  <c r="BB141" i="1135"/>
  <c r="BA142" i="1135"/>
  <c r="BB142" i="1135"/>
  <c r="BA144" i="1135"/>
  <c r="BB144" i="1135"/>
  <c r="BA145" i="1135"/>
  <c r="BB145" i="1135"/>
  <c r="BA90" i="1135"/>
  <c r="BB90" i="1135"/>
  <c r="BA91" i="1135"/>
  <c r="BB91" i="1135"/>
  <c r="BA92" i="1135"/>
  <c r="BB92" i="1135"/>
  <c r="BA93" i="1135"/>
  <c r="BB93" i="1135"/>
  <c r="BA95" i="1135"/>
  <c r="BB95" i="1135"/>
  <c r="BA96" i="1135"/>
  <c r="BB96" i="1135"/>
  <c r="BA97" i="1135"/>
  <c r="BB97" i="1135"/>
  <c r="BA98" i="1135"/>
  <c r="BB98" i="1135"/>
  <c r="BA77" i="1135"/>
  <c r="BB77" i="1135"/>
  <c r="BB78" i="1135"/>
  <c r="BB79" i="1135"/>
  <c r="BB80" i="1135"/>
  <c r="BB81" i="1135"/>
  <c r="BB82" i="1135"/>
  <c r="BB83" i="1135"/>
  <c r="BB84" i="1135"/>
  <c r="BA86" i="1135"/>
  <c r="BB86" i="1135"/>
  <c r="BA87" i="1135"/>
  <c r="BB87" i="1135"/>
  <c r="BA88" i="1135"/>
  <c r="BB88" i="1135"/>
  <c r="BA89" i="1135"/>
  <c r="BB89" i="1135"/>
  <c r="BB74" i="1135"/>
  <c r="BA74" i="1135"/>
  <c r="BA54" i="1135"/>
  <c r="BA51" i="1135"/>
  <c r="BB51" i="1135"/>
  <c r="BA52" i="1135"/>
  <c r="BB52" i="1135"/>
  <c r="BB54" i="1135"/>
  <c r="BA37" i="1135"/>
  <c r="BB37" i="1135"/>
  <c r="BA38" i="1135"/>
  <c r="BB38" i="1135"/>
  <c r="BA39" i="1135"/>
  <c r="BB39" i="1135"/>
  <c r="BA19" i="1135"/>
  <c r="BB19" i="1135"/>
  <c r="BA21" i="1135"/>
  <c r="BB21" i="1135"/>
  <c r="BA22" i="1135"/>
  <c r="BB22" i="1135"/>
  <c r="BA23" i="1135"/>
  <c r="BB23" i="1135"/>
  <c r="BA24" i="1135"/>
  <c r="BB24" i="1135"/>
  <c r="BA25" i="1135"/>
  <c r="BB25" i="1135"/>
  <c r="BA26" i="1135"/>
  <c r="BB26" i="1135"/>
  <c r="BA27" i="1135"/>
  <c r="BB27" i="1135"/>
  <c r="BA28" i="1135"/>
  <c r="BB28" i="1135"/>
  <c r="BA29" i="1135"/>
  <c r="BB29" i="1135"/>
  <c r="BA33" i="1135"/>
  <c r="BB33" i="1135"/>
  <c r="T73" i="1134"/>
  <c r="S73" i="1134"/>
  <c r="R73" i="1134"/>
  <c r="Q73" i="1134"/>
  <c r="T72" i="1134"/>
  <c r="S72" i="1134"/>
  <c r="R72" i="1134"/>
  <c r="Q72" i="1134"/>
  <c r="Q67" i="1134"/>
  <c r="R67" i="1134"/>
  <c r="S67" i="1134"/>
  <c r="T67" i="1134"/>
  <c r="Q68" i="1134"/>
  <c r="R68" i="1134"/>
  <c r="S68" i="1134"/>
  <c r="T68" i="1134"/>
  <c r="Q69" i="1134"/>
  <c r="R69" i="1134"/>
  <c r="S69" i="1134"/>
  <c r="T69" i="1134"/>
  <c r="Q70" i="1134"/>
  <c r="R70" i="1134"/>
  <c r="S70" i="1134"/>
  <c r="T70" i="1134"/>
  <c r="T66" i="1134"/>
  <c r="S66" i="1134"/>
  <c r="R66" i="1134"/>
  <c r="Q66" i="1134"/>
  <c r="T64" i="1134"/>
  <c r="S64" i="1134"/>
  <c r="R64" i="1134"/>
  <c r="Q64" i="1134"/>
  <c r="T61" i="1134"/>
  <c r="S61" i="1134"/>
  <c r="R61" i="1134"/>
  <c r="Q61" i="1134"/>
  <c r="Q57" i="1134"/>
  <c r="S57" i="1134"/>
  <c r="T57" i="1134"/>
  <c r="Q51" i="1134"/>
  <c r="R51" i="1134"/>
  <c r="S51" i="1134"/>
  <c r="T51" i="1134"/>
  <c r="Q52" i="1134"/>
  <c r="R52" i="1134"/>
  <c r="S52" i="1134"/>
  <c r="T52" i="1134"/>
  <c r="Q53" i="1134"/>
  <c r="R53" i="1134"/>
  <c r="S53" i="1134"/>
  <c r="T53" i="1134"/>
  <c r="Q54" i="1134"/>
  <c r="R54" i="1134"/>
  <c r="S54" i="1134"/>
  <c r="T54" i="1134"/>
  <c r="Q55" i="1134"/>
  <c r="R55" i="1134"/>
  <c r="S55" i="1134"/>
  <c r="T55" i="1134"/>
  <c r="Q56" i="1134"/>
  <c r="R56" i="1134"/>
  <c r="S56" i="1134"/>
  <c r="T56" i="1134"/>
  <c r="T50" i="1134"/>
  <c r="S50" i="1134"/>
  <c r="R50" i="1134"/>
  <c r="Q50" i="1134"/>
  <c r="Q38" i="1134"/>
  <c r="R38" i="1134"/>
  <c r="S38" i="1134"/>
  <c r="T38" i="1134"/>
  <c r="Q39" i="1134"/>
  <c r="R39" i="1134"/>
  <c r="S39" i="1134"/>
  <c r="T39" i="1134"/>
  <c r="Q40" i="1134"/>
  <c r="R40" i="1134"/>
  <c r="S40" i="1134"/>
  <c r="T40" i="1134"/>
  <c r="Q41" i="1134"/>
  <c r="R41" i="1134"/>
  <c r="S41" i="1134"/>
  <c r="T41" i="1134"/>
  <c r="Q42" i="1134"/>
  <c r="R42" i="1134"/>
  <c r="S42" i="1134"/>
  <c r="T42" i="1134"/>
  <c r="T37" i="1134"/>
  <c r="S37" i="1134"/>
  <c r="R37" i="1134"/>
  <c r="Q37" i="1134"/>
  <c r="Q29" i="1134"/>
  <c r="R29" i="1134"/>
  <c r="S29" i="1134"/>
  <c r="T29" i="1134"/>
  <c r="Q30" i="1134"/>
  <c r="R30" i="1134"/>
  <c r="S30" i="1134"/>
  <c r="T30" i="1134"/>
  <c r="Q31" i="1134"/>
  <c r="R31" i="1134"/>
  <c r="S31" i="1134"/>
  <c r="T31" i="1134"/>
  <c r="Q32" i="1134"/>
  <c r="R32" i="1134"/>
  <c r="S32" i="1134"/>
  <c r="T32" i="1134"/>
  <c r="Q33" i="1134"/>
  <c r="R33" i="1134"/>
  <c r="S33" i="1134"/>
  <c r="T33" i="1134"/>
  <c r="Q34" i="1134"/>
  <c r="R34" i="1134"/>
  <c r="S34" i="1134"/>
  <c r="T34" i="1134"/>
  <c r="T28" i="1134"/>
  <c r="S28" i="1134"/>
  <c r="R28" i="1134"/>
  <c r="Q28" i="1134"/>
  <c r="T23" i="1134"/>
  <c r="S23" i="1134"/>
  <c r="R23" i="1134"/>
  <c r="Q23" i="1134"/>
  <c r="Q21" i="1134"/>
  <c r="R21" i="1134"/>
  <c r="S21" i="1134"/>
  <c r="T21" i="1134"/>
  <c r="T20" i="1134"/>
  <c r="S20" i="1134"/>
  <c r="R20" i="1134"/>
  <c r="Q20" i="1134"/>
  <c r="T63" i="1134"/>
  <c r="S63" i="1134"/>
  <c r="R63" i="1134"/>
  <c r="Q63" i="1134"/>
  <c r="T62" i="1134"/>
  <c r="S62" i="1134"/>
  <c r="R62" i="1134"/>
  <c r="Q62" i="1134"/>
  <c r="T36" i="1134"/>
  <c r="S36" i="1134"/>
  <c r="R36" i="1134"/>
  <c r="Q36" i="1134"/>
  <c r="T24" i="1134"/>
  <c r="S24" i="1134"/>
  <c r="R24" i="1134"/>
  <c r="Q24" i="1134"/>
  <c r="T22" i="1134"/>
  <c r="S22" i="1134"/>
  <c r="R22" i="1134"/>
  <c r="Q22" i="1134"/>
  <c r="BJ70" i="1140" l="1"/>
  <c r="BK70" i="1140"/>
  <c r="BL70" i="1140"/>
  <c r="BM70" i="1140"/>
  <c r="BN70" i="1140"/>
  <c r="BO70" i="1140"/>
  <c r="BP70" i="1140"/>
  <c r="BQ70" i="1140"/>
  <c r="BR70" i="1140"/>
  <c r="BS70" i="1140"/>
  <c r="BT70" i="1140"/>
  <c r="BU70" i="1140"/>
  <c r="BV70" i="1140"/>
  <c r="BW70" i="1140"/>
  <c r="BI70" i="1140"/>
  <c r="BI71" i="1140"/>
  <c r="BI72" i="1140" l="1"/>
  <c r="P73" i="1134" l="1"/>
  <c r="P72" i="1134"/>
  <c r="P70" i="1134"/>
  <c r="P66" i="1134"/>
  <c r="P64" i="1134"/>
  <c r="P63" i="1134"/>
  <c r="P62" i="1134"/>
  <c r="P57" i="1134"/>
  <c r="P56" i="1134"/>
  <c r="P55" i="1134"/>
  <c r="P51" i="1134"/>
  <c r="P50" i="1134"/>
  <c r="P42" i="1134"/>
  <c r="P39" i="1134"/>
  <c r="P40" i="1134"/>
  <c r="P41" i="1134"/>
  <c r="P38" i="1134"/>
  <c r="P37" i="1134"/>
  <c r="P36" i="1134"/>
  <c r="P34" i="1134"/>
  <c r="P33" i="1134"/>
  <c r="P32" i="1134"/>
  <c r="P31" i="1134"/>
  <c r="P30" i="1134"/>
  <c r="BX21" i="1140"/>
  <c r="BY21" i="1140"/>
  <c r="BX23" i="1140"/>
  <c r="BY23" i="1140"/>
  <c r="BX24" i="1140"/>
  <c r="BY24" i="1140"/>
  <c r="BX25" i="1140"/>
  <c r="BY25" i="1140"/>
  <c r="BX26" i="1140"/>
  <c r="BY26" i="1140"/>
  <c r="BX27" i="1140"/>
  <c r="BY27" i="1140"/>
  <c r="BX28" i="1140"/>
  <c r="BY28" i="1140"/>
  <c r="BX29" i="1140"/>
  <c r="BY29" i="1140"/>
  <c r="BX30" i="1140"/>
  <c r="BY30" i="1140"/>
  <c r="BX31" i="1140"/>
  <c r="BY31" i="1140"/>
  <c r="BX32" i="1140"/>
  <c r="BY32" i="1140"/>
  <c r="BX33" i="1140"/>
  <c r="BY33" i="1140"/>
  <c r="BX34" i="1140"/>
  <c r="BY34" i="1140"/>
  <c r="BX35" i="1140"/>
  <c r="BY35" i="1140"/>
  <c r="BX36" i="1140"/>
  <c r="BY36" i="1140"/>
  <c r="BX37" i="1140"/>
  <c r="BY37" i="1140"/>
  <c r="BX38" i="1140"/>
  <c r="BY38" i="1140"/>
  <c r="BX40" i="1140"/>
  <c r="BY40" i="1140"/>
  <c r="BX41" i="1140"/>
  <c r="BY41" i="1140"/>
  <c r="BX42" i="1140"/>
  <c r="BY42" i="1140"/>
  <c r="BX43" i="1140"/>
  <c r="BY43" i="1140"/>
  <c r="BX45" i="1140"/>
  <c r="BY45" i="1140"/>
  <c r="BX46" i="1140"/>
  <c r="BY46" i="1140"/>
  <c r="BX48" i="1140"/>
  <c r="BY48" i="1140"/>
  <c r="BX49" i="1140"/>
  <c r="BY49" i="1140"/>
  <c r="BX50" i="1140"/>
  <c r="BY50" i="1140"/>
  <c r="BX52" i="1140"/>
  <c r="BY52" i="1140"/>
  <c r="BX53" i="1140"/>
  <c r="BY53" i="1140"/>
  <c r="BX54" i="1140"/>
  <c r="BY54" i="1140"/>
  <c r="BX55" i="1140"/>
  <c r="BY55" i="1140"/>
  <c r="BX56" i="1140"/>
  <c r="BY56" i="1140"/>
  <c r="BX57" i="1140"/>
  <c r="BY57" i="1140"/>
  <c r="BX58" i="1140"/>
  <c r="BY58" i="1140"/>
  <c r="BX59" i="1140"/>
  <c r="BY59" i="1140"/>
  <c r="BX60" i="1140"/>
  <c r="BY60" i="1140"/>
  <c r="BX61" i="1140"/>
  <c r="BY61" i="1140"/>
  <c r="BX62" i="1140"/>
  <c r="BY62" i="1140"/>
  <c r="BX63" i="1140"/>
  <c r="BY63" i="1140"/>
  <c r="BX64" i="1140"/>
  <c r="BY64" i="1140"/>
  <c r="BX66" i="1140"/>
  <c r="BY66" i="1140"/>
  <c r="BX67" i="1140"/>
  <c r="BY67" i="1140"/>
  <c r="BX68" i="1140"/>
  <c r="BY68" i="1140"/>
  <c r="BX70" i="1140"/>
  <c r="BY70" i="1140"/>
  <c r="BX71" i="1140"/>
  <c r="BY71" i="1140"/>
  <c r="BY72" i="1140"/>
  <c r="BX74" i="1140"/>
  <c r="BY74" i="1140"/>
  <c r="BX75" i="1140"/>
  <c r="BY75" i="1140"/>
  <c r="BX76" i="1140"/>
  <c r="BY76" i="1140"/>
  <c r="BY20" i="1140"/>
  <c r="BX20" i="1140"/>
  <c r="BI58" i="1140"/>
  <c r="BI57" i="1140"/>
  <c r="BI55" i="1140" l="1"/>
  <c r="BI54" i="1140"/>
  <c r="BI53" i="1140"/>
  <c r="BI52" i="1140"/>
  <c r="BI50" i="1140"/>
  <c r="BI49" i="1140"/>
  <c r="BI48" i="1140"/>
  <c r="BW46" i="1140"/>
  <c r="BV46" i="1140"/>
  <c r="BU46" i="1140"/>
  <c r="BT46" i="1140"/>
  <c r="BS46" i="1140"/>
  <c r="BR46" i="1140"/>
  <c r="BQ46" i="1140"/>
  <c r="BP46" i="1140"/>
  <c r="BO46" i="1140"/>
  <c r="BN46" i="1140"/>
  <c r="BM46" i="1140"/>
  <c r="BL46" i="1140"/>
  <c r="BK46" i="1140"/>
  <c r="BJ46" i="1140"/>
  <c r="BI45" i="1140"/>
  <c r="BI46" i="1140" s="1"/>
  <c r="BT84" i="1140" l="1"/>
  <c r="BO76" i="1140"/>
  <c r="BL76" i="1140"/>
  <c r="BK76" i="1140"/>
  <c r="BW76" i="1140"/>
  <c r="BM76" i="1140"/>
  <c r="BR76" i="1140"/>
  <c r="BQ76" i="1140"/>
  <c r="BV76" i="1140"/>
  <c r="BP76" i="1140"/>
  <c r="BN76" i="1140"/>
  <c r="BS76" i="1140"/>
  <c r="BT76" i="1140"/>
  <c r="BU76" i="1140"/>
  <c r="BJ76" i="1140"/>
  <c r="BS75" i="1140"/>
  <c r="BI74" i="1140" l="1"/>
  <c r="BI75" i="1140" s="1"/>
  <c r="BJ75" i="1140"/>
  <c r="BK75" i="1140"/>
  <c r="BL75" i="1140"/>
  <c r="BM75" i="1140"/>
  <c r="BO75" i="1140"/>
  <c r="BT75" i="1140"/>
  <c r="BV75" i="1140"/>
  <c r="BI76" i="1140"/>
  <c r="L33" i="1139" l="1"/>
  <c r="M33" i="1139"/>
  <c r="M34" i="1139"/>
  <c r="L35" i="1139"/>
  <c r="M35" i="1139"/>
  <c r="L36" i="1139"/>
  <c r="M36" i="1139"/>
  <c r="L38" i="1139"/>
  <c r="M38" i="1139"/>
  <c r="L39" i="1139"/>
  <c r="M39" i="1139"/>
  <c r="L40" i="1139"/>
  <c r="M40" i="1139"/>
  <c r="M32" i="1139"/>
  <c r="L32" i="1139"/>
  <c r="AL34" i="1143" l="1"/>
  <c r="P23" i="1134"/>
  <c r="P22" i="1134"/>
  <c r="P21" i="1134"/>
  <c r="P20" i="1134"/>
  <c r="BI40" i="1140"/>
  <c r="BI43" i="1140"/>
  <c r="AL59" i="1143" s="1"/>
  <c r="BI42" i="1140"/>
  <c r="BI41" i="1140"/>
  <c r="K10" i="1146" l="1"/>
  <c r="L10" i="1146"/>
  <c r="K11" i="1146"/>
  <c r="L11" i="1146"/>
  <c r="K12" i="1146"/>
  <c r="L12" i="1146"/>
  <c r="K13" i="1146"/>
  <c r="L13" i="1146"/>
  <c r="K15" i="1146"/>
  <c r="L15" i="1146"/>
  <c r="K16" i="1146"/>
  <c r="L16" i="1146"/>
  <c r="K17" i="1146"/>
  <c r="L17" i="1146"/>
  <c r="K18" i="1146"/>
  <c r="L18" i="1146"/>
  <c r="K19" i="1146"/>
  <c r="L19" i="1146"/>
  <c r="K20" i="1146"/>
  <c r="L20" i="1146"/>
  <c r="K21" i="1146"/>
  <c r="L21" i="1146"/>
  <c r="K22" i="1146"/>
  <c r="L22" i="1146"/>
  <c r="K24" i="1146"/>
  <c r="L24" i="1146"/>
  <c r="K25" i="1146"/>
  <c r="L25" i="1146"/>
  <c r="L9" i="1146"/>
  <c r="K9" i="1146"/>
  <c r="BA12" i="1145"/>
  <c r="BB12" i="1145"/>
  <c r="BA17" i="1145"/>
  <c r="BB17" i="1145"/>
  <c r="BA18" i="1145"/>
  <c r="BB18" i="1145"/>
  <c r="BA20" i="1145"/>
  <c r="BB20" i="1145"/>
  <c r="BA21" i="1145"/>
  <c r="BB21" i="1145"/>
  <c r="BA22" i="1145"/>
  <c r="BB22" i="1145"/>
  <c r="BA24" i="1145"/>
  <c r="BB24" i="1145"/>
  <c r="BA25" i="1145"/>
  <c r="BB25" i="1145"/>
  <c r="BA26" i="1145"/>
  <c r="BB26" i="1145"/>
  <c r="BA27" i="1145"/>
  <c r="BB27" i="1145"/>
  <c r="BA29" i="1145"/>
  <c r="BB29" i="1145"/>
  <c r="BA30" i="1145"/>
  <c r="BB30" i="1145"/>
  <c r="BB31" i="1145"/>
  <c r="BB32" i="1145"/>
  <c r="BA33" i="1145"/>
  <c r="BB33" i="1145"/>
  <c r="BA34" i="1145"/>
  <c r="BB34" i="1145"/>
  <c r="BB35" i="1145"/>
  <c r="BB36" i="1145"/>
  <c r="BA37" i="1145"/>
  <c r="BB37" i="1145"/>
  <c r="BB38" i="1145"/>
  <c r="BB39" i="1145"/>
  <c r="BA41" i="1145"/>
  <c r="BB41" i="1145"/>
  <c r="BA43" i="1145"/>
  <c r="BB43" i="1145"/>
  <c r="BA44" i="1145"/>
  <c r="BB44" i="1145"/>
  <c r="BA46" i="1145"/>
  <c r="BB46" i="1145"/>
  <c r="BA49" i="1145"/>
  <c r="BB49" i="1145"/>
  <c r="BB50" i="1145"/>
  <c r="BA53" i="1145"/>
  <c r="BB53" i="1145"/>
  <c r="BA54" i="1145"/>
  <c r="BB54" i="1145"/>
  <c r="BA56" i="1145"/>
  <c r="BB56" i="1145"/>
  <c r="BA57" i="1145"/>
  <c r="BB57" i="1145"/>
  <c r="BA58" i="1145"/>
  <c r="BB58" i="1145"/>
  <c r="BA59" i="1145"/>
  <c r="BB59" i="1145"/>
  <c r="BA60" i="1145"/>
  <c r="BB60" i="1145"/>
  <c r="BA61" i="1145"/>
  <c r="BB61" i="1145"/>
  <c r="BA62" i="1145"/>
  <c r="BB62" i="1145"/>
  <c r="BA63" i="1145"/>
  <c r="BB63" i="1145"/>
  <c r="BA64" i="1145"/>
  <c r="BB64" i="1145"/>
  <c r="BA65" i="1145"/>
  <c r="BB65" i="1145"/>
  <c r="BA66" i="1145"/>
  <c r="BB66" i="1145"/>
  <c r="BA68" i="1145"/>
  <c r="BB68" i="1145"/>
  <c r="BA69" i="1145"/>
  <c r="BB69" i="1145"/>
  <c r="BB70" i="1145"/>
  <c r="BA71" i="1145"/>
  <c r="BB71" i="1145"/>
  <c r="BA72" i="1145"/>
  <c r="BB72" i="1145"/>
  <c r="BA73" i="1145"/>
  <c r="BB73" i="1145"/>
  <c r="BA74" i="1145"/>
  <c r="BB74" i="1145"/>
  <c r="BB11" i="1145"/>
  <c r="BA11" i="1145"/>
  <c r="AL51" i="1145"/>
  <c r="BB51" i="1145" s="1"/>
  <c r="AL49" i="1145"/>
  <c r="BA51" i="1145" l="1"/>
  <c r="AM69" i="1145"/>
  <c r="AN69" i="1145"/>
  <c r="AO69" i="1145"/>
  <c r="AP69" i="1145"/>
  <c r="AQ69" i="1145"/>
  <c r="AR69" i="1145"/>
  <c r="AS69" i="1145"/>
  <c r="AT69" i="1145"/>
  <c r="AU69" i="1145"/>
  <c r="AV69" i="1145"/>
  <c r="AW69" i="1145"/>
  <c r="AX69" i="1145"/>
  <c r="AY69" i="1145"/>
  <c r="AZ69" i="1145"/>
  <c r="AL69" i="1145"/>
  <c r="AL74" i="1145"/>
  <c r="AL73" i="1145"/>
  <c r="AL71" i="1145"/>
  <c r="AL70" i="1145"/>
  <c r="AL68" i="1145"/>
  <c r="AL60" i="1145"/>
  <c r="AL58" i="1145"/>
  <c r="AL57" i="1145"/>
  <c r="AL54" i="1145"/>
  <c r="F69" i="1145"/>
  <c r="AL37" i="1145"/>
  <c r="AL34" i="1145"/>
  <c r="X20" i="1145" l="1"/>
  <c r="Y20" i="1145"/>
  <c r="Z20" i="1145"/>
  <c r="AA20" i="1145"/>
  <c r="AB20" i="1145"/>
  <c r="AC20" i="1145"/>
  <c r="AD20" i="1145"/>
  <c r="AE20" i="1145"/>
  <c r="AF20" i="1145"/>
  <c r="AG20" i="1145"/>
  <c r="AH20" i="1145"/>
  <c r="AI20" i="1145"/>
  <c r="AJ20" i="1145"/>
  <c r="AK20" i="1145"/>
  <c r="AL20" i="1145"/>
  <c r="AM20" i="1145"/>
  <c r="AN20" i="1145"/>
  <c r="AO20" i="1145"/>
  <c r="AP20" i="1145"/>
  <c r="AQ20" i="1145"/>
  <c r="AR20" i="1145"/>
  <c r="AS20" i="1145"/>
  <c r="AT20" i="1145"/>
  <c r="AU20" i="1145"/>
  <c r="AV20" i="1145"/>
  <c r="AW20" i="1145"/>
  <c r="AX20" i="1145"/>
  <c r="AY20" i="1145"/>
  <c r="AZ20" i="1145"/>
  <c r="AL27" i="1145"/>
  <c r="AL25" i="1145"/>
  <c r="AL22" i="1145"/>
  <c r="AL21" i="1145"/>
  <c r="AL18" i="1145"/>
  <c r="AL17" i="1145"/>
  <c r="AL12" i="1145"/>
  <c r="AL11" i="1145"/>
  <c r="BA11" i="1144" l="1"/>
  <c r="BB11" i="1144"/>
  <c r="BA12" i="1144"/>
  <c r="BB12" i="1144"/>
  <c r="BA13" i="1144"/>
  <c r="BB13" i="1144"/>
  <c r="BA14" i="1144"/>
  <c r="BB14" i="1144"/>
  <c r="BA15" i="1144"/>
  <c r="BB15" i="1144"/>
  <c r="BA17" i="1144"/>
  <c r="BB17" i="1144"/>
  <c r="BA18" i="1144"/>
  <c r="BB18" i="1144"/>
  <c r="BA19" i="1144"/>
  <c r="BB19" i="1144"/>
  <c r="BA20" i="1144"/>
  <c r="BB20" i="1144"/>
  <c r="BA21" i="1144"/>
  <c r="BB21" i="1144"/>
  <c r="BA22" i="1144"/>
  <c r="BB22" i="1144"/>
  <c r="BA23" i="1144"/>
  <c r="BB23" i="1144"/>
  <c r="BA25" i="1144"/>
  <c r="BB25" i="1144"/>
  <c r="BA26" i="1144"/>
  <c r="BB26" i="1144"/>
  <c r="BA27" i="1144"/>
  <c r="BB27" i="1144"/>
  <c r="BA28" i="1144"/>
  <c r="BB28" i="1144"/>
  <c r="BA29" i="1144"/>
  <c r="BB29" i="1144"/>
  <c r="BA30" i="1144"/>
  <c r="BB30" i="1144"/>
  <c r="BA31" i="1144"/>
  <c r="BB31" i="1144"/>
  <c r="BA32" i="1144"/>
  <c r="BB32" i="1144"/>
  <c r="BA33" i="1144"/>
  <c r="BB33" i="1144"/>
  <c r="BA34" i="1144"/>
  <c r="BB34" i="1144"/>
  <c r="BA36" i="1144"/>
  <c r="BB36" i="1144"/>
  <c r="BA37" i="1144"/>
  <c r="BB37" i="1144"/>
  <c r="BA38" i="1144"/>
  <c r="BB38" i="1144"/>
  <c r="BA39" i="1144"/>
  <c r="BB39" i="1144"/>
  <c r="BA40" i="1144"/>
  <c r="BB40" i="1144"/>
  <c r="BA41" i="1144"/>
  <c r="BB41" i="1144"/>
  <c r="BA43" i="1144"/>
  <c r="BB43" i="1144"/>
  <c r="BA44" i="1144"/>
  <c r="BB44" i="1144"/>
  <c r="BA45" i="1144"/>
  <c r="BB45" i="1144"/>
  <c r="BA46" i="1144"/>
  <c r="BB46" i="1144"/>
  <c r="BA47" i="1144"/>
  <c r="BB47" i="1144"/>
  <c r="BA48" i="1144"/>
  <c r="BB48" i="1144"/>
  <c r="BA49" i="1144"/>
  <c r="BB49" i="1144"/>
  <c r="BA50" i="1144"/>
  <c r="BB50" i="1144"/>
  <c r="BA51" i="1144"/>
  <c r="BB51" i="1144"/>
  <c r="BA52" i="1144"/>
  <c r="BB52" i="1144"/>
  <c r="BA53" i="1144"/>
  <c r="BB53" i="1144"/>
  <c r="BA54" i="1144"/>
  <c r="BB54" i="1144"/>
  <c r="BA55" i="1144"/>
  <c r="BB55" i="1144"/>
  <c r="BA56" i="1144"/>
  <c r="BB56" i="1144"/>
  <c r="BA57" i="1144"/>
  <c r="BB57" i="1144"/>
  <c r="BA58" i="1144"/>
  <c r="BB58" i="1144"/>
  <c r="BA59" i="1144"/>
  <c r="BB59" i="1144"/>
  <c r="BA60" i="1144"/>
  <c r="BB60" i="1144"/>
  <c r="BA61" i="1144"/>
  <c r="BB61" i="1144"/>
  <c r="BA62" i="1144"/>
  <c r="BB62" i="1144"/>
  <c r="BA63" i="1144"/>
  <c r="BB63" i="1144"/>
  <c r="BA64" i="1144"/>
  <c r="BB64" i="1144"/>
  <c r="BA65" i="1144"/>
  <c r="BB65" i="1144"/>
  <c r="BA66" i="1144"/>
  <c r="BB66" i="1144"/>
  <c r="BA67" i="1144"/>
  <c r="BB67" i="1144"/>
  <c r="BA68" i="1144"/>
  <c r="BB68" i="1144"/>
  <c r="BA69" i="1144"/>
  <c r="BB69" i="1144"/>
  <c r="BA71" i="1144"/>
  <c r="BB71" i="1144"/>
  <c r="BA72" i="1144"/>
  <c r="BB72" i="1144"/>
  <c r="BA73" i="1144"/>
  <c r="BB73" i="1144"/>
  <c r="BA74" i="1144"/>
  <c r="BB74" i="1144"/>
  <c r="BA75" i="1144"/>
  <c r="BB75" i="1144"/>
  <c r="BA76" i="1144"/>
  <c r="BB76" i="1144"/>
  <c r="BA77" i="1144"/>
  <c r="BB77" i="1144"/>
  <c r="BA78" i="1144"/>
  <c r="BB78" i="1144"/>
  <c r="BA79" i="1144"/>
  <c r="BB79" i="1144"/>
  <c r="BA80" i="1144"/>
  <c r="BB80" i="1144"/>
  <c r="BA81" i="1144"/>
  <c r="BB81" i="1144"/>
  <c r="BA82" i="1144"/>
  <c r="BB82" i="1144"/>
  <c r="BA83" i="1144"/>
  <c r="BB83" i="1144"/>
  <c r="BA84" i="1144"/>
  <c r="BB84" i="1144"/>
  <c r="BA85" i="1144"/>
  <c r="BB85" i="1144"/>
  <c r="BA86" i="1144"/>
  <c r="BB86" i="1144"/>
  <c r="BB10" i="1144"/>
  <c r="BA10" i="1144"/>
  <c r="BA11" i="1142"/>
  <c r="BB11" i="1142"/>
  <c r="BA12" i="1142"/>
  <c r="BB12" i="1142"/>
  <c r="BA13" i="1142"/>
  <c r="BB13" i="1142"/>
  <c r="BA14" i="1142"/>
  <c r="BB14" i="1142"/>
  <c r="BA15" i="1142"/>
  <c r="BB15" i="1142"/>
  <c r="BA16" i="1142"/>
  <c r="BB16" i="1142"/>
  <c r="BA17" i="1142"/>
  <c r="BB17" i="1142"/>
  <c r="BA18" i="1142"/>
  <c r="BB18" i="1142"/>
  <c r="BA20" i="1142"/>
  <c r="BB20" i="1142"/>
  <c r="BA21" i="1142"/>
  <c r="BB21" i="1142"/>
  <c r="BB9" i="1142"/>
  <c r="BA9" i="1142"/>
  <c r="AL85" i="1144" l="1"/>
  <c r="AL86" i="1144" s="1"/>
  <c r="AW84" i="1144"/>
  <c r="AM84" i="1144"/>
  <c r="AL83" i="1144"/>
  <c r="AL84" i="1144" s="1"/>
  <c r="AZ82" i="1144"/>
  <c r="AY82" i="1144"/>
  <c r="AX82" i="1144"/>
  <c r="AW82" i="1144"/>
  <c r="AV82" i="1144"/>
  <c r="AU82" i="1144"/>
  <c r="AT82" i="1144"/>
  <c r="AS82" i="1144"/>
  <c r="AR82" i="1144"/>
  <c r="AQ82" i="1144"/>
  <c r="AP82" i="1144"/>
  <c r="AO82" i="1144"/>
  <c r="AN82" i="1144"/>
  <c r="AM82" i="1144"/>
  <c r="AL81" i="1144"/>
  <c r="AL82" i="1144" s="1"/>
  <c r="AZ80" i="1144"/>
  <c r="AY80" i="1144"/>
  <c r="AX80" i="1144"/>
  <c r="AW80" i="1144"/>
  <c r="AV80" i="1144"/>
  <c r="AU80" i="1144"/>
  <c r="AT80" i="1144"/>
  <c r="AS80" i="1144"/>
  <c r="AR80" i="1144"/>
  <c r="AQ80" i="1144"/>
  <c r="AP80" i="1144"/>
  <c r="AO80" i="1144"/>
  <c r="AN80" i="1144"/>
  <c r="AM80" i="1144"/>
  <c r="AL79" i="1144"/>
  <c r="AL80" i="1144" s="1"/>
  <c r="AZ78" i="1144"/>
  <c r="AY78" i="1144"/>
  <c r="AX78" i="1144"/>
  <c r="AW78" i="1144"/>
  <c r="AV78" i="1144"/>
  <c r="AU78" i="1144"/>
  <c r="AT78" i="1144"/>
  <c r="AS78" i="1144"/>
  <c r="AR78" i="1144"/>
  <c r="AQ78" i="1144"/>
  <c r="AP78" i="1144"/>
  <c r="AO78" i="1144"/>
  <c r="AN78" i="1144"/>
  <c r="AM78" i="1144"/>
  <c r="AL77" i="1144"/>
  <c r="AL78" i="1144" s="1"/>
  <c r="AY76" i="1144"/>
  <c r="AW76" i="1144"/>
  <c r="AU76" i="1144"/>
  <c r="AS76" i="1144"/>
  <c r="AQ76" i="1144"/>
  <c r="AO76" i="1144"/>
  <c r="AM76" i="1144"/>
  <c r="AZ75" i="1144"/>
  <c r="AZ76" i="1144" s="1"/>
  <c r="AY75" i="1144"/>
  <c r="AX75" i="1144"/>
  <c r="AX76" i="1144" s="1"/>
  <c r="AW75" i="1144"/>
  <c r="AV75" i="1144"/>
  <c r="AV76" i="1144" s="1"/>
  <c r="AU75" i="1144"/>
  <c r="AT75" i="1144"/>
  <c r="AT76" i="1144" s="1"/>
  <c r="AS75" i="1144"/>
  <c r="AR75" i="1144"/>
  <c r="AR76" i="1144" s="1"/>
  <c r="AQ75" i="1144"/>
  <c r="AP75" i="1144"/>
  <c r="AP76" i="1144" s="1"/>
  <c r="AO75" i="1144"/>
  <c r="AN75" i="1144"/>
  <c r="AN76" i="1144" s="1"/>
  <c r="AM75" i="1144"/>
  <c r="AL75" i="1144"/>
  <c r="AL76" i="1144" s="1"/>
  <c r="AL74" i="1144"/>
  <c r="AL73" i="1144"/>
  <c r="AL72" i="1144"/>
  <c r="AL71" i="1144"/>
  <c r="AL70" i="1144"/>
  <c r="AY69" i="1144"/>
  <c r="AX69" i="1144"/>
  <c r="AW69" i="1144"/>
  <c r="AU69" i="1144"/>
  <c r="AT69" i="1144"/>
  <c r="AR69" i="1144"/>
  <c r="AQ69" i="1144"/>
  <c r="AP69" i="1144"/>
  <c r="AO69" i="1144"/>
  <c r="AN69" i="1144"/>
  <c r="AM69" i="1144"/>
  <c r="AL69" i="1144"/>
  <c r="AL68" i="1144"/>
  <c r="AL67" i="1144"/>
  <c r="AL66" i="1144"/>
  <c r="AL65" i="1144"/>
  <c r="AL64" i="1144"/>
  <c r="AL63" i="1144"/>
  <c r="AL62" i="1144"/>
  <c r="AL61" i="1144"/>
  <c r="AL60" i="1144"/>
  <c r="AZ59" i="1144"/>
  <c r="AY59" i="1144"/>
  <c r="AX59" i="1144"/>
  <c r="AW59" i="1144"/>
  <c r="AV59" i="1144"/>
  <c r="AU59" i="1144"/>
  <c r="AT59" i="1144"/>
  <c r="AS59" i="1144"/>
  <c r="AR59" i="1144"/>
  <c r="AQ59" i="1144"/>
  <c r="AP59" i="1144"/>
  <c r="AO59" i="1144"/>
  <c r="AN59" i="1144"/>
  <c r="AM59" i="1144"/>
  <c r="AL59" i="1144" s="1"/>
  <c r="AM58" i="1144"/>
  <c r="AL58" i="1144"/>
  <c r="AL57" i="1144"/>
  <c r="AW56" i="1144"/>
  <c r="AM56" i="1144"/>
  <c r="AL56" i="1144"/>
  <c r="AL55" i="1144"/>
  <c r="AZ54" i="1144"/>
  <c r="AY54" i="1144"/>
  <c r="AX54" i="1144"/>
  <c r="AW54" i="1144"/>
  <c r="AV54" i="1144"/>
  <c r="AU54" i="1144"/>
  <c r="AT54" i="1144"/>
  <c r="AS54" i="1144"/>
  <c r="AR54" i="1144"/>
  <c r="AQ54" i="1144"/>
  <c r="AP54" i="1144"/>
  <c r="AO54" i="1144"/>
  <c r="AN54" i="1144"/>
  <c r="AM54" i="1144"/>
  <c r="AL54" i="1144"/>
  <c r="AL53" i="1144"/>
  <c r="AZ52" i="1144"/>
  <c r="AY52" i="1144"/>
  <c r="AX52" i="1144"/>
  <c r="AW52" i="1144"/>
  <c r="AV52" i="1144"/>
  <c r="AU52" i="1144"/>
  <c r="AT52" i="1144"/>
  <c r="AS52" i="1144"/>
  <c r="AR52" i="1144"/>
  <c r="AQ52" i="1144"/>
  <c r="AP52" i="1144"/>
  <c r="AO52" i="1144"/>
  <c r="AN52" i="1144"/>
  <c r="AM52" i="1144"/>
  <c r="AL52" i="1144"/>
  <c r="AL51" i="1144"/>
  <c r="AZ50" i="1144"/>
  <c r="AY50" i="1144"/>
  <c r="AX50" i="1144"/>
  <c r="AW50" i="1144"/>
  <c r="AV50" i="1144"/>
  <c r="AU50" i="1144"/>
  <c r="AT50" i="1144"/>
  <c r="AS50" i="1144"/>
  <c r="AR50" i="1144"/>
  <c r="AQ50" i="1144"/>
  <c r="AP50" i="1144"/>
  <c r="AO50" i="1144"/>
  <c r="AN50" i="1144"/>
  <c r="AM50" i="1144"/>
  <c r="AL50" i="1144"/>
  <c r="AL49" i="1144"/>
  <c r="AZ48" i="1144"/>
  <c r="AX48" i="1144"/>
  <c r="AV48" i="1144"/>
  <c r="AT48" i="1144"/>
  <c r="AR48" i="1144"/>
  <c r="AP48" i="1144"/>
  <c r="AN48" i="1144"/>
  <c r="AZ47" i="1144"/>
  <c r="AY47" i="1144"/>
  <c r="AY48" i="1144" s="1"/>
  <c r="AX47" i="1144"/>
  <c r="AW47" i="1144"/>
  <c r="AW48" i="1144" s="1"/>
  <c r="AV47" i="1144"/>
  <c r="AU47" i="1144"/>
  <c r="AU48" i="1144" s="1"/>
  <c r="AT47" i="1144"/>
  <c r="AS47" i="1144"/>
  <c r="AS48" i="1144" s="1"/>
  <c r="AR47" i="1144"/>
  <c r="AQ47" i="1144"/>
  <c r="AQ48" i="1144" s="1"/>
  <c r="AP47" i="1144"/>
  <c r="AO47" i="1144"/>
  <c r="AO48" i="1144" s="1"/>
  <c r="AN47" i="1144"/>
  <c r="AM47" i="1144"/>
  <c r="AM48" i="1144" s="1"/>
  <c r="AL46" i="1144"/>
  <c r="AL45" i="1144"/>
  <c r="AL44" i="1144"/>
  <c r="AL43" i="1144"/>
  <c r="AL41" i="1144"/>
  <c r="AL37" i="1144"/>
  <c r="AL36" i="1144"/>
  <c r="AL34" i="1144"/>
  <c r="AL29" i="1144"/>
  <c r="AL28" i="1144"/>
  <c r="AL27" i="1144"/>
  <c r="AL26" i="1144"/>
  <c r="AL25" i="1144"/>
  <c r="AZ23" i="1144"/>
  <c r="AY23" i="1144"/>
  <c r="AX23" i="1144"/>
  <c r="AW23" i="1144"/>
  <c r="AV23" i="1144"/>
  <c r="AU23" i="1144"/>
  <c r="AT23" i="1144"/>
  <c r="AS23" i="1144"/>
  <c r="AR23" i="1144"/>
  <c r="AQ23" i="1144"/>
  <c r="AP23" i="1144"/>
  <c r="AO23" i="1144"/>
  <c r="AN23" i="1144"/>
  <c r="AM23" i="1144"/>
  <c r="AL23" i="1144" s="1"/>
  <c r="AL22" i="1144"/>
  <c r="AL21" i="1144"/>
  <c r="AL20" i="1144"/>
  <c r="AL19" i="1144"/>
  <c r="AL18" i="1144"/>
  <c r="AL17" i="1144"/>
  <c r="AL15" i="1144"/>
  <c r="AZ14" i="1144"/>
  <c r="AY14" i="1144"/>
  <c r="AX14" i="1144"/>
  <c r="AW14" i="1144"/>
  <c r="AV14" i="1144"/>
  <c r="AU14" i="1144"/>
  <c r="AT14" i="1144"/>
  <c r="AS14" i="1144"/>
  <c r="AR14" i="1144"/>
  <c r="AQ14" i="1144"/>
  <c r="AP14" i="1144"/>
  <c r="AO14" i="1144"/>
  <c r="AN14" i="1144"/>
  <c r="AM14" i="1144"/>
  <c r="AL14" i="1144" s="1"/>
  <c r="AL13" i="1144"/>
  <c r="AL12" i="1144"/>
  <c r="AL11" i="1144"/>
  <c r="AZ10" i="1144"/>
  <c r="AY10" i="1144"/>
  <c r="AX10" i="1144"/>
  <c r="AW10" i="1144"/>
  <c r="AV10" i="1144"/>
  <c r="AU10" i="1144"/>
  <c r="AT10" i="1144"/>
  <c r="AS10" i="1144"/>
  <c r="AR10" i="1144"/>
  <c r="AQ10" i="1144"/>
  <c r="AP10" i="1144"/>
  <c r="AO10" i="1144"/>
  <c r="AN10" i="1144"/>
  <c r="AM10" i="1144"/>
  <c r="AL10" i="1144" s="1"/>
  <c r="AL47" i="1144" l="1"/>
  <c r="AL48" i="1144" s="1"/>
  <c r="AY54" i="1143" l="1"/>
  <c r="AX54" i="1143"/>
  <c r="AW54" i="1143"/>
  <c r="AU54" i="1143"/>
  <c r="AS54" i="1143"/>
  <c r="AR54" i="1143"/>
  <c r="AQ54" i="1143"/>
  <c r="AP54" i="1143"/>
  <c r="AO54" i="1143"/>
  <c r="AN54" i="1143"/>
  <c r="AM54" i="1143"/>
  <c r="AL54" i="1143"/>
  <c r="AZ53" i="1143"/>
  <c r="AY53" i="1143"/>
  <c r="AW53" i="1143"/>
  <c r="AU53" i="1143"/>
  <c r="AT53" i="1143"/>
  <c r="AO53" i="1143"/>
  <c r="AL53" i="1143"/>
  <c r="AZ49" i="1143"/>
  <c r="AY49" i="1143"/>
  <c r="AX49" i="1143"/>
  <c r="AW49" i="1143"/>
  <c r="AV49" i="1143"/>
  <c r="AU49" i="1143"/>
  <c r="AT49" i="1143"/>
  <c r="AS49" i="1143"/>
  <c r="AR49" i="1143"/>
  <c r="AQ49" i="1143"/>
  <c r="AP49" i="1143"/>
  <c r="AO49" i="1143"/>
  <c r="AN49" i="1143"/>
  <c r="AM49" i="1143"/>
  <c r="AL49" i="1143"/>
  <c r="AZ48" i="1143"/>
  <c r="AY48" i="1143"/>
  <c r="AX48" i="1143"/>
  <c r="AW48" i="1143"/>
  <c r="AV48" i="1143"/>
  <c r="AU48" i="1143"/>
  <c r="AT48" i="1143"/>
  <c r="AS48" i="1143"/>
  <c r="AR48" i="1143"/>
  <c r="AQ48" i="1143"/>
  <c r="AP48" i="1143"/>
  <c r="AO48" i="1143"/>
  <c r="AN48" i="1143"/>
  <c r="AM48" i="1143"/>
  <c r="AL48" i="1143"/>
  <c r="AZ47" i="1143"/>
  <c r="AY47" i="1143"/>
  <c r="AX47" i="1143"/>
  <c r="AW47" i="1143"/>
  <c r="AV47" i="1143"/>
  <c r="AU47" i="1143"/>
  <c r="AT47" i="1143"/>
  <c r="AS47" i="1143"/>
  <c r="AR47" i="1143"/>
  <c r="AQ47" i="1143"/>
  <c r="AP47" i="1143"/>
  <c r="AO47" i="1143"/>
  <c r="AN47" i="1143"/>
  <c r="AM47" i="1143"/>
  <c r="AL47" i="1143"/>
  <c r="AL46" i="1143"/>
  <c r="AZ45" i="1143"/>
  <c r="AY45" i="1143"/>
  <c r="AX45" i="1143"/>
  <c r="AW45" i="1143"/>
  <c r="AV45" i="1143"/>
  <c r="AU45" i="1143"/>
  <c r="AT45" i="1143"/>
  <c r="AS45" i="1143"/>
  <c r="AR45" i="1143"/>
  <c r="AQ45" i="1143"/>
  <c r="AP45" i="1143"/>
  <c r="AO45" i="1143"/>
  <c r="AN45" i="1143"/>
  <c r="AM45" i="1143"/>
  <c r="AL45" i="1143"/>
  <c r="AZ44" i="1143"/>
  <c r="AY44" i="1143"/>
  <c r="AX44" i="1143"/>
  <c r="AW44" i="1143"/>
  <c r="AV44" i="1143"/>
  <c r="AU44" i="1143"/>
  <c r="AT44" i="1143"/>
  <c r="AS44" i="1143"/>
  <c r="AR44" i="1143"/>
  <c r="AQ44" i="1143"/>
  <c r="AP44" i="1143"/>
  <c r="AO44" i="1143"/>
  <c r="AN44" i="1143"/>
  <c r="AM44" i="1143"/>
  <c r="AL44" i="1143"/>
  <c r="AZ42" i="1143"/>
  <c r="AV42" i="1143"/>
  <c r="AU42" i="1143"/>
  <c r="AT42" i="1143"/>
  <c r="AS42" i="1143"/>
  <c r="AR42" i="1143"/>
  <c r="AQ42" i="1143"/>
  <c r="AP42" i="1143"/>
  <c r="AL42" i="1143"/>
  <c r="AZ41" i="1143"/>
  <c r="AU41" i="1143"/>
  <c r="AT41" i="1143"/>
  <c r="AS41" i="1143"/>
  <c r="AR41" i="1143"/>
  <c r="AL41" i="1143"/>
  <c r="AY40" i="1143"/>
  <c r="AX40" i="1143"/>
  <c r="AW40" i="1143"/>
  <c r="AU40" i="1143"/>
  <c r="AS40" i="1143"/>
  <c r="AR40" i="1143"/>
  <c r="AQ40" i="1143"/>
  <c r="AP40" i="1143"/>
  <c r="AO40" i="1143"/>
  <c r="AN40" i="1143"/>
  <c r="AM40" i="1143"/>
  <c r="AL40" i="1143"/>
  <c r="AL38" i="1143"/>
  <c r="AL32" i="1143"/>
  <c r="AL30" i="1143"/>
  <c r="AL27" i="1143"/>
  <c r="AL28" i="1143" s="1"/>
  <c r="AL25" i="1143"/>
  <c r="AL21" i="1143"/>
  <c r="AZ14" i="1143"/>
  <c r="AY14" i="1143"/>
  <c r="AX14" i="1143"/>
  <c r="AW14" i="1143"/>
  <c r="AV14" i="1143"/>
  <c r="AU14" i="1143"/>
  <c r="AT14" i="1143"/>
  <c r="AS14" i="1143"/>
  <c r="AR14" i="1143"/>
  <c r="AQ14" i="1143"/>
  <c r="AP14" i="1143"/>
  <c r="AO14" i="1143"/>
  <c r="AN14" i="1143"/>
  <c r="AM14" i="1143"/>
  <c r="AL13" i="1143"/>
  <c r="AL12" i="1142"/>
  <c r="AL11" i="1142"/>
  <c r="AL9" i="1142"/>
  <c r="AZ9" i="1142"/>
  <c r="AY9" i="1142"/>
  <c r="AX9" i="1142"/>
  <c r="AW9" i="1142"/>
  <c r="AV9" i="1142"/>
  <c r="AU9" i="1142"/>
  <c r="AT9" i="1142"/>
  <c r="AS9" i="1142"/>
  <c r="AR9" i="1142"/>
  <c r="AQ9" i="1142"/>
  <c r="AP9" i="1142"/>
  <c r="AO9" i="1142"/>
  <c r="AN9" i="1142"/>
  <c r="AM9" i="1142"/>
  <c r="BA13" i="1143" l="1"/>
  <c r="BI31" i="1140"/>
  <c r="BI20" i="1140"/>
  <c r="BI21" i="1140"/>
  <c r="BI22" i="1140"/>
  <c r="BI23" i="1140"/>
  <c r="BI24" i="1140"/>
  <c r="BI25" i="1140"/>
  <c r="BK26" i="1140"/>
  <c r="BL26" i="1140"/>
  <c r="BM26" i="1140"/>
  <c r="BN26" i="1140"/>
  <c r="BO26" i="1140"/>
  <c r="BP26" i="1140"/>
  <c r="BQ26" i="1140"/>
  <c r="BR26" i="1140"/>
  <c r="BS26" i="1140"/>
  <c r="BT26" i="1140"/>
  <c r="BU26" i="1140"/>
  <c r="BV26" i="1140"/>
  <c r="BW26" i="1140"/>
  <c r="BK27" i="1140"/>
  <c r="BL27" i="1140"/>
  <c r="BM27" i="1140"/>
  <c r="BN27" i="1140"/>
  <c r="BO27" i="1140"/>
  <c r="BP27" i="1140"/>
  <c r="BQ27" i="1140"/>
  <c r="BR27" i="1140"/>
  <c r="BS27" i="1140"/>
  <c r="BT27" i="1140"/>
  <c r="BU27" i="1140"/>
  <c r="BV27" i="1140"/>
  <c r="BW27" i="1140"/>
  <c r="BI27" i="1140" l="1"/>
  <c r="P28" i="1134" s="1"/>
  <c r="BI26" i="1140"/>
  <c r="K32" i="1139"/>
  <c r="K14" i="1136"/>
  <c r="L14" i="1136"/>
  <c r="K16" i="1136"/>
  <c r="L16" i="1136"/>
  <c r="K17" i="1136"/>
  <c r="L17" i="1136"/>
  <c r="K19" i="1136"/>
  <c r="L19" i="1136"/>
  <c r="K20" i="1136"/>
  <c r="L20" i="1136"/>
  <c r="K21" i="1136"/>
  <c r="L21" i="1136"/>
  <c r="K22" i="1136"/>
  <c r="L22" i="1136"/>
  <c r="K23" i="1136"/>
  <c r="L23" i="1136"/>
  <c r="K24" i="1136"/>
  <c r="L24" i="1136"/>
  <c r="K25" i="1136"/>
  <c r="L25" i="1136"/>
  <c r="K26" i="1136"/>
  <c r="L26" i="1136"/>
  <c r="K27" i="1136"/>
  <c r="L27" i="1136"/>
  <c r="K28" i="1136"/>
  <c r="L28" i="1136"/>
  <c r="K30" i="1136"/>
  <c r="L30" i="1136"/>
  <c r="K31" i="1136"/>
  <c r="L31" i="1136"/>
  <c r="K32" i="1136"/>
  <c r="L32" i="1136"/>
  <c r="K33" i="1136"/>
  <c r="L33" i="1136"/>
  <c r="K35" i="1136"/>
  <c r="K36" i="1136"/>
  <c r="L36" i="1136"/>
  <c r="L13" i="1136"/>
  <c r="K13" i="1136"/>
  <c r="K10" i="1137"/>
  <c r="L10" i="1137"/>
  <c r="K11" i="1137"/>
  <c r="L11" i="1137"/>
  <c r="K13" i="1137"/>
  <c r="L13" i="1137"/>
  <c r="K16" i="1137"/>
  <c r="L16" i="1137"/>
  <c r="K18" i="1137"/>
  <c r="L18" i="1137"/>
  <c r="K19" i="1137"/>
  <c r="L19" i="1137"/>
  <c r="K20" i="1137"/>
  <c r="L20" i="1137"/>
  <c r="K21" i="1137"/>
  <c r="L21" i="1137"/>
  <c r="K22" i="1137"/>
  <c r="L22" i="1137"/>
  <c r="K23" i="1137"/>
  <c r="L23" i="1137"/>
  <c r="K25" i="1137"/>
  <c r="L25" i="1137"/>
  <c r="K26" i="1137"/>
  <c r="L26" i="1137"/>
  <c r="K27" i="1137"/>
  <c r="L27" i="1137"/>
  <c r="K30" i="1137"/>
  <c r="L30" i="1137"/>
  <c r="K31" i="1137"/>
  <c r="L31" i="1137"/>
  <c r="K32" i="1137"/>
  <c r="L32" i="1137"/>
  <c r="K33" i="1137"/>
  <c r="L33" i="1137"/>
  <c r="K35" i="1137"/>
  <c r="L35" i="1137"/>
  <c r="K36" i="1137"/>
  <c r="L36" i="1137"/>
  <c r="K37" i="1137"/>
  <c r="L37" i="1137"/>
  <c r="L8" i="1137"/>
  <c r="K8" i="1137"/>
  <c r="J25" i="1137"/>
  <c r="J8" i="1137"/>
  <c r="J13" i="1136"/>
  <c r="J14" i="1136"/>
  <c r="J19" i="1136"/>
  <c r="AM122" i="1135" l="1"/>
  <c r="AN122" i="1135"/>
  <c r="AO122" i="1135"/>
  <c r="AP122" i="1135"/>
  <c r="AQ122" i="1135"/>
  <c r="AR122" i="1135"/>
  <c r="AS122" i="1135"/>
  <c r="AT122" i="1135"/>
  <c r="AU122" i="1135"/>
  <c r="AV122" i="1135"/>
  <c r="AW122" i="1135"/>
  <c r="AX122" i="1135"/>
  <c r="AY122" i="1135"/>
  <c r="AZ122" i="1135"/>
  <c r="AL122" i="1135"/>
  <c r="AL123" i="1135"/>
  <c r="AL133" i="1135"/>
  <c r="AL134" i="1135"/>
  <c r="AL135" i="1135"/>
  <c r="X122" i="1135"/>
  <c r="X104" i="1135" s="1"/>
  <c r="Y122" i="1135"/>
  <c r="Y104" i="1135" s="1"/>
  <c r="Z122" i="1135"/>
  <c r="Z104" i="1135" s="1"/>
  <c r="AA122" i="1135"/>
  <c r="AA104" i="1135" s="1"/>
  <c r="AB122" i="1135"/>
  <c r="AB104" i="1135" s="1"/>
  <c r="AC122" i="1135"/>
  <c r="AC104" i="1135" s="1"/>
  <c r="AD122" i="1135"/>
  <c r="AD104" i="1135" s="1"/>
  <c r="AE122" i="1135"/>
  <c r="AE104" i="1135" s="1"/>
  <c r="AF122" i="1135"/>
  <c r="AF104" i="1135" s="1"/>
  <c r="AG122" i="1135"/>
  <c r="AG104" i="1135" s="1"/>
  <c r="AH122" i="1135"/>
  <c r="AH104" i="1135" s="1"/>
  <c r="AI122" i="1135"/>
  <c r="AI104" i="1135" s="1"/>
  <c r="AJ122" i="1135"/>
  <c r="AJ104" i="1135" s="1"/>
  <c r="AK122" i="1135"/>
  <c r="AK104" i="1135" s="1"/>
  <c r="AM104" i="1135"/>
  <c r="AN104" i="1135"/>
  <c r="AO104" i="1135"/>
  <c r="AP104" i="1135"/>
  <c r="AQ104" i="1135"/>
  <c r="AR104" i="1135"/>
  <c r="AS104" i="1135"/>
  <c r="AT104" i="1135"/>
  <c r="AU104" i="1135"/>
  <c r="AV104" i="1135"/>
  <c r="AW104" i="1135"/>
  <c r="AX104" i="1135"/>
  <c r="AY104" i="1135"/>
  <c r="AZ104" i="1135"/>
  <c r="AL126" i="1135"/>
  <c r="AL125" i="1135"/>
  <c r="AL119" i="1135" s="1"/>
  <c r="AL124" i="1135"/>
  <c r="AM127" i="1135"/>
  <c r="AL127" i="1135" s="1"/>
  <c r="AN127" i="1135"/>
  <c r="AO127" i="1135"/>
  <c r="AP127" i="1135"/>
  <c r="AQ127" i="1135"/>
  <c r="AR127" i="1135"/>
  <c r="AS127" i="1135"/>
  <c r="AT127" i="1135"/>
  <c r="AU127" i="1135"/>
  <c r="AV127" i="1135"/>
  <c r="AW127" i="1135"/>
  <c r="AX127" i="1135"/>
  <c r="AY127" i="1135"/>
  <c r="AZ127" i="1135"/>
  <c r="AM118" i="1135"/>
  <c r="AN118" i="1135"/>
  <c r="AO118" i="1135"/>
  <c r="AP118" i="1135"/>
  <c r="AQ118" i="1135"/>
  <c r="AR118" i="1135"/>
  <c r="AS118" i="1135"/>
  <c r="AT118" i="1135"/>
  <c r="AU118" i="1135"/>
  <c r="AV118" i="1135"/>
  <c r="AW118" i="1135"/>
  <c r="AX118" i="1135"/>
  <c r="AY118" i="1135"/>
  <c r="AZ118" i="1135"/>
  <c r="AM119" i="1135"/>
  <c r="AN119" i="1135"/>
  <c r="AO119" i="1135"/>
  <c r="AP119" i="1135"/>
  <c r="AQ119" i="1135"/>
  <c r="AR119" i="1135"/>
  <c r="AS119" i="1135"/>
  <c r="AT119" i="1135"/>
  <c r="AU119" i="1135"/>
  <c r="AV119" i="1135"/>
  <c r="AW119" i="1135"/>
  <c r="AX119" i="1135"/>
  <c r="AY119" i="1135"/>
  <c r="AZ119" i="1135"/>
  <c r="AM120" i="1135"/>
  <c r="AN120" i="1135"/>
  <c r="AO120" i="1135"/>
  <c r="AP120" i="1135"/>
  <c r="AQ120" i="1135"/>
  <c r="AR120" i="1135"/>
  <c r="AS120" i="1135"/>
  <c r="AT120" i="1135"/>
  <c r="AU120" i="1135"/>
  <c r="AV120" i="1135"/>
  <c r="AW120" i="1135"/>
  <c r="AX120" i="1135"/>
  <c r="AY120" i="1135"/>
  <c r="AZ120" i="1135"/>
  <c r="X118" i="1135"/>
  <c r="X117" i="1135" s="1"/>
  <c r="X105" i="1135" s="1"/>
  <c r="Y118" i="1135"/>
  <c r="Z118" i="1135"/>
  <c r="Z117" i="1135" s="1"/>
  <c r="Z105" i="1135" s="1"/>
  <c r="AA118" i="1135"/>
  <c r="AB118" i="1135"/>
  <c r="AB117" i="1135" s="1"/>
  <c r="AB105" i="1135" s="1"/>
  <c r="AC118" i="1135"/>
  <c r="AD118" i="1135"/>
  <c r="AD117" i="1135" s="1"/>
  <c r="AD105" i="1135" s="1"/>
  <c r="AE118" i="1135"/>
  <c r="AF118" i="1135"/>
  <c r="AF117" i="1135" s="1"/>
  <c r="AF105" i="1135" s="1"/>
  <c r="AG118" i="1135"/>
  <c r="AH118" i="1135"/>
  <c r="AH117" i="1135" s="1"/>
  <c r="AH105" i="1135" s="1"/>
  <c r="AI118" i="1135"/>
  <c r="AJ118" i="1135"/>
  <c r="AJ117" i="1135" s="1"/>
  <c r="AJ105" i="1135" s="1"/>
  <c r="AK118" i="1135"/>
  <c r="X119" i="1135"/>
  <c r="Y119" i="1135"/>
  <c r="Z119" i="1135"/>
  <c r="AA119" i="1135"/>
  <c r="AB119" i="1135"/>
  <c r="AC119" i="1135"/>
  <c r="AD119" i="1135"/>
  <c r="AE119" i="1135"/>
  <c r="AF119" i="1135"/>
  <c r="AG119" i="1135"/>
  <c r="AH119" i="1135"/>
  <c r="AI119" i="1135"/>
  <c r="AJ119" i="1135"/>
  <c r="AK119" i="1135"/>
  <c r="X120" i="1135"/>
  <c r="Y120" i="1135"/>
  <c r="Z120" i="1135"/>
  <c r="AA120" i="1135"/>
  <c r="AB120" i="1135"/>
  <c r="AC120" i="1135"/>
  <c r="AD120" i="1135"/>
  <c r="AE120" i="1135"/>
  <c r="AF120" i="1135"/>
  <c r="AG120" i="1135"/>
  <c r="AH120" i="1135"/>
  <c r="AI120" i="1135"/>
  <c r="AJ120" i="1135"/>
  <c r="AK120" i="1135"/>
  <c r="AL120" i="1135"/>
  <c r="AL116" i="1135"/>
  <c r="AY115" i="1135"/>
  <c r="AU115" i="1135"/>
  <c r="AS115" i="1135"/>
  <c r="AL115" i="1135" s="1"/>
  <c r="AY114" i="1135"/>
  <c r="AL114" i="1135" s="1"/>
  <c r="AY113" i="1135"/>
  <c r="AL113" i="1135" s="1"/>
  <c r="AL112" i="1135" s="1"/>
  <c r="AZ112" i="1135"/>
  <c r="AX112" i="1135"/>
  <c r="AW112" i="1135"/>
  <c r="AV112" i="1135"/>
  <c r="AU112" i="1135"/>
  <c r="AT112" i="1135"/>
  <c r="AR112" i="1135"/>
  <c r="AQ112" i="1135"/>
  <c r="AP112" i="1135"/>
  <c r="AO112" i="1135"/>
  <c r="AN112" i="1135"/>
  <c r="AM112" i="1135"/>
  <c r="AL104" i="1135" l="1"/>
  <c r="AK117" i="1135"/>
  <c r="AK105" i="1135" s="1"/>
  <c r="AI117" i="1135"/>
  <c r="AI105" i="1135" s="1"/>
  <c r="AG117" i="1135"/>
  <c r="AG105" i="1135" s="1"/>
  <c r="AE117" i="1135"/>
  <c r="AE105" i="1135" s="1"/>
  <c r="AC117" i="1135"/>
  <c r="AC105" i="1135" s="1"/>
  <c r="AA117" i="1135"/>
  <c r="AA105" i="1135" s="1"/>
  <c r="Y117" i="1135"/>
  <c r="Y105" i="1135" s="1"/>
  <c r="AL118" i="1135"/>
  <c r="AL117" i="1135" s="1"/>
  <c r="AY117" i="1135"/>
  <c r="AW117" i="1135"/>
  <c r="AW105" i="1135" s="1"/>
  <c r="AU117" i="1135"/>
  <c r="AU105" i="1135" s="1"/>
  <c r="AS117" i="1135"/>
  <c r="AQ117" i="1135"/>
  <c r="AQ105" i="1135" s="1"/>
  <c r="AO117" i="1135"/>
  <c r="AO105" i="1135" s="1"/>
  <c r="AM117" i="1135"/>
  <c r="AM105" i="1135" s="1"/>
  <c r="AZ117" i="1135"/>
  <c r="AX117" i="1135"/>
  <c r="AX105" i="1135" s="1"/>
  <c r="AV117" i="1135"/>
  <c r="AT117" i="1135"/>
  <c r="AT105" i="1135" s="1"/>
  <c r="AR117" i="1135"/>
  <c r="AP117" i="1135"/>
  <c r="AP105" i="1135" s="1"/>
  <c r="AN117" i="1135"/>
  <c r="AN105" i="1135"/>
  <c r="AR105" i="1135"/>
  <c r="AZ105" i="1135"/>
  <c r="AV105" i="1135"/>
  <c r="AS112" i="1135"/>
  <c r="AS105" i="1135" s="1"/>
  <c r="AY112" i="1135"/>
  <c r="AY105" i="1135" l="1"/>
  <c r="AL140" i="1135" l="1"/>
  <c r="AL137" i="1135"/>
  <c r="AL136" i="1135"/>
  <c r="AL132" i="1135"/>
  <c r="AL105" i="1135" s="1"/>
  <c r="AL130" i="1135"/>
  <c r="AL129" i="1135"/>
  <c r="AL128" i="1135"/>
  <c r="AL15" i="1167" l="1"/>
  <c r="AL14" i="1167"/>
  <c r="AL13" i="1167"/>
  <c r="AL12" i="1167"/>
  <c r="AL11" i="1167"/>
  <c r="AL10" i="1167"/>
  <c r="AL9" i="1167"/>
  <c r="AL145" i="1135"/>
  <c r="AL144" i="1135"/>
  <c r="AL98" i="1135"/>
  <c r="AL97" i="1135"/>
  <c r="AL96" i="1135" s="1"/>
  <c r="AL95" i="1135"/>
  <c r="AL91" i="1135"/>
  <c r="AZ89" i="1135"/>
  <c r="AL89" i="1135"/>
  <c r="AZ88" i="1135"/>
  <c r="AL88" i="1135"/>
  <c r="AW87" i="1135"/>
  <c r="AL87" i="1135"/>
  <c r="AZ86" i="1135"/>
  <c r="AY86" i="1135"/>
  <c r="AX86" i="1135"/>
  <c r="AW86" i="1135"/>
  <c r="AV86" i="1135"/>
  <c r="AU86" i="1135"/>
  <c r="AT86" i="1135"/>
  <c r="AS86" i="1135"/>
  <c r="AR86" i="1135"/>
  <c r="AQ86" i="1135"/>
  <c r="AP86" i="1135"/>
  <c r="AO86" i="1135"/>
  <c r="AN86" i="1135"/>
  <c r="AM86" i="1135"/>
  <c r="AL86" i="1135" s="1"/>
  <c r="AL90" i="1135" s="1"/>
  <c r="AL77" i="1135" l="1"/>
  <c r="AL74" i="1135"/>
  <c r="AL54" i="1135"/>
  <c r="AL53" i="1135"/>
  <c r="AL51" i="1135"/>
  <c r="AL47" i="1135"/>
  <c r="AL45" i="1135"/>
  <c r="AL44" i="1135"/>
  <c r="AZ43" i="1135"/>
  <c r="AY43" i="1135"/>
  <c r="AX43" i="1135"/>
  <c r="AW43" i="1135"/>
  <c r="AV43" i="1135"/>
  <c r="AU43" i="1135"/>
  <c r="AT43" i="1135"/>
  <c r="AS43" i="1135"/>
  <c r="AR43" i="1135"/>
  <c r="AQ43" i="1135"/>
  <c r="AP43" i="1135"/>
  <c r="AO43" i="1135"/>
  <c r="AN43" i="1135"/>
  <c r="AM43" i="1135"/>
  <c r="AL43" i="1135" s="1"/>
  <c r="AZ41" i="1135"/>
  <c r="AZ42" i="1135" s="1"/>
  <c r="AY41" i="1135"/>
  <c r="AX41" i="1135"/>
  <c r="AX42" i="1135" s="1"/>
  <c r="AW41" i="1135"/>
  <c r="AV41" i="1135"/>
  <c r="AV42" i="1135" s="1"/>
  <c r="AU41" i="1135"/>
  <c r="AT41" i="1135"/>
  <c r="AT42" i="1135" s="1"/>
  <c r="AS41" i="1135"/>
  <c r="AR41" i="1135"/>
  <c r="AR42" i="1135" s="1"/>
  <c r="AQ41" i="1135"/>
  <c r="AP41" i="1135"/>
  <c r="AP42" i="1135" s="1"/>
  <c r="AO41" i="1135"/>
  <c r="AN41" i="1135"/>
  <c r="AN42" i="1135" s="1"/>
  <c r="AM41" i="1135"/>
  <c r="AZ40" i="1135"/>
  <c r="AY40" i="1135"/>
  <c r="AX40" i="1135"/>
  <c r="AW40" i="1135"/>
  <c r="AV40" i="1135"/>
  <c r="AU40" i="1135"/>
  <c r="AT40" i="1135"/>
  <c r="AS40" i="1135"/>
  <c r="AR40" i="1135"/>
  <c r="AQ40" i="1135"/>
  <c r="AP40" i="1135"/>
  <c r="AO40" i="1135"/>
  <c r="AN40" i="1135"/>
  <c r="AM40" i="1135"/>
  <c r="AL40" i="1135" s="1"/>
  <c r="AQ39" i="1135"/>
  <c r="AO39" i="1135"/>
  <c r="AN39" i="1135"/>
  <c r="AL39" i="1135"/>
  <c r="AL38" i="1135" s="1"/>
  <c r="AL37" i="1135"/>
  <c r="AL33" i="1135"/>
  <c r="AL29" i="1135"/>
  <c r="AZ28" i="1135"/>
  <c r="AY28" i="1135"/>
  <c r="AX28" i="1135"/>
  <c r="AW28" i="1135"/>
  <c r="AW24" i="1135" s="1"/>
  <c r="AW19" i="1135" s="1"/>
  <c r="AV28" i="1135"/>
  <c r="AU28" i="1135"/>
  <c r="AT28" i="1135"/>
  <c r="AS28" i="1135"/>
  <c r="AR28" i="1135"/>
  <c r="AQ28" i="1135"/>
  <c r="AQ24" i="1135" s="1"/>
  <c r="AP28" i="1135"/>
  <c r="AO28" i="1135"/>
  <c r="AO24" i="1135" s="1"/>
  <c r="AN28" i="1135"/>
  <c r="AM28" i="1135"/>
  <c r="AL28" i="1135" s="1"/>
  <c r="AL26" i="1135"/>
  <c r="AL25" i="1135"/>
  <c r="AL21" i="1135" s="1"/>
  <c r="AZ24" i="1135"/>
  <c r="AY24" i="1135"/>
  <c r="AU24" i="1135"/>
  <c r="AT24" i="1135"/>
  <c r="AR24" i="1135"/>
  <c r="AR19" i="1135" s="1"/>
  <c r="AP24" i="1135"/>
  <c r="AP19" i="1135" s="1"/>
  <c r="AN24" i="1135"/>
  <c r="AN19" i="1135" s="1"/>
  <c r="AY22" i="1135"/>
  <c r="AU22" i="1135"/>
  <c r="AU23" i="1135" s="1"/>
  <c r="AT22" i="1135"/>
  <c r="AT23" i="1135" s="1"/>
  <c r="AR22" i="1135"/>
  <c r="AR23" i="1135" s="1"/>
  <c r="AQ22" i="1135"/>
  <c r="AP22" i="1135"/>
  <c r="AO22" i="1135"/>
  <c r="AN22" i="1135"/>
  <c r="AN23" i="1135" s="1"/>
  <c r="AM22" i="1135"/>
  <c r="AL22" i="1135"/>
  <c r="AZ21" i="1135"/>
  <c r="AY21" i="1135"/>
  <c r="AX21" i="1135"/>
  <c r="AW21" i="1135"/>
  <c r="AV21" i="1135"/>
  <c r="AU21" i="1135"/>
  <c r="AT21" i="1135"/>
  <c r="AS21" i="1135"/>
  <c r="AR21" i="1135"/>
  <c r="AQ21" i="1135"/>
  <c r="AP21" i="1135"/>
  <c r="AO21" i="1135"/>
  <c r="AN21" i="1135"/>
  <c r="AM21" i="1135"/>
  <c r="AZ20" i="1135"/>
  <c r="AY20" i="1135"/>
  <c r="AX20" i="1135"/>
  <c r="AW20" i="1135"/>
  <c r="AV20" i="1135"/>
  <c r="AV18" i="1135" s="1"/>
  <c r="AU20" i="1135"/>
  <c r="AT20" i="1135"/>
  <c r="AS20" i="1135"/>
  <c r="AR20" i="1135"/>
  <c r="AQ20" i="1135"/>
  <c r="AP20" i="1135"/>
  <c r="AO20" i="1135"/>
  <c r="AN20" i="1135"/>
  <c r="AM20" i="1135"/>
  <c r="AZ19" i="1135"/>
  <c r="AY19" i="1135"/>
  <c r="AX19" i="1135"/>
  <c r="AV19" i="1135"/>
  <c r="AU19" i="1135"/>
  <c r="AU18" i="1135" s="1"/>
  <c r="AT19" i="1135"/>
  <c r="AS19" i="1135"/>
  <c r="AS18" i="1135" s="1"/>
  <c r="AZ18" i="1135"/>
  <c r="AX18" i="1135"/>
  <c r="BB40" i="1135" l="1"/>
  <c r="BA40" i="1135"/>
  <c r="AL41" i="1135"/>
  <c r="BA45" i="1135"/>
  <c r="BB45" i="1135"/>
  <c r="BA47" i="1135"/>
  <c r="BB47" i="1135"/>
  <c r="AT18" i="1135"/>
  <c r="AN18" i="1135"/>
  <c r="AR18" i="1135"/>
  <c r="BB43" i="1135"/>
  <c r="BA43" i="1135"/>
  <c r="AO42" i="1135"/>
  <c r="AQ42" i="1135"/>
  <c r="AS42" i="1135"/>
  <c r="AU42" i="1135"/>
  <c r="AW42" i="1135"/>
  <c r="AY42" i="1135"/>
  <c r="BA44" i="1135"/>
  <c r="BB44" i="1135"/>
  <c r="AL46" i="1135"/>
  <c r="AL20" i="1135"/>
  <c r="AL42" i="1135"/>
  <c r="AY18" i="1135"/>
  <c r="AP18" i="1135"/>
  <c r="AW18" i="1135"/>
  <c r="AM42" i="1135"/>
  <c r="AY23" i="1135"/>
  <c r="AP23" i="1135"/>
  <c r="AL27" i="1135"/>
  <c r="AL24" i="1135"/>
  <c r="AO23" i="1135"/>
  <c r="AO19" i="1135"/>
  <c r="AO18" i="1135" s="1"/>
  <c r="AQ23" i="1135"/>
  <c r="AQ19" i="1135"/>
  <c r="AQ18" i="1135" s="1"/>
  <c r="AM24" i="1135"/>
  <c r="BB20" i="1135" l="1"/>
  <c r="BA20" i="1135"/>
  <c r="BB42" i="1135"/>
  <c r="BA42" i="1135"/>
  <c r="BA46" i="1135"/>
  <c r="BB46" i="1135"/>
  <c r="BB41" i="1135"/>
  <c r="BA41" i="1135"/>
  <c r="AL19" i="1135"/>
  <c r="AL18" i="1135" s="1"/>
  <c r="AL23" i="1135"/>
  <c r="AM23" i="1135"/>
  <c r="AM19" i="1135"/>
  <c r="AM18" i="1135" s="1"/>
  <c r="BA18" i="1135" l="1"/>
  <c r="BB18" i="1135"/>
  <c r="P18" i="1134"/>
  <c r="L6" i="1137"/>
  <c r="P20" i="1135"/>
  <c r="E21" i="1135"/>
  <c r="F21" i="1135"/>
  <c r="G21" i="1135"/>
  <c r="I21" i="1135"/>
  <c r="J21" i="1135"/>
  <c r="K21" i="1135"/>
  <c r="L21" i="1135"/>
  <c r="M21" i="1135"/>
  <c r="N21" i="1135"/>
  <c r="O21" i="1135"/>
  <c r="P21" i="1135"/>
  <c r="Q21" i="1135"/>
  <c r="R21" i="1135"/>
  <c r="S21" i="1135"/>
  <c r="T21" i="1135"/>
  <c r="U21" i="1135"/>
  <c r="V21" i="1135"/>
  <c r="X21" i="1135"/>
  <c r="Y21" i="1135"/>
  <c r="Z21" i="1135"/>
  <c r="AA21" i="1135"/>
  <c r="AB21" i="1135"/>
  <c r="AC21" i="1135"/>
  <c r="AD21" i="1135"/>
  <c r="AE21" i="1135"/>
  <c r="AF21" i="1135"/>
  <c r="AG21" i="1135"/>
  <c r="AH21" i="1135"/>
  <c r="AI21" i="1135"/>
  <c r="AJ21" i="1135"/>
  <c r="AK21" i="1135"/>
  <c r="E22" i="1135"/>
  <c r="F22" i="1135"/>
  <c r="G22" i="1135"/>
  <c r="I22" i="1135"/>
  <c r="J22" i="1135"/>
  <c r="K22" i="1135"/>
  <c r="L22" i="1135"/>
  <c r="M22" i="1135"/>
  <c r="N22" i="1135"/>
  <c r="O22" i="1135"/>
  <c r="P22" i="1135"/>
  <c r="Q22" i="1135"/>
  <c r="R22" i="1135"/>
  <c r="S22" i="1135"/>
  <c r="T22" i="1135"/>
  <c r="U22" i="1135"/>
  <c r="V22" i="1135"/>
  <c r="X22" i="1135"/>
  <c r="Y22" i="1135"/>
  <c r="Z22" i="1135"/>
  <c r="AA22" i="1135"/>
  <c r="AB22" i="1135"/>
  <c r="AC22" i="1135"/>
  <c r="AD22" i="1135"/>
  <c r="AE22" i="1135"/>
  <c r="AF22" i="1135"/>
  <c r="AG22" i="1135"/>
  <c r="AH22" i="1135"/>
  <c r="AI22" i="1135"/>
  <c r="AJ22" i="1135"/>
  <c r="AK22" i="1135"/>
  <c r="E24" i="1135"/>
  <c r="F24" i="1135"/>
  <c r="F19" i="1135" s="1"/>
  <c r="G24" i="1135"/>
  <c r="H25" i="1135"/>
  <c r="W25" i="1135"/>
  <c r="H26" i="1135"/>
  <c r="W26" i="1135"/>
  <c r="E27" i="1135"/>
  <c r="F27" i="1135"/>
  <c r="G27" i="1135"/>
  <c r="I28" i="1135"/>
  <c r="J28" i="1135"/>
  <c r="J24" i="1135" s="1"/>
  <c r="J19" i="1135" s="1"/>
  <c r="J18" i="1135" s="1"/>
  <c r="K28" i="1135"/>
  <c r="L28" i="1135"/>
  <c r="L24" i="1135" s="1"/>
  <c r="M28" i="1135"/>
  <c r="N28" i="1135"/>
  <c r="N24" i="1135" s="1"/>
  <c r="N23" i="1135" s="1"/>
  <c r="O28" i="1135"/>
  <c r="P28" i="1135"/>
  <c r="P24" i="1135" s="1"/>
  <c r="Q28" i="1135"/>
  <c r="X28" i="1135"/>
  <c r="Y28" i="1135"/>
  <c r="Z28" i="1135"/>
  <c r="AA28" i="1135"/>
  <c r="AB28" i="1135"/>
  <c r="AC28" i="1135"/>
  <c r="AD28" i="1135"/>
  <c r="AE28" i="1135"/>
  <c r="AF28" i="1135"/>
  <c r="AG28" i="1135"/>
  <c r="AH28" i="1135"/>
  <c r="AI28" i="1135"/>
  <c r="AJ28" i="1135"/>
  <c r="AK28" i="1135"/>
  <c r="H29" i="1135"/>
  <c r="W29" i="1135"/>
  <c r="H30" i="1135"/>
  <c r="W30" i="1135"/>
  <c r="E31" i="1135"/>
  <c r="G31" i="1135"/>
  <c r="I32" i="1135"/>
  <c r="J32" i="1135"/>
  <c r="K32" i="1135"/>
  <c r="L32" i="1135"/>
  <c r="M32" i="1135"/>
  <c r="N32" i="1135"/>
  <c r="O32" i="1135"/>
  <c r="P32" i="1135"/>
  <c r="Q32" i="1135"/>
  <c r="R32" i="1135"/>
  <c r="S32" i="1135"/>
  <c r="T32" i="1135"/>
  <c r="U32" i="1135"/>
  <c r="V32" i="1135"/>
  <c r="X32" i="1135"/>
  <c r="Y32" i="1135"/>
  <c r="Z32" i="1135"/>
  <c r="AA32" i="1135"/>
  <c r="AB32" i="1135"/>
  <c r="AC32" i="1135"/>
  <c r="AD32" i="1135"/>
  <c r="AE32" i="1135"/>
  <c r="AF32" i="1135"/>
  <c r="AG32" i="1135"/>
  <c r="AH32" i="1135"/>
  <c r="AI32" i="1135"/>
  <c r="AJ32" i="1135"/>
  <c r="AK32" i="1135"/>
  <c r="H33" i="1135"/>
  <c r="W33" i="1135"/>
  <c r="H34" i="1135"/>
  <c r="W34" i="1135"/>
  <c r="E35" i="1135"/>
  <c r="G35" i="1135"/>
  <c r="I36" i="1135"/>
  <c r="J36" i="1135"/>
  <c r="K36" i="1135"/>
  <c r="L36" i="1135"/>
  <c r="M36" i="1135"/>
  <c r="M24" i="1135" s="1"/>
  <c r="N36" i="1135"/>
  <c r="O36" i="1135"/>
  <c r="P36" i="1135"/>
  <c r="Q36" i="1135"/>
  <c r="Q24" i="1135" s="1"/>
  <c r="R36" i="1135"/>
  <c r="S36" i="1135"/>
  <c r="T36" i="1135"/>
  <c r="U36" i="1135"/>
  <c r="U24" i="1135" s="1"/>
  <c r="V36" i="1135"/>
  <c r="W36" i="1135"/>
  <c r="H37" i="1135"/>
  <c r="W37" i="1135"/>
  <c r="E38" i="1135"/>
  <c r="F38" i="1135"/>
  <c r="G38" i="1135"/>
  <c r="H39" i="1135"/>
  <c r="Y39" i="1135"/>
  <c r="Z39" i="1135"/>
  <c r="W39" i="1135" s="1"/>
  <c r="AB39" i="1135"/>
  <c r="E40" i="1135"/>
  <c r="F40" i="1135"/>
  <c r="G40" i="1135"/>
  <c r="I40" i="1135"/>
  <c r="J40" i="1135"/>
  <c r="K40" i="1135"/>
  <c r="L40" i="1135"/>
  <c r="M40" i="1135"/>
  <c r="N40" i="1135"/>
  <c r="O40" i="1135"/>
  <c r="P40" i="1135"/>
  <c r="Q40" i="1135"/>
  <c r="R40" i="1135"/>
  <c r="S40" i="1135"/>
  <c r="T40" i="1135"/>
  <c r="U40" i="1135"/>
  <c r="V40" i="1135"/>
  <c r="X40" i="1135"/>
  <c r="Y40" i="1135"/>
  <c r="Z40" i="1135"/>
  <c r="AA40" i="1135"/>
  <c r="AB40" i="1135"/>
  <c r="AC40" i="1135"/>
  <c r="AD40" i="1135"/>
  <c r="AE40" i="1135"/>
  <c r="AF40" i="1135"/>
  <c r="AG40" i="1135"/>
  <c r="AH40" i="1135"/>
  <c r="AI40" i="1135"/>
  <c r="AJ40" i="1135"/>
  <c r="AK40" i="1135"/>
  <c r="E41" i="1135"/>
  <c r="F41" i="1135"/>
  <c r="G41" i="1135"/>
  <c r="I41" i="1135"/>
  <c r="J41" i="1135"/>
  <c r="K41" i="1135"/>
  <c r="L41" i="1135"/>
  <c r="M41" i="1135"/>
  <c r="N41" i="1135"/>
  <c r="O41" i="1135"/>
  <c r="P41" i="1135"/>
  <c r="Q41" i="1135"/>
  <c r="R41" i="1135"/>
  <c r="S41" i="1135"/>
  <c r="T41" i="1135"/>
  <c r="U41" i="1135"/>
  <c r="V41" i="1135"/>
  <c r="X41" i="1135"/>
  <c r="Y41" i="1135"/>
  <c r="Z41" i="1135"/>
  <c r="AA41" i="1135"/>
  <c r="AB41" i="1135"/>
  <c r="AC41" i="1135"/>
  <c r="AD41" i="1135"/>
  <c r="AE41" i="1135"/>
  <c r="AF41" i="1135"/>
  <c r="AG41" i="1135"/>
  <c r="AH41" i="1135"/>
  <c r="AI41" i="1135"/>
  <c r="AJ41" i="1135"/>
  <c r="AK41" i="1135"/>
  <c r="E42" i="1135"/>
  <c r="AG42" i="1135"/>
  <c r="E43" i="1135"/>
  <c r="E20" i="1135" s="1"/>
  <c r="F43" i="1135"/>
  <c r="F20" i="1135" s="1"/>
  <c r="G43" i="1135"/>
  <c r="G20" i="1135" s="1"/>
  <c r="I43" i="1135"/>
  <c r="I42" i="1135" s="1"/>
  <c r="J43" i="1135"/>
  <c r="J20" i="1135" s="1"/>
  <c r="K43" i="1135"/>
  <c r="L43" i="1135"/>
  <c r="L42" i="1135" s="1"/>
  <c r="M43" i="1135"/>
  <c r="M20" i="1135" s="1"/>
  <c r="N43" i="1135"/>
  <c r="N20" i="1135" s="1"/>
  <c r="O43" i="1135"/>
  <c r="P43" i="1135"/>
  <c r="P42" i="1135" s="1"/>
  <c r="Q43" i="1135"/>
  <c r="Q20" i="1135" s="1"/>
  <c r="R43" i="1135"/>
  <c r="R20" i="1135" s="1"/>
  <c r="S43" i="1135"/>
  <c r="T43" i="1135"/>
  <c r="T42" i="1135" s="1"/>
  <c r="U43" i="1135"/>
  <c r="U20" i="1135" s="1"/>
  <c r="V43" i="1135"/>
  <c r="V20" i="1135" s="1"/>
  <c r="X43" i="1135"/>
  <c r="X42" i="1135" s="1"/>
  <c r="Y43" i="1135"/>
  <c r="Y20" i="1135" s="1"/>
  <c r="Z43" i="1135"/>
  <c r="Z20" i="1135" s="1"/>
  <c r="AA43" i="1135"/>
  <c r="AB43" i="1135"/>
  <c r="AB42" i="1135" s="1"/>
  <c r="AC43" i="1135"/>
  <c r="AC20" i="1135" s="1"/>
  <c r="AD43" i="1135"/>
  <c r="AD20" i="1135" s="1"/>
  <c r="AE43" i="1135"/>
  <c r="AF43" i="1135"/>
  <c r="AF42" i="1135" s="1"/>
  <c r="AG43" i="1135"/>
  <c r="AG20" i="1135" s="1"/>
  <c r="AH43" i="1135"/>
  <c r="AH20" i="1135" s="1"/>
  <c r="AI43" i="1135"/>
  <c r="AJ43" i="1135"/>
  <c r="AJ42" i="1135" s="1"/>
  <c r="AK43" i="1135"/>
  <c r="AK20" i="1135" s="1"/>
  <c r="H44" i="1135"/>
  <c r="W44" i="1135"/>
  <c r="H45" i="1135"/>
  <c r="W45" i="1135"/>
  <c r="E46" i="1135"/>
  <c r="F46" i="1135"/>
  <c r="H46" i="1135"/>
  <c r="H47" i="1135"/>
  <c r="W47" i="1135"/>
  <c r="H48" i="1135"/>
  <c r="W48" i="1135"/>
  <c r="E49" i="1135"/>
  <c r="H50" i="1135"/>
  <c r="H49" i="1135" s="1"/>
  <c r="W50" i="1135"/>
  <c r="H51" i="1135"/>
  <c r="W51" i="1135"/>
  <c r="W53" i="1135"/>
  <c r="H54" i="1135"/>
  <c r="W54" i="1135"/>
  <c r="H74" i="1135"/>
  <c r="W74" i="1135"/>
  <c r="H77" i="1135"/>
  <c r="W77" i="1135"/>
  <c r="W78" i="1135"/>
  <c r="E86" i="1135"/>
  <c r="F86" i="1135"/>
  <c r="G86" i="1135"/>
  <c r="I86" i="1135"/>
  <c r="J86" i="1135"/>
  <c r="K86" i="1135"/>
  <c r="L86" i="1135"/>
  <c r="M86" i="1135"/>
  <c r="N86" i="1135"/>
  <c r="O86" i="1135"/>
  <c r="P86" i="1135"/>
  <c r="Q86" i="1135"/>
  <c r="R86" i="1135"/>
  <c r="S86" i="1135"/>
  <c r="T86" i="1135"/>
  <c r="U86" i="1135"/>
  <c r="V86" i="1135"/>
  <c r="X86" i="1135"/>
  <c r="Y86" i="1135"/>
  <c r="Z86" i="1135"/>
  <c r="AA86" i="1135"/>
  <c r="AB86" i="1135"/>
  <c r="AC86" i="1135"/>
  <c r="AD86" i="1135"/>
  <c r="AE86" i="1135"/>
  <c r="AF86" i="1135"/>
  <c r="AG86" i="1135"/>
  <c r="AH86" i="1135"/>
  <c r="AI86" i="1135"/>
  <c r="AJ86" i="1135"/>
  <c r="AK86" i="1135"/>
  <c r="H87" i="1135"/>
  <c r="W87" i="1135"/>
  <c r="H88" i="1135"/>
  <c r="W88" i="1135"/>
  <c r="H89" i="1135"/>
  <c r="W89" i="1135"/>
  <c r="F90" i="1135"/>
  <c r="G90" i="1135"/>
  <c r="H91" i="1135"/>
  <c r="W91" i="1135"/>
  <c r="H95" i="1135"/>
  <c r="W95" i="1135"/>
  <c r="E96" i="1135"/>
  <c r="G96" i="1135"/>
  <c r="H96" i="1135"/>
  <c r="H97" i="1135"/>
  <c r="W97" i="1135"/>
  <c r="H98" i="1135"/>
  <c r="W98" i="1135"/>
  <c r="H107" i="1135"/>
  <c r="W107" i="1135"/>
  <c r="D108" i="1135"/>
  <c r="D106" i="1135" s="1"/>
  <c r="E108" i="1135"/>
  <c r="E106" i="1135" s="1"/>
  <c r="F108" i="1135"/>
  <c r="F106" i="1135" s="1"/>
  <c r="G108" i="1135"/>
  <c r="G106" i="1135" s="1"/>
  <c r="I108" i="1135"/>
  <c r="I106" i="1135" s="1"/>
  <c r="J108" i="1135"/>
  <c r="J106" i="1135" s="1"/>
  <c r="K108" i="1135"/>
  <c r="K106" i="1135" s="1"/>
  <c r="L108" i="1135"/>
  <c r="L106" i="1135" s="1"/>
  <c r="M108" i="1135"/>
  <c r="M106" i="1135" s="1"/>
  <c r="N108" i="1135"/>
  <c r="N106" i="1135" s="1"/>
  <c r="O108" i="1135"/>
  <c r="O106" i="1135" s="1"/>
  <c r="P108" i="1135"/>
  <c r="P106" i="1135" s="1"/>
  <c r="Q108" i="1135"/>
  <c r="Q106" i="1135" s="1"/>
  <c r="R108" i="1135"/>
  <c r="R106" i="1135" s="1"/>
  <c r="S108" i="1135"/>
  <c r="S106" i="1135" s="1"/>
  <c r="T108" i="1135"/>
  <c r="T106" i="1135" s="1"/>
  <c r="U108" i="1135"/>
  <c r="U106" i="1135" s="1"/>
  <c r="V108" i="1135"/>
  <c r="V106" i="1135" s="1"/>
  <c r="X108" i="1135"/>
  <c r="X106" i="1135" s="1"/>
  <c r="Y108" i="1135"/>
  <c r="Y106" i="1135" s="1"/>
  <c r="Z108" i="1135"/>
  <c r="Z106" i="1135" s="1"/>
  <c r="AA108" i="1135"/>
  <c r="AA106" i="1135" s="1"/>
  <c r="AB108" i="1135"/>
  <c r="AB106" i="1135" s="1"/>
  <c r="AC108" i="1135"/>
  <c r="AC106" i="1135" s="1"/>
  <c r="AD108" i="1135"/>
  <c r="AD106" i="1135" s="1"/>
  <c r="AE108" i="1135"/>
  <c r="AE106" i="1135" s="1"/>
  <c r="AF108" i="1135"/>
  <c r="AF106" i="1135" s="1"/>
  <c r="AG108" i="1135"/>
  <c r="AG106" i="1135" s="1"/>
  <c r="AH108" i="1135"/>
  <c r="AH106" i="1135" s="1"/>
  <c r="AI108" i="1135"/>
  <c r="AI106" i="1135" s="1"/>
  <c r="AJ108" i="1135"/>
  <c r="AJ106" i="1135" s="1"/>
  <c r="AK108" i="1135"/>
  <c r="AK106" i="1135" s="1"/>
  <c r="H109" i="1135"/>
  <c r="W109" i="1135"/>
  <c r="W137" i="1135" s="1"/>
  <c r="H110" i="1135"/>
  <c r="W110" i="1135"/>
  <c r="W108" i="1135" s="1"/>
  <c r="D112" i="1135"/>
  <c r="D105" i="1135" s="1"/>
  <c r="E112" i="1135"/>
  <c r="F112" i="1135"/>
  <c r="G112" i="1135"/>
  <c r="I112" i="1135"/>
  <c r="J112" i="1135"/>
  <c r="K112" i="1135"/>
  <c r="L112" i="1135"/>
  <c r="M112" i="1135"/>
  <c r="N112" i="1135"/>
  <c r="O112" i="1135"/>
  <c r="P112" i="1135"/>
  <c r="Q112" i="1135"/>
  <c r="R112" i="1135"/>
  <c r="S112" i="1135"/>
  <c r="T112" i="1135"/>
  <c r="U112" i="1135"/>
  <c r="V112" i="1135"/>
  <c r="X112" i="1135"/>
  <c r="Y112" i="1135"/>
  <c r="Z112" i="1135"/>
  <c r="AA112" i="1135"/>
  <c r="AB112" i="1135"/>
  <c r="AC112" i="1135"/>
  <c r="AD112" i="1135"/>
  <c r="AE112" i="1135"/>
  <c r="AF112" i="1135"/>
  <c r="AG112" i="1135"/>
  <c r="AH112" i="1135"/>
  <c r="AI112" i="1135"/>
  <c r="AJ112" i="1135"/>
  <c r="AK112" i="1135"/>
  <c r="H113" i="1135"/>
  <c r="W113" i="1135"/>
  <c r="H114" i="1135"/>
  <c r="W114" i="1135"/>
  <c r="H115" i="1135"/>
  <c r="W115" i="1135"/>
  <c r="H116" i="1135"/>
  <c r="W116" i="1135"/>
  <c r="E117" i="1135"/>
  <c r="D118" i="1135"/>
  <c r="E118" i="1135"/>
  <c r="F118" i="1135"/>
  <c r="G118" i="1135"/>
  <c r="I118" i="1135"/>
  <c r="J118" i="1135"/>
  <c r="K118" i="1135"/>
  <c r="L118" i="1135"/>
  <c r="M118" i="1135"/>
  <c r="N118" i="1135"/>
  <c r="O118" i="1135"/>
  <c r="P118" i="1135"/>
  <c r="Q118" i="1135"/>
  <c r="R118" i="1135"/>
  <c r="S118" i="1135"/>
  <c r="T118" i="1135"/>
  <c r="U118" i="1135"/>
  <c r="V118" i="1135"/>
  <c r="D119" i="1135"/>
  <c r="E119" i="1135"/>
  <c r="F119" i="1135"/>
  <c r="G119" i="1135"/>
  <c r="I119" i="1135"/>
  <c r="J119" i="1135"/>
  <c r="K119" i="1135"/>
  <c r="L119" i="1135"/>
  <c r="M119" i="1135"/>
  <c r="N119" i="1135"/>
  <c r="O119" i="1135"/>
  <c r="P119" i="1135"/>
  <c r="Q119" i="1135"/>
  <c r="R119" i="1135"/>
  <c r="S119" i="1135"/>
  <c r="T119" i="1135"/>
  <c r="U119" i="1135"/>
  <c r="V119" i="1135"/>
  <c r="D120" i="1135"/>
  <c r="E120" i="1135"/>
  <c r="F120" i="1135"/>
  <c r="G120" i="1135"/>
  <c r="I120" i="1135"/>
  <c r="J120" i="1135"/>
  <c r="K120" i="1135"/>
  <c r="L120" i="1135"/>
  <c r="M120" i="1135"/>
  <c r="N120" i="1135"/>
  <c r="O120" i="1135"/>
  <c r="P120" i="1135"/>
  <c r="Q120" i="1135"/>
  <c r="R120" i="1135"/>
  <c r="S120" i="1135"/>
  <c r="T120" i="1135"/>
  <c r="U120" i="1135"/>
  <c r="V120" i="1135"/>
  <c r="F122" i="1135"/>
  <c r="G122" i="1135"/>
  <c r="I122" i="1135"/>
  <c r="I104" i="1135" s="1"/>
  <c r="J122" i="1135"/>
  <c r="K122" i="1135"/>
  <c r="K104" i="1135" s="1"/>
  <c r="L122" i="1135"/>
  <c r="M122" i="1135"/>
  <c r="M104" i="1135" s="1"/>
  <c r="N122" i="1135"/>
  <c r="O122" i="1135"/>
  <c r="O104" i="1135" s="1"/>
  <c r="P122" i="1135"/>
  <c r="Q122" i="1135"/>
  <c r="Q104" i="1135" s="1"/>
  <c r="R122" i="1135"/>
  <c r="S122" i="1135"/>
  <c r="S104" i="1135" s="1"/>
  <c r="T122" i="1135"/>
  <c r="U122" i="1135"/>
  <c r="U104" i="1135" s="1"/>
  <c r="V122" i="1135"/>
  <c r="H124" i="1135"/>
  <c r="W124" i="1135"/>
  <c r="H125" i="1135"/>
  <c r="W125" i="1135"/>
  <c r="H126" i="1135"/>
  <c r="W126" i="1135"/>
  <c r="F127" i="1135"/>
  <c r="G127" i="1135"/>
  <c r="I127" i="1135"/>
  <c r="J127" i="1135"/>
  <c r="K127" i="1135"/>
  <c r="L127" i="1135"/>
  <c r="M127" i="1135"/>
  <c r="N127" i="1135"/>
  <c r="O127" i="1135"/>
  <c r="P127" i="1135"/>
  <c r="Q127" i="1135"/>
  <c r="R127" i="1135"/>
  <c r="S127" i="1135"/>
  <c r="T127" i="1135"/>
  <c r="U127" i="1135"/>
  <c r="V127" i="1135"/>
  <c r="X127" i="1135"/>
  <c r="Y127" i="1135"/>
  <c r="Z127" i="1135"/>
  <c r="AA127" i="1135"/>
  <c r="AB127" i="1135"/>
  <c r="AC127" i="1135"/>
  <c r="AD127" i="1135"/>
  <c r="AE127" i="1135"/>
  <c r="AF127" i="1135"/>
  <c r="AG127" i="1135"/>
  <c r="AH127" i="1135"/>
  <c r="AI127" i="1135"/>
  <c r="AJ127" i="1135"/>
  <c r="AK127" i="1135"/>
  <c r="H128" i="1135"/>
  <c r="W128" i="1135"/>
  <c r="H129" i="1135"/>
  <c r="W129" i="1135"/>
  <c r="H130" i="1135"/>
  <c r="W130" i="1135"/>
  <c r="H132" i="1135"/>
  <c r="W132" i="1135"/>
  <c r="H133" i="1135"/>
  <c r="W133" i="1135"/>
  <c r="H136" i="1135"/>
  <c r="G137" i="1135"/>
  <c r="G136" i="1135" s="1"/>
  <c r="H137" i="1135"/>
  <c r="I137" i="1135"/>
  <c r="J137" i="1135"/>
  <c r="K137" i="1135"/>
  <c r="L137" i="1135"/>
  <c r="M137" i="1135"/>
  <c r="N137" i="1135"/>
  <c r="O137" i="1135"/>
  <c r="P137" i="1135"/>
  <c r="Q137" i="1135"/>
  <c r="R137" i="1135"/>
  <c r="S137" i="1135"/>
  <c r="T137" i="1135"/>
  <c r="U137" i="1135"/>
  <c r="V137" i="1135"/>
  <c r="X137" i="1135"/>
  <c r="X136" i="1135" s="1"/>
  <c r="Y137" i="1135"/>
  <c r="Y136" i="1135" s="1"/>
  <c r="Z137" i="1135"/>
  <c r="Z136" i="1135" s="1"/>
  <c r="AA137" i="1135"/>
  <c r="AA136" i="1135" s="1"/>
  <c r="AB137" i="1135"/>
  <c r="AB136" i="1135" s="1"/>
  <c r="AC137" i="1135"/>
  <c r="AC136" i="1135" s="1"/>
  <c r="AD137" i="1135"/>
  <c r="AD136" i="1135" s="1"/>
  <c r="AE137" i="1135"/>
  <c r="AE136" i="1135" s="1"/>
  <c r="AF137" i="1135"/>
  <c r="AF136" i="1135" s="1"/>
  <c r="AG137" i="1135"/>
  <c r="AG136" i="1135" s="1"/>
  <c r="AH137" i="1135"/>
  <c r="AH136" i="1135" s="1"/>
  <c r="AI137" i="1135"/>
  <c r="AI136" i="1135" s="1"/>
  <c r="AJ137" i="1135"/>
  <c r="AJ136" i="1135" s="1"/>
  <c r="AK137" i="1135"/>
  <c r="AK136" i="1135" s="1"/>
  <c r="H140" i="1135"/>
  <c r="W140" i="1135"/>
  <c r="H144" i="1135"/>
  <c r="W144" i="1135"/>
  <c r="H145" i="1135"/>
  <c r="W145" i="1135"/>
  <c r="T18" i="1134" l="1"/>
  <c r="R18" i="1134"/>
  <c r="S18" i="1134"/>
  <c r="Q18" i="1134"/>
  <c r="V104" i="1135"/>
  <c r="T104" i="1135"/>
  <c r="R104" i="1135"/>
  <c r="P104" i="1135"/>
  <c r="N104" i="1135"/>
  <c r="L104" i="1135"/>
  <c r="J104" i="1135"/>
  <c r="G104" i="1135"/>
  <c r="E105" i="1135"/>
  <c r="H120" i="1135"/>
  <c r="H122" i="1135"/>
  <c r="F117" i="1135"/>
  <c r="U117" i="1135"/>
  <c r="U105" i="1135" s="1"/>
  <c r="S117" i="1135"/>
  <c r="Q117" i="1135"/>
  <c r="Q105" i="1135" s="1"/>
  <c r="O117" i="1135"/>
  <c r="O105" i="1135" s="1"/>
  <c r="M117" i="1135"/>
  <c r="M105" i="1135" s="1"/>
  <c r="K117" i="1135"/>
  <c r="I117" i="1135"/>
  <c r="I105" i="1135" s="1"/>
  <c r="W112" i="1135"/>
  <c r="E104" i="1135"/>
  <c r="Q42" i="1135"/>
  <c r="W40" i="1135"/>
  <c r="AJ24" i="1135"/>
  <c r="AJ23" i="1135" s="1"/>
  <c r="AH24" i="1135"/>
  <c r="AF24" i="1135"/>
  <c r="AF19" i="1135" s="1"/>
  <c r="AF18" i="1135" s="1"/>
  <c r="AD24" i="1135"/>
  <c r="AD19" i="1135" s="1"/>
  <c r="AD18" i="1135" s="1"/>
  <c r="AB24" i="1135"/>
  <c r="AB23" i="1135" s="1"/>
  <c r="Z24" i="1135"/>
  <c r="X24" i="1135"/>
  <c r="X19" i="1135" s="1"/>
  <c r="X18" i="1135" s="1"/>
  <c r="H22" i="1135"/>
  <c r="F23" i="1135"/>
  <c r="AF20" i="1135"/>
  <c r="X20" i="1135"/>
  <c r="G117" i="1135"/>
  <c r="V117" i="1135"/>
  <c r="T117" i="1135"/>
  <c r="T105" i="1135" s="1"/>
  <c r="R117" i="1135"/>
  <c r="R105" i="1135" s="1"/>
  <c r="P117" i="1135"/>
  <c r="P105" i="1135" s="1"/>
  <c r="N117" i="1135"/>
  <c r="L117" i="1135"/>
  <c r="L105" i="1135" s="1"/>
  <c r="J117" i="1135"/>
  <c r="J105" i="1135" s="1"/>
  <c r="F104" i="1135"/>
  <c r="H108" i="1135"/>
  <c r="H86" i="1135"/>
  <c r="H90" i="1135" s="1"/>
  <c r="Y42" i="1135"/>
  <c r="W41" i="1135"/>
  <c r="W32" i="1135"/>
  <c r="W31" i="1135" s="1"/>
  <c r="V24" i="1135"/>
  <c r="V23" i="1135" s="1"/>
  <c r="T24" i="1135"/>
  <c r="R24" i="1135"/>
  <c r="R19" i="1135" s="1"/>
  <c r="R18" i="1135" s="1"/>
  <c r="AK24" i="1135"/>
  <c r="AI24" i="1135"/>
  <c r="AI19" i="1135" s="1"/>
  <c r="AG24" i="1135"/>
  <c r="AE24" i="1135"/>
  <c r="AE19" i="1135" s="1"/>
  <c r="AC24" i="1135"/>
  <c r="AA24" i="1135"/>
  <c r="AA19" i="1135" s="1"/>
  <c r="Y24" i="1135"/>
  <c r="AJ20" i="1135"/>
  <c r="AB20" i="1135"/>
  <c r="T20" i="1135"/>
  <c r="L20" i="1135"/>
  <c r="W136" i="1135"/>
  <c r="H127" i="1135"/>
  <c r="W120" i="1135"/>
  <c r="W118" i="1135"/>
  <c r="H106" i="1135"/>
  <c r="U19" i="1135"/>
  <c r="U18" i="1135" s="1"/>
  <c r="U23" i="1135"/>
  <c r="Q19" i="1135"/>
  <c r="Q18" i="1135" s="1"/>
  <c r="Q23" i="1135"/>
  <c r="M19" i="1135"/>
  <c r="M18" i="1135" s="1"/>
  <c r="M23" i="1135"/>
  <c r="AK19" i="1135"/>
  <c r="AK18" i="1135" s="1"/>
  <c r="AK23" i="1135"/>
  <c r="AG19" i="1135"/>
  <c r="AG18" i="1135" s="1"/>
  <c r="AG23" i="1135"/>
  <c r="AC19" i="1135"/>
  <c r="AC18" i="1135" s="1"/>
  <c r="AC23" i="1135"/>
  <c r="Y19" i="1135"/>
  <c r="Y18" i="1135" s="1"/>
  <c r="Y23" i="1135"/>
  <c r="W127" i="1135"/>
  <c r="H119" i="1135"/>
  <c r="S105" i="1135"/>
  <c r="K105" i="1135"/>
  <c r="W106" i="1135"/>
  <c r="W122" i="1135"/>
  <c r="W104" i="1135" s="1"/>
  <c r="W119" i="1135"/>
  <c r="H118" i="1135"/>
  <c r="H112" i="1135"/>
  <c r="V105" i="1135"/>
  <c r="N105" i="1135"/>
  <c r="F105" i="1135"/>
  <c r="W86" i="1135"/>
  <c r="W46" i="1135"/>
  <c r="H41" i="1135"/>
  <c r="W38" i="1135"/>
  <c r="W35" i="1135"/>
  <c r="H36" i="1135"/>
  <c r="S24" i="1135"/>
  <c r="O24" i="1135"/>
  <c r="K24" i="1135"/>
  <c r="AI23" i="1135"/>
  <c r="AE23" i="1135"/>
  <c r="AA23" i="1135"/>
  <c r="W28" i="1135"/>
  <c r="P19" i="1135"/>
  <c r="P18" i="1135" s="1"/>
  <c r="P23" i="1135"/>
  <c r="L19" i="1135"/>
  <c r="L18" i="1135" s="1"/>
  <c r="L23" i="1135"/>
  <c r="H28" i="1135"/>
  <c r="I24" i="1135"/>
  <c r="J23" i="1135"/>
  <c r="N19" i="1135"/>
  <c r="N18" i="1135" s="1"/>
  <c r="G105" i="1135"/>
  <c r="W96" i="1135"/>
  <c r="W49" i="1135"/>
  <c r="AI20" i="1135"/>
  <c r="AI42" i="1135"/>
  <c r="AE20" i="1135"/>
  <c r="AE42" i="1135"/>
  <c r="AA20" i="1135"/>
  <c r="AA42" i="1135"/>
  <c r="W43" i="1135"/>
  <c r="S20" i="1135"/>
  <c r="S42" i="1135"/>
  <c r="O20" i="1135"/>
  <c r="O42" i="1135"/>
  <c r="K20" i="1135"/>
  <c r="K42" i="1135"/>
  <c r="I20" i="1135"/>
  <c r="H43" i="1135"/>
  <c r="AK42" i="1135"/>
  <c r="AC42" i="1135"/>
  <c r="U42" i="1135"/>
  <c r="M42" i="1135"/>
  <c r="H38" i="1135"/>
  <c r="T19" i="1135"/>
  <c r="T18" i="1135" s="1"/>
  <c r="T23" i="1135"/>
  <c r="R23" i="1135"/>
  <c r="W22" i="1135"/>
  <c r="F18" i="1135"/>
  <c r="G42" i="1135"/>
  <c r="H40" i="1135"/>
  <c r="H32" i="1135"/>
  <c r="AJ19" i="1135"/>
  <c r="AJ18" i="1135" s="1"/>
  <c r="AH23" i="1135"/>
  <c r="AF23" i="1135"/>
  <c r="AD23" i="1135"/>
  <c r="AB19" i="1135"/>
  <c r="AB18" i="1135" s="1"/>
  <c r="Z23" i="1135"/>
  <c r="X23" i="1135"/>
  <c r="H21" i="1135"/>
  <c r="G19" i="1135"/>
  <c r="G18" i="1135" s="1"/>
  <c r="G23" i="1135"/>
  <c r="E19" i="1135"/>
  <c r="E18" i="1135" s="1"/>
  <c r="E23" i="1135"/>
  <c r="AH19" i="1135"/>
  <c r="AH18" i="1135" s="1"/>
  <c r="Z19" i="1135"/>
  <c r="Z18" i="1135" s="1"/>
  <c r="AH42" i="1135"/>
  <c r="AD42" i="1135"/>
  <c r="Z42" i="1135"/>
  <c r="V42" i="1135"/>
  <c r="R42" i="1135"/>
  <c r="N42" i="1135"/>
  <c r="J42" i="1135"/>
  <c r="F42" i="1135"/>
  <c r="W21" i="1135"/>
  <c r="V19" i="1135" l="1"/>
  <c r="V18" i="1135" s="1"/>
  <c r="H31" i="1135"/>
  <c r="H42" i="1135"/>
  <c r="H20" i="1135"/>
  <c r="W20" i="1135"/>
  <c r="W42" i="1135"/>
  <c r="H24" i="1135"/>
  <c r="H27" i="1135"/>
  <c r="K19" i="1135"/>
  <c r="K18" i="1135" s="1"/>
  <c r="K23" i="1135"/>
  <c r="S19" i="1135"/>
  <c r="S18" i="1135" s="1"/>
  <c r="S23" i="1135"/>
  <c r="H104" i="1135"/>
  <c r="W117" i="1135"/>
  <c r="I19" i="1135"/>
  <c r="I18" i="1135" s="1"/>
  <c r="I23" i="1135"/>
  <c r="W24" i="1135"/>
  <c r="W27" i="1135"/>
  <c r="AA18" i="1135"/>
  <c r="AE18" i="1135"/>
  <c r="AI18" i="1135"/>
  <c r="O19" i="1135"/>
  <c r="O18" i="1135" s="1"/>
  <c r="O23" i="1135"/>
  <c r="H35" i="1135"/>
  <c r="W90" i="1135"/>
  <c r="H117" i="1135"/>
  <c r="O57" i="1134"/>
  <c r="W19" i="1135" l="1"/>
  <c r="W23" i="1135"/>
  <c r="W105" i="1135"/>
  <c r="H105" i="1135"/>
  <c r="H19" i="1135"/>
  <c r="H23" i="1135"/>
  <c r="H18" i="1135" l="1"/>
  <c r="W18" i="1135"/>
  <c r="H33" i="1134" l="1"/>
  <c r="O20" i="1134" l="1"/>
  <c r="O23" i="1134" l="1"/>
  <c r="W46" i="1145" l="1"/>
  <c r="W44" i="1145" s="1"/>
  <c r="X25" i="1145" l="1"/>
  <c r="Y25" i="1145"/>
  <c r="Z25" i="1145"/>
  <c r="AA25" i="1145"/>
  <c r="AB25" i="1145"/>
  <c r="AC25" i="1145"/>
  <c r="AD25" i="1145"/>
  <c r="AE25" i="1145"/>
  <c r="AF25" i="1145"/>
  <c r="AG25" i="1145"/>
  <c r="AH25" i="1145"/>
  <c r="AI25" i="1145"/>
  <c r="AJ25" i="1145"/>
  <c r="AK25" i="1145"/>
  <c r="AA12" i="1140" l="1"/>
  <c r="AR12" i="1140" l="1"/>
  <c r="AR14" i="1140" s="1"/>
  <c r="AJ12" i="1140"/>
  <c r="AJ14" i="1140" s="1"/>
  <c r="AI12" i="1140"/>
  <c r="AF12" i="1140"/>
  <c r="AF14" i="1140" s="1"/>
  <c r="Y19" i="1134" l="1"/>
  <c r="Y24" i="1134"/>
  <c r="Y26" i="1134"/>
  <c r="Y27" i="1134"/>
  <c r="Y29" i="1134"/>
  <c r="Y43" i="1134"/>
  <c r="Y44" i="1134"/>
  <c r="Y45" i="1134"/>
  <c r="Y46" i="1134"/>
  <c r="Y48" i="1134"/>
  <c r="Y49" i="1134"/>
  <c r="Y52" i="1134"/>
  <c r="Y59" i="1134"/>
  <c r="Y60" i="1134"/>
  <c r="X70" i="1134"/>
  <c r="X69" i="1134"/>
  <c r="X68" i="1134"/>
  <c r="X67" i="1134"/>
  <c r="X66" i="1134"/>
  <c r="X64" i="1134"/>
  <c r="X63" i="1134"/>
  <c r="X62" i="1134"/>
  <c r="X61" i="1134"/>
  <c r="X57" i="1134"/>
  <c r="X56" i="1134"/>
  <c r="X55" i="1134"/>
  <c r="X53" i="1134"/>
  <c r="X51" i="1134"/>
  <c r="X50" i="1134"/>
  <c r="X42" i="1134"/>
  <c r="X41" i="1134"/>
  <c r="X39" i="1134"/>
  <c r="X40" i="1134"/>
  <c r="X38" i="1134"/>
  <c r="X36" i="1134"/>
  <c r="X34" i="1134"/>
  <c r="X33" i="1134"/>
  <c r="X32" i="1134"/>
  <c r="X30" i="1134"/>
  <c r="X28" i="1134"/>
  <c r="X23" i="1134"/>
  <c r="X22" i="1134"/>
  <c r="X21" i="1134"/>
  <c r="X20" i="1134"/>
  <c r="X18" i="1134"/>
  <c r="D39" i="1145" l="1"/>
  <c r="V46" i="1139" l="1"/>
  <c r="W38" i="1145"/>
  <c r="AT43" i="1140" l="1"/>
  <c r="AT42" i="1140"/>
  <c r="AT41" i="1140"/>
  <c r="AT40" i="1140"/>
  <c r="AE43" i="1140"/>
  <c r="AE42" i="1140"/>
  <c r="AE41" i="1140"/>
  <c r="AE40" i="1140"/>
  <c r="O10" i="1146" l="1"/>
  <c r="O11" i="1146"/>
  <c r="O12" i="1146"/>
  <c r="O13" i="1146"/>
  <c r="O15" i="1146"/>
  <c r="O16" i="1146"/>
  <c r="O17" i="1146"/>
  <c r="O18" i="1146"/>
  <c r="O19" i="1146"/>
  <c r="O20" i="1146"/>
  <c r="O21" i="1146"/>
  <c r="O22" i="1146"/>
  <c r="O24" i="1146"/>
  <c r="O25" i="1146"/>
  <c r="O9" i="1146"/>
  <c r="BE30" i="1144" l="1"/>
  <c r="BE31" i="1144"/>
  <c r="BE32" i="1144"/>
  <c r="BE33" i="1144"/>
  <c r="BE56" i="1144"/>
  <c r="BE58" i="1144"/>
  <c r="BE84" i="1144"/>
  <c r="BE86" i="1144"/>
  <c r="BS55" i="1143"/>
  <c r="BS56" i="1143"/>
  <c r="BS57" i="1143"/>
  <c r="BS58" i="1143"/>
  <c r="BS60" i="1143"/>
  <c r="BS61" i="1143"/>
  <c r="BS49" i="1143"/>
  <c r="BS51" i="1143"/>
  <c r="BS52" i="1143"/>
  <c r="BS53" i="1143"/>
  <c r="BS54" i="1143"/>
  <c r="BS48" i="1143"/>
  <c r="BS47" i="1143"/>
  <c r="BS41" i="1143"/>
  <c r="BS42" i="1143"/>
  <c r="BS44" i="1143"/>
  <c r="BS45" i="1143"/>
  <c r="BS31" i="1143"/>
  <c r="BS33" i="1143"/>
  <c r="BS35" i="1143"/>
  <c r="BS22" i="1143"/>
  <c r="BS23" i="1143"/>
  <c r="BS26" i="1143"/>
  <c r="BS10" i="1143"/>
  <c r="BS16" i="1143"/>
  <c r="BS17" i="1143"/>
  <c r="BH15" i="1142"/>
  <c r="BH17" i="1142"/>
  <c r="BH18" i="1142"/>
  <c r="CB72" i="1140"/>
  <c r="CB56" i="1140"/>
  <c r="CB41" i="1140"/>
  <c r="CB42" i="1140"/>
  <c r="CB43" i="1140"/>
  <c r="CB40" i="1140"/>
  <c r="O15" i="1136"/>
  <c r="O16" i="1136"/>
  <c r="O17" i="1136"/>
  <c r="O20" i="1136"/>
  <c r="O21" i="1136"/>
  <c r="O22" i="1136"/>
  <c r="O23" i="1136"/>
  <c r="O24" i="1136"/>
  <c r="O25" i="1136"/>
  <c r="O26" i="1136"/>
  <c r="O27" i="1136"/>
  <c r="O28" i="1136"/>
  <c r="O30" i="1136"/>
  <c r="O31" i="1136"/>
  <c r="O32" i="1136"/>
  <c r="O33" i="1136"/>
  <c r="O36" i="1136"/>
  <c r="N14" i="1136"/>
  <c r="N19" i="1136" s="1"/>
  <c r="I38" i="1139" l="1"/>
  <c r="I35" i="1139"/>
  <c r="W14" i="1142" l="1"/>
  <c r="BH14" i="1142" s="1"/>
  <c r="H21" i="1142"/>
  <c r="H20" i="1142"/>
  <c r="H16" i="1142"/>
  <c r="H15" i="1142"/>
  <c r="H14" i="1142"/>
  <c r="J9" i="1142"/>
  <c r="K9" i="1142"/>
  <c r="L9" i="1142"/>
  <c r="M9" i="1142"/>
  <c r="N9" i="1142"/>
  <c r="O9" i="1142"/>
  <c r="P9" i="1142"/>
  <c r="Q9" i="1142"/>
  <c r="R9" i="1142"/>
  <c r="S9" i="1142"/>
  <c r="T9" i="1142"/>
  <c r="U9" i="1142"/>
  <c r="V9" i="1142"/>
  <c r="I9" i="1142"/>
  <c r="H11" i="1167" l="1"/>
  <c r="J38" i="1139" l="1"/>
  <c r="J35" i="1139"/>
  <c r="I39" i="1139" l="1"/>
  <c r="J39" i="1139" s="1"/>
  <c r="N53" i="1134" l="1"/>
  <c r="Y53" i="1134" s="1"/>
  <c r="BF75" i="1140" l="1"/>
  <c r="BG75" i="1140"/>
  <c r="BE75" i="1140"/>
  <c r="AZ75" i="1140"/>
  <c r="AV75" i="1140"/>
  <c r="AW75" i="1140"/>
  <c r="AX75" i="1140"/>
  <c r="AU75" i="1140"/>
  <c r="AT76" i="1140"/>
  <c r="AT74" i="1140"/>
  <c r="AT71" i="1140"/>
  <c r="CB71" i="1140" s="1"/>
  <c r="BH70" i="1140"/>
  <c r="BG70" i="1140"/>
  <c r="BF70" i="1140"/>
  <c r="BE70" i="1140"/>
  <c r="BD70" i="1140"/>
  <c r="BC70" i="1140"/>
  <c r="BB70" i="1140"/>
  <c r="BA70" i="1140"/>
  <c r="AZ70" i="1140"/>
  <c r="AY70" i="1140"/>
  <c r="AX70" i="1140"/>
  <c r="AW70" i="1140"/>
  <c r="AV70" i="1140"/>
  <c r="AU70" i="1140"/>
  <c r="AT67" i="1140"/>
  <c r="CB67" i="1140" s="1"/>
  <c r="AT66" i="1140"/>
  <c r="AT64" i="1140"/>
  <c r="AT63" i="1140"/>
  <c r="AT62" i="1140"/>
  <c r="AT61" i="1140"/>
  <c r="AT60" i="1140"/>
  <c r="AT59" i="1140"/>
  <c r="AT58" i="1140"/>
  <c r="CB58" i="1140" s="1"/>
  <c r="AT57" i="1140"/>
  <c r="CB57" i="1140" s="1"/>
  <c r="AT55" i="1140"/>
  <c r="AT54" i="1140"/>
  <c r="BH53" i="1140"/>
  <c r="BG53" i="1140"/>
  <c r="BF53" i="1140"/>
  <c r="BE53" i="1140"/>
  <c r="BD53" i="1140"/>
  <c r="BC53" i="1140"/>
  <c r="BB53" i="1140"/>
  <c r="BA53" i="1140"/>
  <c r="AZ53" i="1140"/>
  <c r="AY53" i="1140"/>
  <c r="AX53" i="1140"/>
  <c r="AW53" i="1140"/>
  <c r="AV53" i="1140"/>
  <c r="AU53" i="1140"/>
  <c r="AT52" i="1140"/>
  <c r="AF45" i="1140"/>
  <c r="AG45" i="1140"/>
  <c r="AH45" i="1140"/>
  <c r="AI45" i="1140"/>
  <c r="AJ45" i="1140"/>
  <c r="AK45" i="1140"/>
  <c r="AL45" i="1140"/>
  <c r="AM45" i="1140"/>
  <c r="AN45" i="1140"/>
  <c r="AO45" i="1140"/>
  <c r="AP45" i="1140"/>
  <c r="AQ45" i="1140"/>
  <c r="AR45" i="1140"/>
  <c r="AS45" i="1140"/>
  <c r="AU45" i="1140"/>
  <c r="AV45" i="1140"/>
  <c r="AW45" i="1140"/>
  <c r="AX45" i="1140"/>
  <c r="AY45" i="1140"/>
  <c r="AZ45" i="1140"/>
  <c r="BA45" i="1140"/>
  <c r="BB45" i="1140"/>
  <c r="BC45" i="1140"/>
  <c r="BD45" i="1140"/>
  <c r="BE45" i="1140"/>
  <c r="BF45" i="1140"/>
  <c r="BG45" i="1140"/>
  <c r="BH45" i="1140"/>
  <c r="AU46" i="1140"/>
  <c r="AV46" i="1140"/>
  <c r="AW46" i="1140"/>
  <c r="AX46" i="1140"/>
  <c r="AY46" i="1140"/>
  <c r="AZ46" i="1140"/>
  <c r="BA46" i="1140"/>
  <c r="BB46" i="1140"/>
  <c r="BC46" i="1140"/>
  <c r="BD46" i="1140"/>
  <c r="BE46" i="1140"/>
  <c r="BF46" i="1140"/>
  <c r="BG46" i="1140"/>
  <c r="BH46" i="1140"/>
  <c r="AT50" i="1140"/>
  <c r="CB50" i="1140" s="1"/>
  <c r="AT49" i="1140"/>
  <c r="AT48" i="1140"/>
  <c r="CB48" i="1140" s="1"/>
  <c r="AE76" i="1140"/>
  <c r="AR75" i="1140"/>
  <c r="AO75" i="1140"/>
  <c r="AK75" i="1140"/>
  <c r="AI75" i="1140"/>
  <c r="AH75" i="1140"/>
  <c r="AG75" i="1140"/>
  <c r="AF75" i="1140"/>
  <c r="AE74" i="1140"/>
  <c r="AE75" i="1140" s="1"/>
  <c r="AE71" i="1140"/>
  <c r="AS70" i="1140"/>
  <c r="AR70" i="1140"/>
  <c r="AQ70" i="1140"/>
  <c r="AP70" i="1140"/>
  <c r="AO70" i="1140"/>
  <c r="AN70" i="1140"/>
  <c r="AM70" i="1140"/>
  <c r="AL70" i="1140"/>
  <c r="AK70" i="1140"/>
  <c r="AJ70" i="1140"/>
  <c r="AI70" i="1140"/>
  <c r="AH70" i="1140"/>
  <c r="AG70" i="1140"/>
  <c r="AF70" i="1140"/>
  <c r="AE67" i="1140"/>
  <c r="AE64" i="1140"/>
  <c r="AE63" i="1140"/>
  <c r="AE62" i="1140"/>
  <c r="AE61" i="1140"/>
  <c r="AE60" i="1140"/>
  <c r="AE59" i="1140"/>
  <c r="AE58" i="1140"/>
  <c r="AE57" i="1140"/>
  <c r="AE55" i="1140"/>
  <c r="AE54" i="1140"/>
  <c r="AE53" i="1140"/>
  <c r="AE52" i="1140"/>
  <c r="AF46" i="1140"/>
  <c r="AG46" i="1140"/>
  <c r="AH46" i="1140"/>
  <c r="AI46" i="1140"/>
  <c r="AJ46" i="1140"/>
  <c r="AK46" i="1140"/>
  <c r="AL46" i="1140"/>
  <c r="AM46" i="1140"/>
  <c r="AN46" i="1140"/>
  <c r="AO46" i="1140"/>
  <c r="AP46" i="1140"/>
  <c r="AQ46" i="1140"/>
  <c r="AR46" i="1140"/>
  <c r="AS46" i="1140"/>
  <c r="AE50" i="1140"/>
  <c r="AE49" i="1140"/>
  <c r="AE48" i="1140"/>
  <c r="AT18" i="1140"/>
  <c r="CB18" i="1140" s="1"/>
  <c r="AT17" i="1140"/>
  <c r="CB17" i="1140" s="1"/>
  <c r="AT15" i="1140"/>
  <c r="CB15" i="1140" s="1"/>
  <c r="AT9" i="1140"/>
  <c r="CB9" i="1140" s="1"/>
  <c r="BH16" i="1140"/>
  <c r="BG16" i="1140"/>
  <c r="BF16" i="1140"/>
  <c r="BE16" i="1140"/>
  <c r="BD16" i="1140"/>
  <c r="BC16" i="1140"/>
  <c r="BB16" i="1140"/>
  <c r="BA16" i="1140"/>
  <c r="AZ16" i="1140"/>
  <c r="AY16" i="1140"/>
  <c r="AX16" i="1140"/>
  <c r="AW16" i="1140"/>
  <c r="AV16" i="1140"/>
  <c r="AU16" i="1140"/>
  <c r="BH11" i="1140"/>
  <c r="BH12" i="1140" s="1"/>
  <c r="BG11" i="1140"/>
  <c r="BG12" i="1140" s="1"/>
  <c r="BG14" i="1140" s="1"/>
  <c r="BF11" i="1140"/>
  <c r="BF12" i="1140" s="1"/>
  <c r="BE11" i="1140"/>
  <c r="BE12" i="1140" s="1"/>
  <c r="BD11" i="1140"/>
  <c r="BD12" i="1140" s="1"/>
  <c r="BC11" i="1140"/>
  <c r="BC12" i="1140" s="1"/>
  <c r="BB11" i="1140"/>
  <c r="BB12" i="1140" s="1"/>
  <c r="BA11" i="1140"/>
  <c r="BA12" i="1140" s="1"/>
  <c r="AZ11" i="1140"/>
  <c r="AZ12" i="1140" s="1"/>
  <c r="AY11" i="1140"/>
  <c r="AY12" i="1140" s="1"/>
  <c r="AY14" i="1140" s="1"/>
  <c r="AW11" i="1140"/>
  <c r="AW12" i="1140" s="1"/>
  <c r="AV11" i="1140"/>
  <c r="AV12" i="1140" s="1"/>
  <c r="AU11" i="1140"/>
  <c r="AU12" i="1140" s="1"/>
  <c r="AU14" i="1140" s="1"/>
  <c r="I36" i="1145"/>
  <c r="J36" i="1145"/>
  <c r="K36" i="1145"/>
  <c r="L36" i="1145"/>
  <c r="M36" i="1145"/>
  <c r="N36" i="1145"/>
  <c r="O36" i="1145"/>
  <c r="P36" i="1145"/>
  <c r="Q36" i="1145"/>
  <c r="R36" i="1145"/>
  <c r="S36" i="1145"/>
  <c r="T36" i="1145"/>
  <c r="U36" i="1145"/>
  <c r="V36" i="1145"/>
  <c r="AF16" i="1140"/>
  <c r="AG16" i="1140"/>
  <c r="AH16" i="1140"/>
  <c r="AI16" i="1140"/>
  <c r="AJ16" i="1140"/>
  <c r="AK16" i="1140"/>
  <c r="AL16" i="1140"/>
  <c r="AM16" i="1140"/>
  <c r="AN16" i="1140"/>
  <c r="AO16" i="1140"/>
  <c r="AP16" i="1140"/>
  <c r="AQ16" i="1140"/>
  <c r="AR16" i="1140"/>
  <c r="AS16" i="1140"/>
  <c r="AE18" i="1140"/>
  <c r="AE17" i="1140"/>
  <c r="AE15" i="1140"/>
  <c r="AF11" i="1140"/>
  <c r="AG11" i="1140"/>
  <c r="AH11" i="1140"/>
  <c r="AI11" i="1140"/>
  <c r="AI13" i="1140" s="1"/>
  <c r="AI14" i="1140" s="1"/>
  <c r="AJ11" i="1140"/>
  <c r="AJ13" i="1140" s="1"/>
  <c r="AK11" i="1140"/>
  <c r="AL11" i="1140"/>
  <c r="AM11" i="1140"/>
  <c r="AN11" i="1140"/>
  <c r="AO11" i="1140"/>
  <c r="AP11" i="1140"/>
  <c r="AQ11" i="1140"/>
  <c r="AR11" i="1140"/>
  <c r="AR13" i="1140" s="1"/>
  <c r="AS11" i="1140"/>
  <c r="AE10" i="1140"/>
  <c r="AE9" i="1140"/>
  <c r="AE12" i="1140" s="1"/>
  <c r="AE14" i="1140" s="1"/>
  <c r="AE70" i="1140" l="1"/>
  <c r="AT53" i="1140"/>
  <c r="CB53" i="1140" s="1"/>
  <c r="AS13" i="1140"/>
  <c r="AS14" i="1140" s="1"/>
  <c r="AS12" i="1140"/>
  <c r="BH14" i="1140" s="1"/>
  <c r="AQ13" i="1140"/>
  <c r="AQ14" i="1140" s="1"/>
  <c r="AQ12" i="1140"/>
  <c r="BF14" i="1140" s="1"/>
  <c r="AO13" i="1140"/>
  <c r="AO14" i="1140" s="1"/>
  <c r="AO12" i="1140"/>
  <c r="BD14" i="1140" s="1"/>
  <c r="AM13" i="1140"/>
  <c r="AM14" i="1140" s="1"/>
  <c r="AM12" i="1140"/>
  <c r="BB14" i="1140" s="1"/>
  <c r="AK13" i="1140"/>
  <c r="AK14" i="1140" s="1"/>
  <c r="AK12" i="1140"/>
  <c r="AZ14" i="1140" s="1"/>
  <c r="AG13" i="1140"/>
  <c r="AG14" i="1140" s="1"/>
  <c r="AG12" i="1140"/>
  <c r="AV14" i="1140" s="1"/>
  <c r="CB54" i="1140"/>
  <c r="AP12" i="1140"/>
  <c r="BE14" i="1140" s="1"/>
  <c r="AP13" i="1140"/>
  <c r="AP14" i="1140" s="1"/>
  <c r="AN12" i="1140"/>
  <c r="BC14" i="1140" s="1"/>
  <c r="AN13" i="1140"/>
  <c r="AN14" i="1140" s="1"/>
  <c r="AL12" i="1140"/>
  <c r="BA14" i="1140" s="1"/>
  <c r="AL13" i="1140"/>
  <c r="AL14" i="1140" s="1"/>
  <c r="AH12" i="1140"/>
  <c r="AH14" i="1140" s="1"/>
  <c r="AH13" i="1140"/>
  <c r="AU13" i="1140"/>
  <c r="AF13" i="1140"/>
  <c r="AW14" i="1140"/>
  <c r="CB49" i="1140"/>
  <c r="CB52" i="1140"/>
  <c r="AT75" i="1140"/>
  <c r="CB74" i="1140"/>
  <c r="CB76" i="1140"/>
  <c r="CB63" i="1140"/>
  <c r="N64" i="1134"/>
  <c r="CB55" i="1140"/>
  <c r="BG13" i="1140"/>
  <c r="AY13" i="1140"/>
  <c r="N63" i="1134"/>
  <c r="Y63" i="1134" s="1"/>
  <c r="CB66" i="1140"/>
  <c r="AE16" i="1140"/>
  <c r="AE11" i="1140"/>
  <c r="AE13" i="1140" s="1"/>
  <c r="AE45" i="1140"/>
  <c r="AT45" i="1140"/>
  <c r="N62" i="1134"/>
  <c r="AT16" i="1140"/>
  <c r="BH13" i="1140"/>
  <c r="BF13" i="1140"/>
  <c r="BD13" i="1140"/>
  <c r="BB13" i="1140"/>
  <c r="AZ13" i="1140"/>
  <c r="AV13" i="1140"/>
  <c r="AT10" i="1140"/>
  <c r="CB10" i="1140" s="1"/>
  <c r="BE13" i="1140"/>
  <c r="BC13" i="1140"/>
  <c r="BA13" i="1140"/>
  <c r="AW13" i="1140"/>
  <c r="AE66" i="1140"/>
  <c r="AT70" i="1140"/>
  <c r="AX11" i="1140"/>
  <c r="Y62" i="1134" l="1"/>
  <c r="Y64" i="1134"/>
  <c r="CB45" i="1140"/>
  <c r="CB75" i="1140"/>
  <c r="CB70" i="1140"/>
  <c r="CB16" i="1140"/>
  <c r="AX13" i="1140"/>
  <c r="AX12" i="1140"/>
  <c r="AX14" i="1140" s="1"/>
  <c r="AT11" i="1140"/>
  <c r="CB11" i="1140" l="1"/>
  <c r="AT12" i="1140"/>
  <c r="AT14" i="1140" s="1"/>
  <c r="AT13" i="1140"/>
  <c r="CB13" i="1140" s="1"/>
  <c r="CB12" i="1140" l="1"/>
  <c r="N61" i="1134"/>
  <c r="Y61" i="1134" s="1"/>
  <c r="CB14" i="1140" l="1"/>
  <c r="N70" i="1134"/>
  <c r="Y70" i="1134" l="1"/>
  <c r="N57" i="1134"/>
  <c r="N56" i="1134"/>
  <c r="N55" i="1134"/>
  <c r="N50" i="1134"/>
  <c r="I25" i="1137"/>
  <c r="I8" i="1137"/>
  <c r="H25" i="1137"/>
  <c r="H11" i="1137"/>
  <c r="H12" i="1137"/>
  <c r="H13" i="1137"/>
  <c r="H10" i="1137"/>
  <c r="I19" i="1136"/>
  <c r="O19" i="1136" s="1"/>
  <c r="I14" i="1136"/>
  <c r="O14" i="1136" s="1"/>
  <c r="I35" i="1136"/>
  <c r="H35" i="1136"/>
  <c r="G35" i="1136"/>
  <c r="BH27" i="1140"/>
  <c r="BG27" i="1140"/>
  <c r="BF27" i="1140"/>
  <c r="BE27" i="1140"/>
  <c r="BD27" i="1140"/>
  <c r="BC27" i="1140"/>
  <c r="BB27" i="1140"/>
  <c r="BA27" i="1140"/>
  <c r="AZ27" i="1140"/>
  <c r="AY27" i="1140"/>
  <c r="AX27" i="1140"/>
  <c r="AW27" i="1140"/>
  <c r="AV27" i="1140"/>
  <c r="AT27" i="1140" s="1"/>
  <c r="BH26" i="1140"/>
  <c r="BG26" i="1140"/>
  <c r="BF26" i="1140"/>
  <c r="BE26" i="1140"/>
  <c r="BD26" i="1140"/>
  <c r="BC26" i="1140"/>
  <c r="BB26" i="1140"/>
  <c r="BA26" i="1140"/>
  <c r="AZ26" i="1140"/>
  <c r="AY26" i="1140"/>
  <c r="AX26" i="1140"/>
  <c r="AW26" i="1140"/>
  <c r="AV26" i="1140"/>
  <c r="AT25" i="1140"/>
  <c r="CB25" i="1140" s="1"/>
  <c r="AT24" i="1140"/>
  <c r="CB24" i="1140" s="1"/>
  <c r="AT23" i="1140"/>
  <c r="CB23" i="1140" s="1"/>
  <c r="AT22" i="1140"/>
  <c r="AT21" i="1140"/>
  <c r="CB21" i="1140" s="1"/>
  <c r="AT20" i="1140"/>
  <c r="CB20" i="1140" s="1"/>
  <c r="AE21" i="1140"/>
  <c r="AE22" i="1140"/>
  <c r="AE23" i="1140"/>
  <c r="AE24" i="1140"/>
  <c r="AE20" i="1140"/>
  <c r="AE28" i="1140"/>
  <c r="AF28" i="1140"/>
  <c r="AE29" i="1140"/>
  <c r="AF29" i="1140"/>
  <c r="AE30" i="1140"/>
  <c r="AF30" i="1140"/>
  <c r="AE25" i="1140"/>
  <c r="N31" i="1134"/>
  <c r="N30" i="1134"/>
  <c r="H31" i="1136"/>
  <c r="H32" i="1136"/>
  <c r="H33" i="1136"/>
  <c r="H30" i="1136"/>
  <c r="H21" i="1136"/>
  <c r="H22" i="1136"/>
  <c r="H23" i="1136"/>
  <c r="H20" i="1136"/>
  <c r="H17" i="1136"/>
  <c r="H16" i="1136"/>
  <c r="O35" i="1136" l="1"/>
  <c r="L35" i="1136"/>
  <c r="CB27" i="1140"/>
  <c r="N28" i="1134"/>
  <c r="Y28" i="1134" s="1"/>
  <c r="Y50" i="1134"/>
  <c r="Y56" i="1134"/>
  <c r="Y30" i="1134"/>
  <c r="Y55" i="1134"/>
  <c r="I13" i="1136"/>
  <c r="O13" i="1136" s="1"/>
  <c r="AT26" i="1140"/>
  <c r="CB26" i="1140" s="1"/>
  <c r="D70" i="1134" l="1"/>
  <c r="D69" i="1134"/>
  <c r="D68" i="1134"/>
  <c r="D67" i="1134"/>
  <c r="D64" i="1134"/>
  <c r="D63" i="1134"/>
  <c r="D62" i="1134"/>
  <c r="D61" i="1134"/>
  <c r="D57" i="1134"/>
  <c r="D56" i="1134"/>
  <c r="D55" i="1134"/>
  <c r="D53" i="1134"/>
  <c r="D51" i="1134"/>
  <c r="D50" i="1134"/>
  <c r="D39" i="1134"/>
  <c r="D40" i="1134"/>
  <c r="D41" i="1134"/>
  <c r="D38" i="1134"/>
  <c r="D37" i="1134"/>
  <c r="D36" i="1134"/>
  <c r="D34" i="1134"/>
  <c r="D32" i="1134"/>
  <c r="D31" i="1134"/>
  <c r="D30" i="1134"/>
  <c r="D28" i="1134"/>
  <c r="D23" i="1134"/>
  <c r="D22" i="1134"/>
  <c r="D21" i="1134"/>
  <c r="D20" i="1134"/>
  <c r="W16" i="1167" l="1"/>
  <c r="W15" i="1167"/>
  <c r="W14" i="1167"/>
  <c r="W13" i="1167"/>
  <c r="W12" i="1167"/>
  <c r="H13" i="1167"/>
  <c r="H14" i="1167"/>
  <c r="H15" i="1167"/>
  <c r="H16" i="1167"/>
  <c r="H12" i="1167"/>
  <c r="N22" i="1134" l="1"/>
  <c r="D18" i="1134"/>
  <c r="Y22" i="1134" l="1"/>
  <c r="X54" i="1145"/>
  <c r="Y54" i="1145"/>
  <c r="Z54" i="1145"/>
  <c r="AA54" i="1145"/>
  <c r="AB54" i="1145"/>
  <c r="AC54" i="1145"/>
  <c r="AD54" i="1145"/>
  <c r="AE54" i="1145"/>
  <c r="AF54" i="1145"/>
  <c r="AG54" i="1145"/>
  <c r="AH54" i="1145"/>
  <c r="AI54" i="1145"/>
  <c r="AJ54" i="1145"/>
  <c r="AK54" i="1145"/>
  <c r="W58" i="1145"/>
  <c r="W57" i="1145"/>
  <c r="W56" i="1145"/>
  <c r="I54" i="1145"/>
  <c r="J54" i="1145"/>
  <c r="K54" i="1145"/>
  <c r="L54" i="1145"/>
  <c r="M54" i="1145"/>
  <c r="N54" i="1145"/>
  <c r="O54" i="1145"/>
  <c r="P54" i="1145"/>
  <c r="Q54" i="1145"/>
  <c r="R54" i="1145"/>
  <c r="S54" i="1145"/>
  <c r="T54" i="1145"/>
  <c r="U54" i="1145"/>
  <c r="V54" i="1145"/>
  <c r="H54" i="1145"/>
  <c r="W51" i="1145"/>
  <c r="W49" i="1145"/>
  <c r="I39" i="1145"/>
  <c r="J39" i="1145"/>
  <c r="K39" i="1145"/>
  <c r="L39" i="1145"/>
  <c r="M39" i="1145"/>
  <c r="N39" i="1145"/>
  <c r="O39" i="1145"/>
  <c r="P39" i="1145"/>
  <c r="Q39" i="1145"/>
  <c r="R39" i="1145"/>
  <c r="S39" i="1145"/>
  <c r="T39" i="1145"/>
  <c r="U39" i="1145"/>
  <c r="V39" i="1145"/>
  <c r="X39" i="1145"/>
  <c r="Y39" i="1145"/>
  <c r="Z39" i="1145"/>
  <c r="AA39" i="1145"/>
  <c r="AB39" i="1145"/>
  <c r="AC39" i="1145"/>
  <c r="AD39" i="1145"/>
  <c r="AE39" i="1145"/>
  <c r="AF39" i="1145"/>
  <c r="AG39" i="1145"/>
  <c r="AH39" i="1145"/>
  <c r="AI39" i="1145"/>
  <c r="AJ39" i="1145"/>
  <c r="AK39" i="1145"/>
  <c r="W37" i="1145"/>
  <c r="W35" i="1145"/>
  <c r="W34" i="1145"/>
  <c r="X32" i="1145"/>
  <c r="Y32" i="1145"/>
  <c r="Z32" i="1145"/>
  <c r="AA32" i="1145"/>
  <c r="AB32" i="1145"/>
  <c r="AC32" i="1145"/>
  <c r="AD32" i="1145"/>
  <c r="AE32" i="1145"/>
  <c r="AF32" i="1145"/>
  <c r="AG32" i="1145"/>
  <c r="AH32" i="1145"/>
  <c r="AI32" i="1145"/>
  <c r="AJ32" i="1145"/>
  <c r="AK32" i="1145"/>
  <c r="W31" i="1145"/>
  <c r="W30" i="1145"/>
  <c r="W29" i="1145"/>
  <c r="W27" i="1145"/>
  <c r="W26" i="1145"/>
  <c r="W22" i="1145"/>
  <c r="W21" i="1145"/>
  <c r="W18" i="1145"/>
  <c r="W17" i="1145"/>
  <c r="W12" i="1145"/>
  <c r="W11" i="1145"/>
  <c r="W74" i="1145"/>
  <c r="W73" i="1145"/>
  <c r="W71" i="1145"/>
  <c r="W70" i="1145"/>
  <c r="I69" i="1145"/>
  <c r="J69" i="1145"/>
  <c r="K69" i="1145"/>
  <c r="L69" i="1145"/>
  <c r="M69" i="1145"/>
  <c r="N69" i="1145"/>
  <c r="O69" i="1145"/>
  <c r="P69" i="1145"/>
  <c r="Q69" i="1145"/>
  <c r="R69" i="1145"/>
  <c r="S69" i="1145"/>
  <c r="T69" i="1145"/>
  <c r="U69" i="1145"/>
  <c r="V69" i="1145"/>
  <c r="X69" i="1145"/>
  <c r="Y69" i="1145"/>
  <c r="Z69" i="1145"/>
  <c r="AA69" i="1145"/>
  <c r="AB69" i="1145"/>
  <c r="AC69" i="1145"/>
  <c r="AD69" i="1145"/>
  <c r="AE69" i="1145"/>
  <c r="AF69" i="1145"/>
  <c r="AG69" i="1145"/>
  <c r="AH69" i="1145"/>
  <c r="AI69" i="1145"/>
  <c r="AJ69" i="1145"/>
  <c r="AK69" i="1145"/>
  <c r="W68" i="1145"/>
  <c r="H74" i="1145"/>
  <c r="H73" i="1145"/>
  <c r="H71" i="1145"/>
  <c r="H70" i="1145"/>
  <c r="X60" i="1145"/>
  <c r="Y60" i="1145"/>
  <c r="Z60" i="1145"/>
  <c r="AA60" i="1145"/>
  <c r="AB60" i="1145"/>
  <c r="AC60" i="1145"/>
  <c r="AD60" i="1145"/>
  <c r="AE60" i="1145"/>
  <c r="AF60" i="1145"/>
  <c r="AG60" i="1145"/>
  <c r="AH60" i="1145"/>
  <c r="AI60" i="1145"/>
  <c r="AJ60" i="1145"/>
  <c r="AK60" i="1145"/>
  <c r="W59" i="1145"/>
  <c r="J60" i="1145"/>
  <c r="K60" i="1145"/>
  <c r="L60" i="1145"/>
  <c r="M60" i="1145"/>
  <c r="N60" i="1145"/>
  <c r="O60" i="1145"/>
  <c r="P60" i="1145"/>
  <c r="Q60" i="1145"/>
  <c r="R60" i="1145"/>
  <c r="S60" i="1145"/>
  <c r="T60" i="1145"/>
  <c r="U60" i="1145"/>
  <c r="V60" i="1145"/>
  <c r="I60" i="1145"/>
  <c r="H59" i="1145"/>
  <c r="H51" i="1145"/>
  <c r="H49" i="1145"/>
  <c r="H38" i="1145"/>
  <c r="H37" i="1145"/>
  <c r="H35" i="1145"/>
  <c r="H36" i="1145" s="1"/>
  <c r="H34" i="1145"/>
  <c r="I25" i="1145"/>
  <c r="J25" i="1145"/>
  <c r="K25" i="1145"/>
  <c r="L25" i="1145"/>
  <c r="M25" i="1145"/>
  <c r="N25" i="1145"/>
  <c r="O25" i="1145"/>
  <c r="P25" i="1145"/>
  <c r="Q25" i="1145"/>
  <c r="R25" i="1145"/>
  <c r="S25" i="1145"/>
  <c r="T25" i="1145"/>
  <c r="U25" i="1145"/>
  <c r="V25" i="1145"/>
  <c r="I32" i="1145"/>
  <c r="J32" i="1145"/>
  <c r="K32" i="1145"/>
  <c r="L32" i="1145"/>
  <c r="M32" i="1145"/>
  <c r="N32" i="1145"/>
  <c r="O32" i="1145"/>
  <c r="P32" i="1145"/>
  <c r="Q32" i="1145"/>
  <c r="R32" i="1145"/>
  <c r="S32" i="1145"/>
  <c r="T32" i="1145"/>
  <c r="U32" i="1145"/>
  <c r="V32" i="1145"/>
  <c r="H31" i="1145"/>
  <c r="H30" i="1145"/>
  <c r="H27" i="1145"/>
  <c r="H26" i="1145"/>
  <c r="H22" i="1145"/>
  <c r="H21" i="1145"/>
  <c r="H18" i="1145"/>
  <c r="H17" i="1145"/>
  <c r="H12" i="1145"/>
  <c r="H11" i="1145"/>
  <c r="W25" i="1145" l="1"/>
  <c r="N67" i="1134"/>
  <c r="Y67" i="1134" s="1"/>
  <c r="H72" i="1145"/>
  <c r="W20" i="1145"/>
  <c r="W32" i="1145"/>
  <c r="W54" i="1145"/>
  <c r="W60" i="1145"/>
  <c r="N68" i="1134"/>
  <c r="Y68" i="1134" s="1"/>
  <c r="H32" i="1145"/>
  <c r="H39" i="1145"/>
  <c r="W72" i="1145"/>
  <c r="W39" i="1145"/>
  <c r="H20" i="1145"/>
  <c r="H25" i="1145"/>
  <c r="H60" i="1145"/>
  <c r="H68" i="1145"/>
  <c r="N66" i="1134" l="1"/>
  <c r="N69" i="1134"/>
  <c r="Y69" i="1134" s="1"/>
  <c r="AI10" i="1167"/>
  <c r="AC10" i="1167"/>
  <c r="AB10" i="1167"/>
  <c r="Y10" i="1167"/>
  <c r="W11" i="1167"/>
  <c r="W9" i="1167"/>
  <c r="T10" i="1167"/>
  <c r="M10" i="1167"/>
  <c r="J10" i="1167"/>
  <c r="H9" i="1167"/>
  <c r="Y66" i="1134" l="1"/>
  <c r="N32" i="1134"/>
  <c r="H10" i="1167"/>
  <c r="W10" i="1167"/>
  <c r="Y32" i="1134" l="1"/>
  <c r="N20" i="1134"/>
  <c r="N23" i="1134"/>
  <c r="Y23" i="1134" l="1"/>
  <c r="Y20" i="1134"/>
  <c r="BF18" i="1135"/>
  <c r="H25" i="1143"/>
  <c r="V49" i="1143"/>
  <c r="U49" i="1143"/>
  <c r="T49" i="1143"/>
  <c r="S49" i="1143"/>
  <c r="R49" i="1143"/>
  <c r="Q49" i="1143"/>
  <c r="P49" i="1143"/>
  <c r="O49" i="1143"/>
  <c r="N49" i="1143"/>
  <c r="M49" i="1143"/>
  <c r="L49" i="1143"/>
  <c r="K49" i="1143"/>
  <c r="J49" i="1143"/>
  <c r="I49" i="1143"/>
  <c r="H49" i="1143"/>
  <c r="V48" i="1143"/>
  <c r="U48" i="1143"/>
  <c r="T48" i="1143"/>
  <c r="S48" i="1143"/>
  <c r="R48" i="1143"/>
  <c r="Q48" i="1143"/>
  <c r="P48" i="1143"/>
  <c r="O48" i="1143"/>
  <c r="N48" i="1143"/>
  <c r="M48" i="1143"/>
  <c r="L48" i="1143"/>
  <c r="K48" i="1143"/>
  <c r="J48" i="1143"/>
  <c r="I48" i="1143"/>
  <c r="H48" i="1143"/>
  <c r="H40" i="1143"/>
  <c r="J40" i="1143"/>
  <c r="K40" i="1143"/>
  <c r="L40" i="1143"/>
  <c r="M40" i="1143"/>
  <c r="N40" i="1143"/>
  <c r="O40" i="1143"/>
  <c r="I40" i="1143"/>
  <c r="H34" i="1143"/>
  <c r="V32" i="1143"/>
  <c r="S32" i="1143"/>
  <c r="R32" i="1143"/>
  <c r="Q32" i="1143"/>
  <c r="P32" i="1143"/>
  <c r="O32" i="1143"/>
  <c r="N32" i="1143"/>
  <c r="M32" i="1143"/>
  <c r="L32" i="1143"/>
  <c r="K32" i="1143"/>
  <c r="J32" i="1143"/>
  <c r="I32" i="1143"/>
  <c r="H32" i="1143"/>
  <c r="H27" i="1143"/>
  <c r="H20" i="1143"/>
  <c r="H19" i="1143"/>
  <c r="H18" i="1143"/>
  <c r="AD14" i="1143"/>
  <c r="AK14" i="1143"/>
  <c r="AJ14" i="1143"/>
  <c r="AI14" i="1143"/>
  <c r="AH14" i="1143"/>
  <c r="AG14" i="1143"/>
  <c r="AF14" i="1143"/>
  <c r="AE14" i="1143"/>
  <c r="AC14" i="1143"/>
  <c r="AB14" i="1143"/>
  <c r="AA14" i="1143"/>
  <c r="Z14" i="1143"/>
  <c r="Y14" i="1143"/>
  <c r="X14" i="1143"/>
  <c r="Q14" i="1143"/>
  <c r="R14" i="1143"/>
  <c r="S14" i="1143"/>
  <c r="T14" i="1143"/>
  <c r="U14" i="1143"/>
  <c r="V14" i="1143"/>
  <c r="P14" i="1143"/>
  <c r="J14" i="1143"/>
  <c r="K14" i="1143"/>
  <c r="L14" i="1143"/>
  <c r="M14" i="1143"/>
  <c r="N14" i="1143"/>
  <c r="I14" i="1143"/>
  <c r="I9" i="1143"/>
  <c r="J9" i="1143"/>
  <c r="K9" i="1143"/>
  <c r="L9" i="1143"/>
  <c r="M9" i="1143"/>
  <c r="N9" i="1143"/>
  <c r="O9" i="1143"/>
  <c r="P9" i="1143"/>
  <c r="Q9" i="1143"/>
  <c r="R9" i="1143"/>
  <c r="S9" i="1143"/>
  <c r="T9" i="1143"/>
  <c r="U9" i="1143"/>
  <c r="V9" i="1143"/>
  <c r="H13" i="1143"/>
  <c r="H12" i="1143"/>
  <c r="H11" i="1143"/>
  <c r="W14" i="1143" l="1"/>
  <c r="N33" i="1134"/>
  <c r="BS14" i="1143"/>
  <c r="N18" i="1134"/>
  <c r="Y18" i="1134" s="1"/>
  <c r="H9" i="1143"/>
  <c r="W16" i="1142"/>
  <c r="H11" i="1142"/>
  <c r="H12" i="1142"/>
  <c r="H9" i="1142"/>
  <c r="H28" i="1143" s="1"/>
  <c r="Y33" i="1134" l="1"/>
  <c r="BH16" i="1142"/>
  <c r="AE46" i="1140"/>
  <c r="H69" i="1145"/>
  <c r="H30" i="1143"/>
  <c r="H21" i="1143"/>
  <c r="I32" i="1139"/>
  <c r="J32" i="1139" l="1"/>
  <c r="N21" i="1134" l="1"/>
  <c r="W39" i="1143"/>
  <c r="BS39" i="1143" s="1"/>
  <c r="W40" i="1143"/>
  <c r="AJ40" i="1143"/>
  <c r="AI40" i="1143"/>
  <c r="AH40" i="1143"/>
  <c r="AF40" i="1143"/>
  <c r="AD40" i="1143"/>
  <c r="AC40" i="1143"/>
  <c r="AB40" i="1143"/>
  <c r="AA40" i="1143"/>
  <c r="Z40" i="1143"/>
  <c r="Y40" i="1143"/>
  <c r="X40" i="1143"/>
  <c r="W38" i="1143"/>
  <c r="W25" i="1143"/>
  <c r="W36" i="1143"/>
  <c r="BS36" i="1143" s="1"/>
  <c r="W32" i="1143"/>
  <c r="AK32" i="1143"/>
  <c r="AH32" i="1143"/>
  <c r="AG32" i="1143"/>
  <c r="AF32" i="1143"/>
  <c r="AE32" i="1143"/>
  <c r="AD32" i="1143"/>
  <c r="AC32" i="1143"/>
  <c r="AB32" i="1143"/>
  <c r="AA32" i="1143"/>
  <c r="Z32" i="1143"/>
  <c r="Y32" i="1143"/>
  <c r="X32" i="1143"/>
  <c r="W29" i="1143"/>
  <c r="W27" i="1143"/>
  <c r="BS27" i="1143" s="1"/>
  <c r="Y21" i="1134" l="1"/>
  <c r="BS25" i="1143"/>
  <c r="BS38" i="1143"/>
  <c r="BS40" i="1143"/>
  <c r="BS32" i="1143"/>
  <c r="BS29" i="1143"/>
  <c r="W34" i="1143"/>
  <c r="W20" i="1143"/>
  <c r="W18" i="1143"/>
  <c r="BB18" i="1143" s="1"/>
  <c r="W19" i="1143"/>
  <c r="X9" i="1143"/>
  <c r="Y9" i="1143"/>
  <c r="Z9" i="1143"/>
  <c r="AA9" i="1143"/>
  <c r="AB9" i="1143"/>
  <c r="AC9" i="1143"/>
  <c r="AD9" i="1143"/>
  <c r="AE9" i="1143"/>
  <c r="AF9" i="1143"/>
  <c r="AG9" i="1143"/>
  <c r="AH9" i="1143"/>
  <c r="AI9" i="1143"/>
  <c r="AJ9" i="1143"/>
  <c r="AK9" i="1143"/>
  <c r="W12" i="1143"/>
  <c r="BB12" i="1143" s="1"/>
  <c r="W13" i="1143"/>
  <c r="BB13" i="1143" s="1"/>
  <c r="W11" i="1143"/>
  <c r="BB11" i="1143" s="1"/>
  <c r="W21" i="1142"/>
  <c r="W20" i="1142"/>
  <c r="W13" i="1142"/>
  <c r="W12" i="1142"/>
  <c r="W11" i="1142"/>
  <c r="W9" i="1142"/>
  <c r="BH9" i="1142" s="1"/>
  <c r="BH11" i="1142" l="1"/>
  <c r="BH13" i="1142"/>
  <c r="BH20" i="1142"/>
  <c r="BH12" i="1142"/>
  <c r="BH21" i="1142"/>
  <c r="BS20" i="1143"/>
  <c r="BS11" i="1143"/>
  <c r="BS34" i="1143"/>
  <c r="BS12" i="1143"/>
  <c r="BS13" i="1143"/>
  <c r="BS19" i="1143"/>
  <c r="BS18" i="1143"/>
  <c r="AT46" i="1140"/>
  <c r="W69" i="1145"/>
  <c r="W30" i="1143"/>
  <c r="W9" i="1143"/>
  <c r="BB9" i="1143" s="1"/>
  <c r="W21" i="1143"/>
  <c r="BB21" i="1143" s="1"/>
  <c r="W28" i="1143"/>
  <c r="BS28" i="1143" s="1"/>
  <c r="X86" i="1144"/>
  <c r="W85" i="1144"/>
  <c r="AH84" i="1144"/>
  <c r="X84" i="1144"/>
  <c r="W83" i="1144"/>
  <c r="AK82" i="1144"/>
  <c r="AJ82" i="1144"/>
  <c r="AI82" i="1144"/>
  <c r="AH82" i="1144"/>
  <c r="AG82" i="1144"/>
  <c r="AF82" i="1144"/>
  <c r="AE82" i="1144"/>
  <c r="AD82" i="1144"/>
  <c r="AC82" i="1144"/>
  <c r="AB82" i="1144"/>
  <c r="AA82" i="1144"/>
  <c r="Z82" i="1144"/>
  <c r="Y82" i="1144"/>
  <c r="X82" i="1144"/>
  <c r="W81" i="1144"/>
  <c r="AK80" i="1144"/>
  <c r="AJ80" i="1144"/>
  <c r="AI80" i="1144"/>
  <c r="AH80" i="1144"/>
  <c r="AG80" i="1144"/>
  <c r="AF80" i="1144"/>
  <c r="AE80" i="1144"/>
  <c r="AD80" i="1144"/>
  <c r="AC80" i="1144"/>
  <c r="AB80" i="1144"/>
  <c r="AA80" i="1144"/>
  <c r="Z80" i="1144"/>
  <c r="Y80" i="1144"/>
  <c r="X80" i="1144"/>
  <c r="W79" i="1144"/>
  <c r="AK78" i="1144"/>
  <c r="AJ78" i="1144"/>
  <c r="AI78" i="1144"/>
  <c r="AH78" i="1144"/>
  <c r="AG78" i="1144"/>
  <c r="AF78" i="1144"/>
  <c r="AE78" i="1144"/>
  <c r="AD78" i="1144"/>
  <c r="AC78" i="1144"/>
  <c r="AB78" i="1144"/>
  <c r="AA78" i="1144"/>
  <c r="Z78" i="1144"/>
  <c r="Y78" i="1144"/>
  <c r="X78" i="1144"/>
  <c r="W77" i="1144"/>
  <c r="AK75" i="1144"/>
  <c r="AK76" i="1144" s="1"/>
  <c r="AJ75" i="1144"/>
  <c r="AJ76" i="1144" s="1"/>
  <c r="AI75" i="1144"/>
  <c r="AI76" i="1144" s="1"/>
  <c r="AH75" i="1144"/>
  <c r="AH76" i="1144" s="1"/>
  <c r="AG75" i="1144"/>
  <c r="AG76" i="1144" s="1"/>
  <c r="AF75" i="1144"/>
  <c r="AF76" i="1144" s="1"/>
  <c r="AE75" i="1144"/>
  <c r="AE76" i="1144" s="1"/>
  <c r="AD75" i="1144"/>
  <c r="AD76" i="1144" s="1"/>
  <c r="AC75" i="1144"/>
  <c r="AC76" i="1144" s="1"/>
  <c r="AB75" i="1144"/>
  <c r="AB76" i="1144" s="1"/>
  <c r="AA75" i="1144"/>
  <c r="AA76" i="1144" s="1"/>
  <c r="Z75" i="1144"/>
  <c r="Z76" i="1144" s="1"/>
  <c r="Y75" i="1144"/>
  <c r="Y76" i="1144" s="1"/>
  <c r="X75" i="1144"/>
  <c r="X76" i="1144" s="1"/>
  <c r="W74" i="1144"/>
  <c r="W73" i="1144"/>
  <c r="W72" i="1144"/>
  <c r="W71" i="1144"/>
  <c r="W70" i="1144"/>
  <c r="AK69" i="1144"/>
  <c r="AJ69" i="1144"/>
  <c r="AI69" i="1144"/>
  <c r="AH69" i="1144"/>
  <c r="AG69" i="1144"/>
  <c r="AF69" i="1144"/>
  <c r="AE69" i="1144"/>
  <c r="AD69" i="1144"/>
  <c r="AC69" i="1144"/>
  <c r="AB69" i="1144"/>
  <c r="AA69" i="1144"/>
  <c r="Z69" i="1144"/>
  <c r="Y69" i="1144"/>
  <c r="X69" i="1144"/>
  <c r="W69" i="1144"/>
  <c r="W68" i="1144"/>
  <c r="W67" i="1144"/>
  <c r="W66" i="1144"/>
  <c r="W65" i="1144"/>
  <c r="W64" i="1144"/>
  <c r="W63" i="1144"/>
  <c r="W62" i="1144"/>
  <c r="W61" i="1144"/>
  <c r="W60" i="1144"/>
  <c r="AK59" i="1144"/>
  <c r="AJ59" i="1144"/>
  <c r="AI59" i="1144"/>
  <c r="AH59" i="1144"/>
  <c r="AG59" i="1144"/>
  <c r="AF59" i="1144"/>
  <c r="AE59" i="1144"/>
  <c r="AD59" i="1144"/>
  <c r="AC59" i="1144"/>
  <c r="AB59" i="1144"/>
  <c r="AA59" i="1144"/>
  <c r="Z59" i="1144"/>
  <c r="Y59" i="1144"/>
  <c r="X59" i="1144"/>
  <c r="W59" i="1144"/>
  <c r="BE59" i="1144" s="1"/>
  <c r="X58" i="1144"/>
  <c r="W57" i="1144"/>
  <c r="W55" i="1144"/>
  <c r="AK54" i="1144"/>
  <c r="AJ54" i="1144"/>
  <c r="AI54" i="1144"/>
  <c r="AH54" i="1144"/>
  <c r="AG54" i="1144"/>
  <c r="AF54" i="1144"/>
  <c r="AE54" i="1144"/>
  <c r="AD54" i="1144"/>
  <c r="AC54" i="1144"/>
  <c r="AB54" i="1144"/>
  <c r="AA54" i="1144"/>
  <c r="Z54" i="1144"/>
  <c r="Y54" i="1144"/>
  <c r="X54" i="1144"/>
  <c r="W53" i="1144"/>
  <c r="AK52" i="1144"/>
  <c r="AJ52" i="1144"/>
  <c r="AI52" i="1144"/>
  <c r="AH52" i="1144"/>
  <c r="AG52" i="1144"/>
  <c r="AF52" i="1144"/>
  <c r="AE52" i="1144"/>
  <c r="AD52" i="1144"/>
  <c r="AC52" i="1144"/>
  <c r="AB52" i="1144"/>
  <c r="AA52" i="1144"/>
  <c r="Z52" i="1144"/>
  <c r="Y52" i="1144"/>
  <c r="X52" i="1144"/>
  <c r="W51" i="1144"/>
  <c r="AK50" i="1144"/>
  <c r="AJ50" i="1144"/>
  <c r="AI50" i="1144"/>
  <c r="AH50" i="1144"/>
  <c r="AG50" i="1144"/>
  <c r="AF50" i="1144"/>
  <c r="AE50" i="1144"/>
  <c r="AD50" i="1144"/>
  <c r="AC50" i="1144"/>
  <c r="AB50" i="1144"/>
  <c r="AA50" i="1144"/>
  <c r="Z50" i="1144"/>
  <c r="Y50" i="1144"/>
  <c r="X50" i="1144"/>
  <c r="W49" i="1144"/>
  <c r="AK47" i="1144"/>
  <c r="AK48" i="1144" s="1"/>
  <c r="AJ47" i="1144"/>
  <c r="AJ48" i="1144" s="1"/>
  <c r="AI47" i="1144"/>
  <c r="AI48" i="1144" s="1"/>
  <c r="AH47" i="1144"/>
  <c r="AH48" i="1144" s="1"/>
  <c r="AG47" i="1144"/>
  <c r="AG48" i="1144" s="1"/>
  <c r="AF47" i="1144"/>
  <c r="AF48" i="1144" s="1"/>
  <c r="AE47" i="1144"/>
  <c r="AE48" i="1144" s="1"/>
  <c r="AD47" i="1144"/>
  <c r="AD48" i="1144" s="1"/>
  <c r="AC47" i="1144"/>
  <c r="AC48" i="1144" s="1"/>
  <c r="AB47" i="1144"/>
  <c r="AB48" i="1144" s="1"/>
  <c r="AA47" i="1144"/>
  <c r="AA48" i="1144" s="1"/>
  <c r="Z47" i="1144"/>
  <c r="Z48" i="1144" s="1"/>
  <c r="Y47" i="1144"/>
  <c r="Y48" i="1144" s="1"/>
  <c r="X47" i="1144"/>
  <c r="X48" i="1144" s="1"/>
  <c r="W46" i="1144"/>
  <c r="W45" i="1144"/>
  <c r="W44" i="1144"/>
  <c r="W43" i="1144"/>
  <c r="W41" i="1144"/>
  <c r="W40" i="1144"/>
  <c r="BE40" i="1144" s="1"/>
  <c r="W39" i="1144"/>
  <c r="BE39" i="1144" s="1"/>
  <c r="W38" i="1144"/>
  <c r="BE38" i="1144" s="1"/>
  <c r="W37" i="1144"/>
  <c r="W36" i="1144"/>
  <c r="W34" i="1144"/>
  <c r="BE34" i="1144" s="1"/>
  <c r="W29" i="1144"/>
  <c r="W28" i="1144"/>
  <c r="BE28" i="1144" s="1"/>
  <c r="W27" i="1144"/>
  <c r="W26" i="1144"/>
  <c r="W25" i="1144"/>
  <c r="AK23" i="1144"/>
  <c r="AJ23" i="1144"/>
  <c r="AI23" i="1144"/>
  <c r="AH23" i="1144"/>
  <c r="AG23" i="1144"/>
  <c r="AF23" i="1144"/>
  <c r="AE23" i="1144"/>
  <c r="AD23" i="1144"/>
  <c r="AC23" i="1144"/>
  <c r="AB23" i="1144"/>
  <c r="AA23" i="1144"/>
  <c r="Z23" i="1144"/>
  <c r="Y23" i="1144"/>
  <c r="X23" i="1144"/>
  <c r="W22" i="1144"/>
  <c r="W21" i="1144"/>
  <c r="BE21" i="1144" s="1"/>
  <c r="W20" i="1144"/>
  <c r="W19" i="1144"/>
  <c r="W18" i="1144"/>
  <c r="W17" i="1144"/>
  <c r="W15" i="1144"/>
  <c r="AK14" i="1144"/>
  <c r="AJ14" i="1144"/>
  <c r="AI14" i="1144"/>
  <c r="AH14" i="1144"/>
  <c r="AG14" i="1144"/>
  <c r="AF14" i="1144"/>
  <c r="AE14" i="1144"/>
  <c r="AD14" i="1144"/>
  <c r="AC14" i="1144"/>
  <c r="AB14" i="1144"/>
  <c r="AA14" i="1144"/>
  <c r="Z14" i="1144"/>
  <c r="Y14" i="1144"/>
  <c r="X14" i="1144"/>
  <c r="W13" i="1144"/>
  <c r="BE13" i="1144" s="1"/>
  <c r="W12" i="1144"/>
  <c r="BE12" i="1144" s="1"/>
  <c r="AK11" i="1144"/>
  <c r="AK10" i="1144" s="1"/>
  <c r="AJ11" i="1144"/>
  <c r="AI11" i="1144"/>
  <c r="AI10" i="1144" s="1"/>
  <c r="AH11" i="1144"/>
  <c r="AG11" i="1144"/>
  <c r="AG10" i="1144" s="1"/>
  <c r="AF11" i="1144"/>
  <c r="AE11" i="1144"/>
  <c r="AE10" i="1144" s="1"/>
  <c r="AD11" i="1144"/>
  <c r="AC11" i="1144"/>
  <c r="AC10" i="1144" s="1"/>
  <c r="AB11" i="1144"/>
  <c r="AA11" i="1144"/>
  <c r="AA10" i="1144" s="1"/>
  <c r="Z11" i="1144"/>
  <c r="Y11" i="1144"/>
  <c r="Y10" i="1144" s="1"/>
  <c r="X11" i="1144"/>
  <c r="W11" i="1144"/>
  <c r="BE11" i="1144" s="1"/>
  <c r="AJ10" i="1144"/>
  <c r="AH10" i="1144"/>
  <c r="AF10" i="1144"/>
  <c r="AD10" i="1144"/>
  <c r="AB10" i="1144"/>
  <c r="Z10" i="1144"/>
  <c r="I86" i="1144"/>
  <c r="H85" i="1144"/>
  <c r="S84" i="1144"/>
  <c r="I84" i="1144"/>
  <c r="H83" i="1144"/>
  <c r="V82" i="1144"/>
  <c r="U82" i="1144"/>
  <c r="T82" i="1144"/>
  <c r="S82" i="1144"/>
  <c r="R82" i="1144"/>
  <c r="Q82" i="1144"/>
  <c r="P82" i="1144"/>
  <c r="O82" i="1144"/>
  <c r="N82" i="1144"/>
  <c r="M82" i="1144"/>
  <c r="L82" i="1144"/>
  <c r="K82" i="1144"/>
  <c r="J82" i="1144"/>
  <c r="I82" i="1144"/>
  <c r="H81" i="1144"/>
  <c r="H82" i="1144" s="1"/>
  <c r="V80" i="1144"/>
  <c r="U80" i="1144"/>
  <c r="T80" i="1144"/>
  <c r="S80" i="1144"/>
  <c r="R80" i="1144"/>
  <c r="Q80" i="1144"/>
  <c r="P80" i="1144"/>
  <c r="O80" i="1144"/>
  <c r="N80" i="1144"/>
  <c r="M80" i="1144"/>
  <c r="L80" i="1144"/>
  <c r="K80" i="1144"/>
  <c r="J80" i="1144"/>
  <c r="I80" i="1144"/>
  <c r="H79" i="1144"/>
  <c r="H80" i="1144" s="1"/>
  <c r="V78" i="1144"/>
  <c r="U78" i="1144"/>
  <c r="T78" i="1144"/>
  <c r="S78" i="1144"/>
  <c r="R78" i="1144"/>
  <c r="Q78" i="1144"/>
  <c r="P78" i="1144"/>
  <c r="O78" i="1144"/>
  <c r="N78" i="1144"/>
  <c r="M78" i="1144"/>
  <c r="L78" i="1144"/>
  <c r="K78" i="1144"/>
  <c r="J78" i="1144"/>
  <c r="I78" i="1144"/>
  <c r="H77" i="1144"/>
  <c r="H78" i="1144" s="1"/>
  <c r="V75" i="1144"/>
  <c r="V76" i="1144" s="1"/>
  <c r="U75" i="1144"/>
  <c r="U76" i="1144" s="1"/>
  <c r="T75" i="1144"/>
  <c r="T76" i="1144" s="1"/>
  <c r="S75" i="1144"/>
  <c r="S76" i="1144" s="1"/>
  <c r="R75" i="1144"/>
  <c r="R76" i="1144" s="1"/>
  <c r="Q75" i="1144"/>
  <c r="Q76" i="1144" s="1"/>
  <c r="P75" i="1144"/>
  <c r="P76" i="1144" s="1"/>
  <c r="O75" i="1144"/>
  <c r="O76" i="1144" s="1"/>
  <c r="N75" i="1144"/>
  <c r="N76" i="1144" s="1"/>
  <c r="M75" i="1144"/>
  <c r="M76" i="1144" s="1"/>
  <c r="L75" i="1144"/>
  <c r="L76" i="1144" s="1"/>
  <c r="K75" i="1144"/>
  <c r="K76" i="1144" s="1"/>
  <c r="J75" i="1144"/>
  <c r="J76" i="1144" s="1"/>
  <c r="I75" i="1144"/>
  <c r="I76" i="1144" s="1"/>
  <c r="H74" i="1144"/>
  <c r="H73" i="1144"/>
  <c r="H72" i="1144"/>
  <c r="H71" i="1144"/>
  <c r="H70" i="1144"/>
  <c r="U69" i="1144"/>
  <c r="T69" i="1144"/>
  <c r="S69" i="1144"/>
  <c r="Q69" i="1144"/>
  <c r="P69" i="1144"/>
  <c r="N69" i="1144"/>
  <c r="M69" i="1144"/>
  <c r="L69" i="1144"/>
  <c r="K69" i="1144"/>
  <c r="J69" i="1144"/>
  <c r="I69" i="1144"/>
  <c r="H69" i="1144"/>
  <c r="H68" i="1144"/>
  <c r="H67" i="1144"/>
  <c r="N34" i="1134" s="1"/>
  <c r="H66" i="1144"/>
  <c r="H65" i="1144"/>
  <c r="H64" i="1144"/>
  <c r="H63" i="1144"/>
  <c r="H62" i="1144"/>
  <c r="H61" i="1144"/>
  <c r="H60" i="1144"/>
  <c r="V59" i="1144"/>
  <c r="U59" i="1144"/>
  <c r="T59" i="1144"/>
  <c r="S59" i="1144"/>
  <c r="R59" i="1144"/>
  <c r="Q59" i="1144"/>
  <c r="P59" i="1144"/>
  <c r="O59" i="1144"/>
  <c r="N59" i="1144"/>
  <c r="M59" i="1144"/>
  <c r="L59" i="1144"/>
  <c r="K59" i="1144"/>
  <c r="J59" i="1144"/>
  <c r="I59" i="1144"/>
  <c r="I58" i="1144"/>
  <c r="H57" i="1144"/>
  <c r="H58" i="1144" s="1"/>
  <c r="S56" i="1144"/>
  <c r="I56" i="1144"/>
  <c r="H55" i="1144"/>
  <c r="H56" i="1144" s="1"/>
  <c r="V54" i="1144"/>
  <c r="U54" i="1144"/>
  <c r="T54" i="1144"/>
  <c r="S54" i="1144"/>
  <c r="R54" i="1144"/>
  <c r="Q54" i="1144"/>
  <c r="P54" i="1144"/>
  <c r="O54" i="1144"/>
  <c r="N54" i="1144"/>
  <c r="M54" i="1144"/>
  <c r="L54" i="1144"/>
  <c r="K54" i="1144"/>
  <c r="J54" i="1144"/>
  <c r="I54" i="1144"/>
  <c r="H53" i="1144"/>
  <c r="H54" i="1144" s="1"/>
  <c r="V52" i="1144"/>
  <c r="U52" i="1144"/>
  <c r="T52" i="1144"/>
  <c r="S52" i="1144"/>
  <c r="R52" i="1144"/>
  <c r="Q52" i="1144"/>
  <c r="P52" i="1144"/>
  <c r="O52" i="1144"/>
  <c r="N52" i="1144"/>
  <c r="M52" i="1144"/>
  <c r="L52" i="1144"/>
  <c r="K52" i="1144"/>
  <c r="J52" i="1144"/>
  <c r="I52" i="1144"/>
  <c r="H51" i="1144"/>
  <c r="H52" i="1144" s="1"/>
  <c r="V50" i="1144"/>
  <c r="U50" i="1144"/>
  <c r="T50" i="1144"/>
  <c r="S50" i="1144"/>
  <c r="R50" i="1144"/>
  <c r="Q50" i="1144"/>
  <c r="P50" i="1144"/>
  <c r="O50" i="1144"/>
  <c r="N50" i="1144"/>
  <c r="M50" i="1144"/>
  <c r="L50" i="1144"/>
  <c r="K50" i="1144"/>
  <c r="J50" i="1144"/>
  <c r="I50" i="1144"/>
  <c r="H49" i="1144"/>
  <c r="H50" i="1144" s="1"/>
  <c r="V47" i="1144"/>
  <c r="V48" i="1144" s="1"/>
  <c r="U47" i="1144"/>
  <c r="U48" i="1144" s="1"/>
  <c r="T47" i="1144"/>
  <c r="T48" i="1144" s="1"/>
  <c r="S47" i="1144"/>
  <c r="S48" i="1144" s="1"/>
  <c r="R47" i="1144"/>
  <c r="R48" i="1144" s="1"/>
  <c r="Q47" i="1144"/>
  <c r="Q48" i="1144" s="1"/>
  <c r="P47" i="1144"/>
  <c r="P48" i="1144" s="1"/>
  <c r="O47" i="1144"/>
  <c r="O48" i="1144" s="1"/>
  <c r="N47" i="1144"/>
  <c r="N48" i="1144" s="1"/>
  <c r="M47" i="1144"/>
  <c r="M48" i="1144" s="1"/>
  <c r="L47" i="1144"/>
  <c r="L48" i="1144" s="1"/>
  <c r="K47" i="1144"/>
  <c r="K48" i="1144" s="1"/>
  <c r="J47" i="1144"/>
  <c r="J48" i="1144" s="1"/>
  <c r="I47" i="1144"/>
  <c r="I48" i="1144" s="1"/>
  <c r="H46" i="1144"/>
  <c r="H43" i="1144"/>
  <c r="H41" i="1144"/>
  <c r="H40" i="1144"/>
  <c r="H39" i="1144"/>
  <c r="H38" i="1144"/>
  <c r="H37" i="1144"/>
  <c r="H36" i="1144"/>
  <c r="H34" i="1144"/>
  <c r="H29" i="1144"/>
  <c r="J23" i="1144"/>
  <c r="K23" i="1144"/>
  <c r="L23" i="1144"/>
  <c r="M23" i="1144"/>
  <c r="N23" i="1144"/>
  <c r="O23" i="1144"/>
  <c r="P23" i="1144"/>
  <c r="Q23" i="1144"/>
  <c r="R23" i="1144"/>
  <c r="S23" i="1144"/>
  <c r="T23" i="1144"/>
  <c r="U23" i="1144"/>
  <c r="V23" i="1144"/>
  <c r="I23" i="1144"/>
  <c r="H26" i="1144"/>
  <c r="H27" i="1144"/>
  <c r="H28" i="1144"/>
  <c r="H25" i="1144"/>
  <c r="H13" i="1144"/>
  <c r="H12" i="1144"/>
  <c r="R14" i="1144"/>
  <c r="S14" i="1144"/>
  <c r="T14" i="1144"/>
  <c r="U14" i="1144"/>
  <c r="V14" i="1144"/>
  <c r="I14" i="1144"/>
  <c r="J14" i="1144"/>
  <c r="K14" i="1144"/>
  <c r="L14" i="1144"/>
  <c r="M14" i="1144"/>
  <c r="N14" i="1144"/>
  <c r="O14" i="1144"/>
  <c r="P14" i="1144"/>
  <c r="Q14" i="1144"/>
  <c r="H15" i="1144"/>
  <c r="H18" i="1144"/>
  <c r="H19" i="1144"/>
  <c r="H20" i="1144"/>
  <c r="H21" i="1144"/>
  <c r="H22" i="1144"/>
  <c r="H17" i="1144"/>
  <c r="J11" i="1144"/>
  <c r="K11" i="1144"/>
  <c r="L11" i="1144"/>
  <c r="M11" i="1144"/>
  <c r="N11" i="1144"/>
  <c r="O11" i="1144"/>
  <c r="P11" i="1144"/>
  <c r="Q11" i="1144"/>
  <c r="R11" i="1144"/>
  <c r="S11" i="1144"/>
  <c r="T11" i="1144"/>
  <c r="U11" i="1144"/>
  <c r="V11" i="1144"/>
  <c r="I11" i="1144"/>
  <c r="U10" i="1144" l="1"/>
  <c r="S10" i="1144"/>
  <c r="Q10" i="1144"/>
  <c r="O10" i="1144"/>
  <c r="M10" i="1144"/>
  <c r="K10" i="1144"/>
  <c r="V10" i="1144"/>
  <c r="T10" i="1144"/>
  <c r="R10" i="1144"/>
  <c r="P10" i="1144"/>
  <c r="N10" i="1144"/>
  <c r="L10" i="1144"/>
  <c r="J10" i="1144"/>
  <c r="H47" i="1144"/>
  <c r="H48" i="1144" s="1"/>
  <c r="W14" i="1144"/>
  <c r="BE14" i="1144" s="1"/>
  <c r="Y34" i="1134"/>
  <c r="BE17" i="1144"/>
  <c r="BE19" i="1144"/>
  <c r="BE25" i="1144"/>
  <c r="BE27" i="1144"/>
  <c r="N36" i="1134"/>
  <c r="BE36" i="1144"/>
  <c r="N38" i="1134"/>
  <c r="BE43" i="1144"/>
  <c r="N40" i="1134"/>
  <c r="BE45" i="1144"/>
  <c r="W50" i="1144"/>
  <c r="BE49" i="1144"/>
  <c r="W54" i="1144"/>
  <c r="BE53" i="1144"/>
  <c r="BE57" i="1144"/>
  <c r="BE61" i="1144"/>
  <c r="BE63" i="1144"/>
  <c r="BE65" i="1144"/>
  <c r="BE67" i="1144"/>
  <c r="N42" i="1134"/>
  <c r="BE69" i="1144"/>
  <c r="BE71" i="1144"/>
  <c r="BE73" i="1144"/>
  <c r="W75" i="1144"/>
  <c r="W80" i="1144"/>
  <c r="BE79" i="1144"/>
  <c r="BE83" i="1144"/>
  <c r="H14" i="1144"/>
  <c r="H10" i="1144" s="1"/>
  <c r="H59" i="1144"/>
  <c r="H75" i="1144"/>
  <c r="H76" i="1144" s="1"/>
  <c r="BE26" i="1144"/>
  <c r="BE37" i="1144"/>
  <c r="BE41" i="1144"/>
  <c r="BE44" i="1144"/>
  <c r="N41" i="1134"/>
  <c r="BE46" i="1144"/>
  <c r="W52" i="1144"/>
  <c r="BE51" i="1144"/>
  <c r="BE55" i="1144"/>
  <c r="BE60" i="1144"/>
  <c r="BE62" i="1144"/>
  <c r="BE64" i="1144"/>
  <c r="BE66" i="1144"/>
  <c r="BE68" i="1144"/>
  <c r="BE70" i="1144"/>
  <c r="BE72" i="1144"/>
  <c r="BE74" i="1144"/>
  <c r="W78" i="1144"/>
  <c r="BE77" i="1144"/>
  <c r="W82" i="1144"/>
  <c r="BE81" i="1144"/>
  <c r="BE85" i="1144"/>
  <c r="CB46" i="1140"/>
  <c r="BS9" i="1143"/>
  <c r="BS30" i="1143"/>
  <c r="BS21" i="1143"/>
  <c r="BE22" i="1144"/>
  <c r="BE15" i="1144"/>
  <c r="H11" i="1144"/>
  <c r="I10" i="1144"/>
  <c r="W23" i="1144"/>
  <c r="BE23" i="1144" s="1"/>
  <c r="N37" i="1134"/>
  <c r="N39" i="1134"/>
  <c r="N51" i="1134"/>
  <c r="H23" i="1144"/>
  <c r="W47" i="1144"/>
  <c r="X10" i="1144"/>
  <c r="W10" i="1144" s="1"/>
  <c r="D60" i="1145"/>
  <c r="D74" i="1144"/>
  <c r="D73" i="1144"/>
  <c r="D72" i="1144"/>
  <c r="D71" i="1144"/>
  <c r="D69" i="1144"/>
  <c r="D42" i="1134" s="1"/>
  <c r="D34" i="1143"/>
  <c r="D14" i="1143"/>
  <c r="Y39" i="1134" l="1"/>
  <c r="Y41" i="1134"/>
  <c r="Y42" i="1134"/>
  <c r="Y40" i="1134"/>
  <c r="Y38" i="1134"/>
  <c r="Y36" i="1134"/>
  <c r="Y51" i="1134"/>
  <c r="W48" i="1144"/>
  <c r="BE48" i="1144" s="1"/>
  <c r="BE47" i="1144"/>
  <c r="BE80" i="1144"/>
  <c r="BE82" i="1144"/>
  <c r="BE78" i="1144"/>
  <c r="BE52" i="1144"/>
  <c r="W76" i="1144"/>
  <c r="BE75" i="1144"/>
  <c r="BE54" i="1144"/>
  <c r="BE50" i="1144"/>
  <c r="Y37" i="1134"/>
  <c r="BE10" i="1144"/>
  <c r="D66" i="1134"/>
  <c r="D33" i="1134"/>
  <c r="BE76" i="1144" l="1"/>
  <c r="G73" i="1134"/>
  <c r="L6" i="1146" l="1"/>
  <c r="K6" i="1146"/>
  <c r="BB6" i="1143"/>
  <c r="BA6" i="1143"/>
  <c r="AS27" i="1140"/>
  <c r="AR27" i="1140"/>
  <c r="AQ27" i="1140"/>
  <c r="AP27" i="1140"/>
  <c r="AO27" i="1140"/>
  <c r="AN27" i="1140"/>
  <c r="AM27" i="1140"/>
  <c r="AL27" i="1140"/>
  <c r="AK27" i="1140"/>
  <c r="AJ27" i="1140"/>
  <c r="AI27" i="1140"/>
  <c r="AH27" i="1140"/>
  <c r="AG27" i="1140"/>
  <c r="AS26" i="1140"/>
  <c r="AR26" i="1140"/>
  <c r="AQ26" i="1140"/>
  <c r="AP26" i="1140"/>
  <c r="AO26" i="1140"/>
  <c r="AN26" i="1140"/>
  <c r="AM26" i="1140"/>
  <c r="AL26" i="1140"/>
  <c r="AK26" i="1140"/>
  <c r="AJ26" i="1140"/>
  <c r="AI26" i="1140"/>
  <c r="AH26" i="1140"/>
  <c r="AG26" i="1140"/>
  <c r="M6" i="1139"/>
  <c r="K6" i="1137"/>
  <c r="L6" i="1139" s="1"/>
  <c r="G20" i="1134"/>
  <c r="I22" i="1134"/>
  <c r="J22" i="1134"/>
  <c r="E23" i="1134"/>
  <c r="J23" i="1134"/>
  <c r="G28" i="1134"/>
  <c r="I28" i="1134"/>
  <c r="J28" i="1134"/>
  <c r="G29" i="1134"/>
  <c r="G30" i="1134"/>
  <c r="I30" i="1134"/>
  <c r="J31" i="1134"/>
  <c r="G32" i="1134"/>
  <c r="I32" i="1134"/>
  <c r="J32" i="1134"/>
  <c r="I34" i="1134"/>
  <c r="J34" i="1134"/>
  <c r="I36" i="1134"/>
  <c r="J36" i="1134"/>
  <c r="I38" i="1134"/>
  <c r="J38" i="1134"/>
  <c r="I39" i="1134"/>
  <c r="J39" i="1134"/>
  <c r="I40" i="1134"/>
  <c r="J40" i="1134"/>
  <c r="I41" i="1134"/>
  <c r="J41" i="1134"/>
  <c r="G50" i="1134"/>
  <c r="I50" i="1134"/>
  <c r="J50" i="1134"/>
  <c r="I52" i="1134"/>
  <c r="J52" i="1134"/>
  <c r="I53" i="1134"/>
  <c r="J53" i="1134"/>
  <c r="G55" i="1134"/>
  <c r="I55" i="1134"/>
  <c r="J55" i="1134"/>
  <c r="G56" i="1134"/>
  <c r="I56" i="1134"/>
  <c r="J56" i="1134"/>
  <c r="G57" i="1134"/>
  <c r="I57" i="1134"/>
  <c r="J57" i="1134"/>
  <c r="I61" i="1134"/>
  <c r="I62" i="1134"/>
  <c r="J62" i="1134"/>
  <c r="I63" i="1134"/>
  <c r="I64" i="1134"/>
  <c r="J64" i="1134"/>
  <c r="I67" i="1134"/>
  <c r="J67" i="1134"/>
  <c r="I68" i="1134"/>
  <c r="J68" i="1134"/>
  <c r="I69" i="1134"/>
  <c r="J69" i="1134"/>
  <c r="G70" i="1134"/>
  <c r="I70" i="1134"/>
  <c r="J70" i="1134"/>
  <c r="J73" i="1134"/>
  <c r="AE27" i="1140" l="1"/>
  <c r="AE26" i="1140"/>
  <c r="V24" i="1134"/>
  <c r="K28" i="1134" l="1"/>
  <c r="G21" i="1134"/>
  <c r="G19" i="1134"/>
  <c r="V41" i="1134"/>
  <c r="V40" i="1134"/>
  <c r="G18" i="1134" l="1"/>
  <c r="AD66" i="1140"/>
  <c r="J63" i="1134" s="1"/>
  <c r="AD45" i="1140"/>
  <c r="K73" i="1134" l="1"/>
  <c r="N73" i="1134" l="1"/>
  <c r="K31" i="1134"/>
  <c r="G54" i="1145"/>
  <c r="G60" i="1145"/>
  <c r="G25" i="1145"/>
  <c r="F25" i="1145"/>
  <c r="J66" i="1134" l="1"/>
  <c r="G20" i="1145"/>
  <c r="F20" i="1145"/>
  <c r="V66" i="1134" l="1"/>
  <c r="G25" i="1137"/>
  <c r="G8" i="1137"/>
  <c r="G14" i="1136"/>
  <c r="F19" i="1136"/>
  <c r="G19" i="1136"/>
  <c r="J30" i="1134" l="1"/>
  <c r="G13" i="1136"/>
  <c r="G22" i="1146"/>
  <c r="G17" i="1146"/>
  <c r="BM18" i="1143" l="1"/>
  <c r="BG18" i="1143"/>
  <c r="BC18" i="1143"/>
  <c r="BP9" i="1143"/>
  <c r="BO9" i="1143"/>
  <c r="BN9" i="1143"/>
  <c r="BM9" i="1143"/>
  <c r="BL9" i="1143"/>
  <c r="BK9" i="1143"/>
  <c r="BJ9" i="1143"/>
  <c r="BI9" i="1143"/>
  <c r="BH9" i="1143"/>
  <c r="BG9" i="1143"/>
  <c r="BF9" i="1143"/>
  <c r="BE9" i="1143"/>
  <c r="BD9" i="1143"/>
  <c r="BC9" i="1143"/>
  <c r="J20" i="1134" l="1"/>
  <c r="V20" i="1134" s="1"/>
  <c r="G54" i="1143"/>
  <c r="G53" i="1143"/>
  <c r="G52" i="1143"/>
  <c r="G49" i="1143"/>
  <c r="G48" i="1143"/>
  <c r="F40" i="1143"/>
  <c r="G40" i="1143"/>
  <c r="G34" i="1143"/>
  <c r="G30" i="1143"/>
  <c r="G32" i="1143"/>
  <c r="G28" i="1143"/>
  <c r="G18" i="1143"/>
  <c r="G9" i="1143"/>
  <c r="G14" i="1143"/>
  <c r="G9" i="1142"/>
  <c r="J33" i="1134" l="1"/>
  <c r="J51" i="1134"/>
  <c r="G21" i="1143"/>
  <c r="AD46" i="1140"/>
  <c r="G69" i="1145"/>
  <c r="G75" i="1144"/>
  <c r="G82" i="1144"/>
  <c r="G80" i="1144"/>
  <c r="G78" i="1144"/>
  <c r="G76" i="1144"/>
  <c r="G69" i="1144"/>
  <c r="G74" i="1144"/>
  <c r="G73" i="1144"/>
  <c r="G72" i="1144"/>
  <c r="G71" i="1144"/>
  <c r="G59" i="1144"/>
  <c r="G47" i="1144"/>
  <c r="G54" i="1144"/>
  <c r="G52" i="1144"/>
  <c r="G50" i="1144"/>
  <c r="G48" i="1144"/>
  <c r="G23" i="1144"/>
  <c r="G14" i="1144"/>
  <c r="G11" i="1144"/>
  <c r="G10" i="1144" l="1"/>
  <c r="J42" i="1134"/>
  <c r="J18" i="1134"/>
  <c r="V18" i="1134" s="1"/>
  <c r="J21" i="1134" l="1"/>
  <c r="V21" i="1134" s="1"/>
  <c r="F14" i="1143" l="1"/>
  <c r="I33" i="1134" s="1"/>
  <c r="F52" i="1143" l="1"/>
  <c r="F32" i="1143" l="1"/>
  <c r="F28" i="1143" l="1"/>
  <c r="I51" i="1134" s="1"/>
  <c r="F54" i="1145" l="1"/>
  <c r="K52" i="1134" l="1"/>
  <c r="K64" i="1134"/>
  <c r="K63" i="1134"/>
  <c r="K62" i="1134"/>
  <c r="K61" i="1134"/>
  <c r="F8" i="1137"/>
  <c r="F25" i="1137"/>
  <c r="F14" i="1136"/>
  <c r="K30" i="1134"/>
  <c r="K53" i="1134"/>
  <c r="K70" i="1134"/>
  <c r="K66" i="1134"/>
  <c r="K57" i="1134"/>
  <c r="K56" i="1134"/>
  <c r="K55" i="1134"/>
  <c r="K50" i="1134"/>
  <c r="K34" i="1134"/>
  <c r="K42" i="1134"/>
  <c r="K41" i="1134"/>
  <c r="K40" i="1134"/>
  <c r="K39" i="1134"/>
  <c r="K38" i="1134"/>
  <c r="K36" i="1134"/>
  <c r="E43" i="1144"/>
  <c r="F46" i="1143"/>
  <c r="F34" i="1143"/>
  <c r="F30" i="1143"/>
  <c r="F21" i="1143"/>
  <c r="BA21" i="1143" s="1"/>
  <c r="K33" i="1134"/>
  <c r="F9" i="1143"/>
  <c r="BA9" i="1143" s="1"/>
  <c r="F82" i="1144"/>
  <c r="F80" i="1144"/>
  <c r="F75" i="1144"/>
  <c r="F76" i="1144" s="1"/>
  <c r="F74" i="1144"/>
  <c r="F73" i="1144"/>
  <c r="F72" i="1144"/>
  <c r="F71" i="1144"/>
  <c r="F69" i="1144"/>
  <c r="I42" i="1134" s="1"/>
  <c r="F59" i="1144"/>
  <c r="F54" i="1144"/>
  <c r="F52" i="1144"/>
  <c r="F50" i="1144"/>
  <c r="F47" i="1144"/>
  <c r="F48" i="1144" s="1"/>
  <c r="F23" i="1144"/>
  <c r="F14" i="1144"/>
  <c r="F11" i="1144"/>
  <c r="F60" i="1145"/>
  <c r="I66" i="1134" s="1"/>
  <c r="F22" i="1146"/>
  <c r="K23" i="1134"/>
  <c r="K22" i="1134"/>
  <c r="D8" i="1168"/>
  <c r="K21" i="1134"/>
  <c r="F10" i="1167"/>
  <c r="I23" i="1134" s="1"/>
  <c r="K32" i="1134"/>
  <c r="K20" i="1134"/>
  <c r="I20" i="1134"/>
  <c r="E60" i="1144"/>
  <c r="AB75" i="1140"/>
  <c r="E10" i="1167"/>
  <c r="E30" i="1143"/>
  <c r="E32" i="1143"/>
  <c r="E35" i="1136"/>
  <c r="D17" i="1168" s="1"/>
  <c r="P16" i="1146"/>
  <c r="N14" i="1168"/>
  <c r="M14" i="1168"/>
  <c r="M13" i="1168"/>
  <c r="E35" i="1145"/>
  <c r="E60" i="1145"/>
  <c r="J11" i="1168"/>
  <c r="J12" i="1168"/>
  <c r="J13" i="1168"/>
  <c r="E73" i="1168"/>
  <c r="D73" i="1168"/>
  <c r="E72" i="1168"/>
  <c r="E71" i="1168"/>
  <c r="E70" i="1168"/>
  <c r="D71" i="1168"/>
  <c r="D72" i="1168"/>
  <c r="F72" i="1168" s="1"/>
  <c r="D70" i="1168"/>
  <c r="E65" i="1168"/>
  <c r="E66" i="1168"/>
  <c r="E67" i="1168"/>
  <c r="E68" i="1168"/>
  <c r="E69" i="1168"/>
  <c r="E64" i="1168"/>
  <c r="D65" i="1168"/>
  <c r="E63" i="1168"/>
  <c r="E62" i="1168"/>
  <c r="E61" i="1168"/>
  <c r="F60" i="1168"/>
  <c r="E52" i="1168"/>
  <c r="E53" i="1168"/>
  <c r="E54" i="1168"/>
  <c r="E55" i="1168"/>
  <c r="E56" i="1168"/>
  <c r="E57" i="1168"/>
  <c r="E58" i="1168"/>
  <c r="E59" i="1168"/>
  <c r="E51" i="1168"/>
  <c r="D61" i="1168"/>
  <c r="D62" i="1168"/>
  <c r="E49" i="1168"/>
  <c r="E50" i="1168"/>
  <c r="E48" i="1168"/>
  <c r="E44" i="1168"/>
  <c r="E43" i="1168"/>
  <c r="E42" i="1168"/>
  <c r="F41" i="1168"/>
  <c r="F45" i="1168"/>
  <c r="F46" i="1168"/>
  <c r="F47" i="1168"/>
  <c r="E40" i="1168"/>
  <c r="D40" i="1168"/>
  <c r="E39" i="1168"/>
  <c r="E38" i="1168"/>
  <c r="D39" i="1168"/>
  <c r="D38" i="1168"/>
  <c r="F38" i="1168" s="1"/>
  <c r="E33" i="1168"/>
  <c r="E34" i="1168"/>
  <c r="E35" i="1168"/>
  <c r="E36" i="1168"/>
  <c r="E37" i="1168"/>
  <c r="E32" i="1168"/>
  <c r="D36" i="1168"/>
  <c r="E31" i="1168"/>
  <c r="E30" i="1168"/>
  <c r="E29" i="1168"/>
  <c r="D29" i="1168"/>
  <c r="E27" i="1168"/>
  <c r="E26" i="1168"/>
  <c r="E25" i="1168"/>
  <c r="E24" i="1168"/>
  <c r="E23" i="1168"/>
  <c r="E22" i="1168"/>
  <c r="E21" i="1168"/>
  <c r="E20" i="1168"/>
  <c r="F71" i="1168"/>
  <c r="F65" i="1168"/>
  <c r="E18" i="1168"/>
  <c r="E17" i="1168"/>
  <c r="D18" i="1168"/>
  <c r="F18" i="1168" s="1"/>
  <c r="F13" i="1168"/>
  <c r="F9" i="1168"/>
  <c r="F10" i="1168"/>
  <c r="F11" i="1168"/>
  <c r="F12" i="1168"/>
  <c r="E15" i="1168"/>
  <c r="E14" i="1168"/>
  <c r="F7" i="1168"/>
  <c r="E8" i="1168"/>
  <c r="E19" i="1136"/>
  <c r="H19" i="1136" s="1"/>
  <c r="E14" i="1136"/>
  <c r="E22" i="1146"/>
  <c r="E57" i="1144"/>
  <c r="E55" i="1144"/>
  <c r="E53" i="1144"/>
  <c r="E51" i="1144"/>
  <c r="E49" i="1144"/>
  <c r="E85" i="1144"/>
  <c r="E83" i="1144"/>
  <c r="E81" i="1144"/>
  <c r="E79" i="1144"/>
  <c r="E77" i="1144"/>
  <c r="E75" i="1144" s="1"/>
  <c r="E58" i="1145"/>
  <c r="E39" i="1143"/>
  <c r="E38" i="1143"/>
  <c r="E34" i="1143"/>
  <c r="E27" i="1143"/>
  <c r="E25" i="1143"/>
  <c r="E14" i="1143"/>
  <c r="E20" i="1143"/>
  <c r="E19" i="1143"/>
  <c r="E15" i="1143"/>
  <c r="E13" i="1143"/>
  <c r="E12" i="1143"/>
  <c r="E11" i="1143"/>
  <c r="E20" i="1142"/>
  <c r="E9" i="1143"/>
  <c r="D34" i="1168"/>
  <c r="E18" i="1143"/>
  <c r="E13" i="1142"/>
  <c r="E16" i="1142"/>
  <c r="E15" i="1142"/>
  <c r="E12" i="1142"/>
  <c r="E11" i="1142"/>
  <c r="E38" i="1145"/>
  <c r="E37" i="1145"/>
  <c r="E34" i="1145"/>
  <c r="E31" i="1145"/>
  <c r="E30" i="1145"/>
  <c r="D57" i="1168"/>
  <c r="AB71" i="1140"/>
  <c r="AB70" i="1140"/>
  <c r="D27" i="1168" s="1"/>
  <c r="E74" i="1145"/>
  <c r="E73" i="1145"/>
  <c r="E71" i="1145"/>
  <c r="E70" i="1145"/>
  <c r="E68" i="1145"/>
  <c r="E67" i="1145"/>
  <c r="E66" i="1145"/>
  <c r="E65" i="1145"/>
  <c r="E64" i="1145"/>
  <c r="E63" i="1145"/>
  <c r="E62" i="1145"/>
  <c r="E57" i="1145"/>
  <c r="E56" i="1145"/>
  <c r="D66" i="1168" s="1"/>
  <c r="F66" i="1168" s="1"/>
  <c r="E51" i="1145"/>
  <c r="E49" i="1145"/>
  <c r="E45" i="1145"/>
  <c r="E42" i="1145"/>
  <c r="E27" i="1145"/>
  <c r="E26" i="1145"/>
  <c r="E22" i="1145"/>
  <c r="E21" i="1145"/>
  <c r="D49" i="1168" s="1"/>
  <c r="F49" i="1168" s="1"/>
  <c r="E18" i="1145"/>
  <c r="E16" i="1145"/>
  <c r="E12" i="1145"/>
  <c r="E29" i="1145"/>
  <c r="E17" i="1145"/>
  <c r="D50" i="1168"/>
  <c r="D67" i="1168"/>
  <c r="F67" i="1168" s="1"/>
  <c r="D69" i="1168"/>
  <c r="F69" i="1168" s="1"/>
  <c r="E13" i="1144"/>
  <c r="E12" i="1144"/>
  <c r="E22" i="1144"/>
  <c r="E21" i="1144"/>
  <c r="E20" i="1144"/>
  <c r="E19" i="1144"/>
  <c r="E18" i="1144"/>
  <c r="E17" i="1144"/>
  <c r="E15" i="1144"/>
  <c r="E34" i="1144"/>
  <c r="E29" i="1144"/>
  <c r="E28" i="1144"/>
  <c r="E27" i="1144"/>
  <c r="E26" i="1144"/>
  <c r="E25" i="1144"/>
  <c r="E46" i="1144"/>
  <c r="E45" i="1144"/>
  <c r="E44" i="1144"/>
  <c r="E41" i="1144"/>
  <c r="E40" i="1144"/>
  <c r="E39" i="1144"/>
  <c r="E38" i="1144"/>
  <c r="E36" i="1144"/>
  <c r="E67" i="1144"/>
  <c r="E66" i="1144"/>
  <c r="E65" i="1144"/>
  <c r="E64" i="1144"/>
  <c r="E63" i="1144"/>
  <c r="E62" i="1144"/>
  <c r="E61" i="1144"/>
  <c r="E74" i="1144"/>
  <c r="E73" i="1144"/>
  <c r="E72" i="1144"/>
  <c r="E71" i="1144"/>
  <c r="E70" i="1144"/>
  <c r="E69" i="1144"/>
  <c r="E68" i="1144"/>
  <c r="D42" i="1168"/>
  <c r="AB76" i="1140"/>
  <c r="AB74" i="1140"/>
  <c r="F32" i="1139"/>
  <c r="AB67" i="1140"/>
  <c r="AB66" i="1140"/>
  <c r="AB60" i="1140"/>
  <c r="AB59" i="1140"/>
  <c r="AB64" i="1140"/>
  <c r="AB63" i="1140"/>
  <c r="AB62" i="1140"/>
  <c r="AB61" i="1140"/>
  <c r="AB58" i="1140"/>
  <c r="AB57" i="1140"/>
  <c r="AB52" i="1140"/>
  <c r="D26" i="1168"/>
  <c r="F26" i="1168" s="1"/>
  <c r="AB50" i="1140"/>
  <c r="AB49" i="1140"/>
  <c r="AB48" i="1140"/>
  <c r="AB18" i="1140"/>
  <c r="AB17" i="1140"/>
  <c r="AB15" i="1140"/>
  <c r="AB10" i="1140"/>
  <c r="AB9" i="1140"/>
  <c r="AB29" i="1140"/>
  <c r="AB25" i="1140"/>
  <c r="AB24" i="1140"/>
  <c r="AB23" i="1140"/>
  <c r="AB21" i="1140"/>
  <c r="AB20" i="1140"/>
  <c r="E25" i="1137"/>
  <c r="E8" i="1137"/>
  <c r="H8" i="1137" s="1"/>
  <c r="E16" i="1167"/>
  <c r="E15" i="1167"/>
  <c r="E14" i="1167"/>
  <c r="E13" i="1167"/>
  <c r="E12" i="1167"/>
  <c r="E11" i="1167"/>
  <c r="E9" i="1167"/>
  <c r="D36" i="1139"/>
  <c r="B29" i="1134"/>
  <c r="B28" i="1134"/>
  <c r="A3" i="1140"/>
  <c r="A3" i="1139" s="1"/>
  <c r="A3" i="1137"/>
  <c r="A3" i="1136"/>
  <c r="A3" i="1135"/>
  <c r="A3" i="1167" s="1"/>
  <c r="D5" i="1142"/>
  <c r="U43" i="1140"/>
  <c r="L25" i="1165"/>
  <c r="L24" i="1165"/>
  <c r="L18" i="1165"/>
  <c r="U71" i="1140"/>
  <c r="U70" i="1140"/>
  <c r="U55" i="1140"/>
  <c r="U54" i="1140"/>
  <c r="U74" i="1140"/>
  <c r="U75" i="1140" s="1"/>
  <c r="U76" i="1140"/>
  <c r="U67" i="1140"/>
  <c r="U66" i="1140"/>
  <c r="U62" i="1140"/>
  <c r="U61" i="1140"/>
  <c r="U60" i="1140"/>
  <c r="U59" i="1140"/>
  <c r="U53" i="1140"/>
  <c r="U52" i="1140"/>
  <c r="U50" i="1140"/>
  <c r="U49" i="1140"/>
  <c r="U48" i="1140"/>
  <c r="U45" i="1140"/>
  <c r="U41" i="1140"/>
  <c r="V11" i="1140"/>
  <c r="W11" i="1140"/>
  <c r="W13" i="1140" s="1"/>
  <c r="W14" i="1140" s="1"/>
  <c r="X11" i="1140"/>
  <c r="X12" i="1140" s="1"/>
  <c r="Y11" i="1140"/>
  <c r="Z11" i="1140"/>
  <c r="Z13" i="1140" s="1"/>
  <c r="Z14" i="1140" s="1"/>
  <c r="Z16" i="1140"/>
  <c r="Y16" i="1140"/>
  <c r="X16" i="1140"/>
  <c r="W16" i="1140"/>
  <c r="V16" i="1140"/>
  <c r="X13" i="1140"/>
  <c r="X14" i="1140" s="1"/>
  <c r="D38" i="1139"/>
  <c r="Z46" i="1140"/>
  <c r="V46" i="1140"/>
  <c r="U29" i="1140"/>
  <c r="U28" i="1140"/>
  <c r="U25" i="1140"/>
  <c r="U24" i="1140"/>
  <c r="U23" i="1140"/>
  <c r="U21" i="1140"/>
  <c r="U20" i="1140"/>
  <c r="J32" i="1165"/>
  <c r="J31" i="1165" s="1"/>
  <c r="I32" i="1165"/>
  <c r="I31" i="1165" s="1"/>
  <c r="K31" i="1165" s="1"/>
  <c r="K14" i="1165"/>
  <c r="L14" i="1165"/>
  <c r="K15" i="1165"/>
  <c r="L15" i="1165"/>
  <c r="K16" i="1165"/>
  <c r="L16" i="1165"/>
  <c r="K19" i="1165"/>
  <c r="L19" i="1165"/>
  <c r="K21" i="1165"/>
  <c r="L21" i="1165"/>
  <c r="K22" i="1165"/>
  <c r="L22" i="1165"/>
  <c r="K23" i="1165"/>
  <c r="L23" i="1165"/>
  <c r="K33" i="1165"/>
  <c r="L33" i="1165"/>
  <c r="K34" i="1165"/>
  <c r="L34" i="1165"/>
  <c r="K35" i="1165"/>
  <c r="L35" i="1165"/>
  <c r="K36" i="1165"/>
  <c r="L36" i="1165"/>
  <c r="L13" i="1165"/>
  <c r="K13" i="1165"/>
  <c r="K10" i="1165"/>
  <c r="L10" i="1165"/>
  <c r="K11" i="1165"/>
  <c r="L9" i="1165"/>
  <c r="K9" i="1165"/>
  <c r="J30" i="1165"/>
  <c r="I28" i="1165"/>
  <c r="K28" i="1165" s="1"/>
  <c r="J28" i="1165"/>
  <c r="I29" i="1165"/>
  <c r="K29" i="1165" s="1"/>
  <c r="J29" i="1165"/>
  <c r="I30" i="1165"/>
  <c r="K30" i="1165" s="1"/>
  <c r="D52" i="1140"/>
  <c r="D53" i="1140"/>
  <c r="D54" i="1140"/>
  <c r="S28" i="1140"/>
  <c r="T28" i="1140"/>
  <c r="T46" i="1140"/>
  <c r="T16" i="1140"/>
  <c r="T11" i="1140"/>
  <c r="H27" i="1165"/>
  <c r="H32" i="1165"/>
  <c r="H31" i="1165" s="1"/>
  <c r="G27" i="1165"/>
  <c r="S75" i="1140"/>
  <c r="S46" i="1140"/>
  <c r="S16" i="1140"/>
  <c r="S11" i="1140"/>
  <c r="S13" i="1140" s="1"/>
  <c r="G10" i="1165"/>
  <c r="G32" i="1165"/>
  <c r="F27" i="1165"/>
  <c r="C63" i="1163"/>
  <c r="B63" i="1163"/>
  <c r="C62" i="1163"/>
  <c r="B61" i="1163"/>
  <c r="C60" i="1163"/>
  <c r="B60" i="1163"/>
  <c r="C59" i="1163"/>
  <c r="B59" i="1163"/>
  <c r="F58" i="1163"/>
  <c r="D57" i="1163"/>
  <c r="F57" i="1163" s="1"/>
  <c r="C57" i="1163"/>
  <c r="B57" i="1163"/>
  <c r="D56" i="1163"/>
  <c r="F56" i="1163" s="1"/>
  <c r="C56" i="1163"/>
  <c r="B56" i="1163"/>
  <c r="D55" i="1163"/>
  <c r="F55" i="1163" s="1"/>
  <c r="C55" i="1163"/>
  <c r="B55" i="1163"/>
  <c r="F54" i="1163"/>
  <c r="C53" i="1163"/>
  <c r="C51" i="1163"/>
  <c r="B51" i="1163"/>
  <c r="C50" i="1163"/>
  <c r="B50" i="1163"/>
  <c r="C49" i="1163"/>
  <c r="B49" i="1163"/>
  <c r="C48" i="1163"/>
  <c r="B48" i="1163"/>
  <c r="C46" i="1163"/>
  <c r="B46" i="1163"/>
  <c r="D45" i="1163"/>
  <c r="F45" i="1163" s="1"/>
  <c r="C45" i="1163"/>
  <c r="B45" i="1163"/>
  <c r="C44" i="1163"/>
  <c r="B44" i="1163"/>
  <c r="D43" i="1163"/>
  <c r="F43" i="1163" s="1"/>
  <c r="C43" i="1163"/>
  <c r="B43" i="1163"/>
  <c r="C42" i="1163"/>
  <c r="B42" i="1163"/>
  <c r="C41" i="1163"/>
  <c r="B41" i="1163"/>
  <c r="C40" i="1163"/>
  <c r="B40" i="1163"/>
  <c r="C39" i="1163"/>
  <c r="B39" i="1163"/>
  <c r="C38" i="1163"/>
  <c r="B38" i="1163"/>
  <c r="D36" i="1163"/>
  <c r="F36" i="1163" s="1"/>
  <c r="C36" i="1163"/>
  <c r="B36" i="1163"/>
  <c r="F35" i="1163"/>
  <c r="B35" i="1163"/>
  <c r="D34" i="1163"/>
  <c r="F34" i="1163" s="1"/>
  <c r="C34" i="1163"/>
  <c r="B34" i="1163"/>
  <c r="D33" i="1163"/>
  <c r="F33" i="1163" s="1"/>
  <c r="C33" i="1163"/>
  <c r="B33" i="1163"/>
  <c r="D32" i="1163"/>
  <c r="F32" i="1163" s="1"/>
  <c r="C32" i="1163"/>
  <c r="B32" i="1163"/>
  <c r="D31" i="1163"/>
  <c r="F31" i="1163" s="1"/>
  <c r="C31" i="1163"/>
  <c r="B31" i="1163"/>
  <c r="C30" i="1163"/>
  <c r="B30" i="1163"/>
  <c r="D29" i="1163"/>
  <c r="F29" i="1163" s="1"/>
  <c r="C29" i="1163"/>
  <c r="B29" i="1163"/>
  <c r="D28" i="1163"/>
  <c r="F28" i="1163" s="1"/>
  <c r="C28" i="1163"/>
  <c r="B28" i="1163"/>
  <c r="D27" i="1163"/>
  <c r="F27" i="1163" s="1"/>
  <c r="C27" i="1163"/>
  <c r="B27" i="1163"/>
  <c r="D26" i="1163"/>
  <c r="F26" i="1163" s="1"/>
  <c r="C26" i="1163"/>
  <c r="B26" i="1163"/>
  <c r="C25" i="1163"/>
  <c r="B25" i="1163"/>
  <c r="C24" i="1163"/>
  <c r="B24" i="1163"/>
  <c r="C22" i="1163"/>
  <c r="C21" i="1163"/>
  <c r="B21" i="1163"/>
  <c r="C20" i="1163"/>
  <c r="B20" i="1163"/>
  <c r="C19" i="1163"/>
  <c r="B19" i="1163"/>
  <c r="C18" i="1163"/>
  <c r="B18" i="1163"/>
  <c r="C17" i="1163"/>
  <c r="B17" i="1163"/>
  <c r="C16" i="1163"/>
  <c r="B16" i="1163"/>
  <c r="C15" i="1163"/>
  <c r="B15" i="1163"/>
  <c r="D14" i="1163"/>
  <c r="F14" i="1163" s="1"/>
  <c r="C14" i="1163"/>
  <c r="F13" i="1163"/>
  <c r="C13" i="1163"/>
  <c r="C12" i="1163"/>
  <c r="C11" i="1163"/>
  <c r="B11" i="1163"/>
  <c r="C10" i="1163"/>
  <c r="B10" i="1163"/>
  <c r="B9" i="1163"/>
  <c r="C8" i="1163"/>
  <c r="C7" i="1163"/>
  <c r="B7" i="1163"/>
  <c r="D6" i="1163"/>
  <c r="F6" i="1163" s="1"/>
  <c r="C6" i="1163"/>
  <c r="B6" i="1163"/>
  <c r="C5" i="1163"/>
  <c r="B5" i="1163"/>
  <c r="E26" i="1157"/>
  <c r="D53" i="1163"/>
  <c r="F53" i="1163" s="1"/>
  <c r="B46" i="1144"/>
  <c r="B53" i="1163" s="1"/>
  <c r="D51" i="1163"/>
  <c r="F51" i="1163" s="1"/>
  <c r="D50" i="1163"/>
  <c r="F50" i="1163" s="1"/>
  <c r="D49" i="1163"/>
  <c r="F49" i="1163" s="1"/>
  <c r="U25" i="1141"/>
  <c r="U22" i="1141"/>
  <c r="U20" i="1141"/>
  <c r="U19" i="1141"/>
  <c r="AC18" i="1141"/>
  <c r="U18" i="1141"/>
  <c r="K16" i="1141"/>
  <c r="J16" i="1141"/>
  <c r="W13" i="1141"/>
  <c r="P13" i="1141"/>
  <c r="V13" i="1141" s="1"/>
  <c r="O13" i="1141"/>
  <c r="U13" i="1141" s="1"/>
  <c r="N13" i="1141"/>
  <c r="M13" i="1141"/>
  <c r="K13" i="1141"/>
  <c r="W12" i="1141"/>
  <c r="V12" i="1141"/>
  <c r="U12" i="1141"/>
  <c r="V10" i="1141"/>
  <c r="U10" i="1141"/>
  <c r="M6" i="1141"/>
  <c r="L6" i="1141"/>
  <c r="E78" i="1140"/>
  <c r="D76" i="1140"/>
  <c r="D74" i="1140"/>
  <c r="D75" i="1140" s="1"/>
  <c r="D46" i="1163"/>
  <c r="F46" i="1163" s="1"/>
  <c r="R70" i="1140"/>
  <c r="Q70" i="1140"/>
  <c r="P70" i="1140"/>
  <c r="O70" i="1140"/>
  <c r="N70" i="1140"/>
  <c r="M70" i="1140"/>
  <c r="L70" i="1140"/>
  <c r="K70" i="1140"/>
  <c r="J70" i="1140"/>
  <c r="I70" i="1140"/>
  <c r="H70" i="1140"/>
  <c r="G70" i="1140"/>
  <c r="F70" i="1140"/>
  <c r="E70" i="1140"/>
  <c r="Q67" i="1140"/>
  <c r="Q66" i="1140" s="1"/>
  <c r="P67" i="1140"/>
  <c r="P66" i="1140" s="1"/>
  <c r="O67" i="1140"/>
  <c r="O66" i="1140" s="1"/>
  <c r="N67" i="1140"/>
  <c r="N66" i="1140" s="1"/>
  <c r="M67" i="1140"/>
  <c r="M66" i="1140" s="1"/>
  <c r="L67" i="1140"/>
  <c r="L66" i="1140" s="1"/>
  <c r="K67" i="1140"/>
  <c r="K66" i="1140" s="1"/>
  <c r="I67" i="1140"/>
  <c r="I66" i="1140" s="1"/>
  <c r="H67" i="1140"/>
  <c r="H66" i="1140" s="1"/>
  <c r="G67" i="1140"/>
  <c r="G66" i="1140" s="1"/>
  <c r="F67" i="1140"/>
  <c r="F66" i="1140" s="1"/>
  <c r="E67" i="1140"/>
  <c r="E66" i="1140" s="1"/>
  <c r="R66" i="1140"/>
  <c r="R62" i="1140"/>
  <c r="Q62" i="1140"/>
  <c r="P62" i="1140"/>
  <c r="O62" i="1140"/>
  <c r="N62" i="1140"/>
  <c r="M62" i="1140"/>
  <c r="L62" i="1140"/>
  <c r="K62" i="1140"/>
  <c r="J62" i="1140"/>
  <c r="I62" i="1140"/>
  <c r="H62" i="1140"/>
  <c r="G62" i="1140"/>
  <c r="F62" i="1140"/>
  <c r="K61" i="1140"/>
  <c r="E60" i="1140"/>
  <c r="D60" i="1140" s="1"/>
  <c r="D58" i="1140"/>
  <c r="D57" i="1140"/>
  <c r="R55" i="1140"/>
  <c r="Q55" i="1140"/>
  <c r="P55" i="1140"/>
  <c r="O55" i="1140"/>
  <c r="N55" i="1140"/>
  <c r="M55" i="1140"/>
  <c r="L55" i="1140"/>
  <c r="K55" i="1140"/>
  <c r="J55" i="1140"/>
  <c r="I55" i="1140"/>
  <c r="H55" i="1140"/>
  <c r="G55" i="1140"/>
  <c r="F55" i="1140"/>
  <c r="E55" i="1140"/>
  <c r="D44" i="1163"/>
  <c r="F44" i="1163" s="1"/>
  <c r="D50" i="1140"/>
  <c r="D55" i="1140" s="1"/>
  <c r="K49" i="1140"/>
  <c r="K46" i="1140"/>
  <c r="R45" i="1140"/>
  <c r="R46" i="1140" s="1"/>
  <c r="Q45" i="1140"/>
  <c r="Q49" i="1140" s="1"/>
  <c r="P45" i="1140"/>
  <c r="P61" i="1140" s="1"/>
  <c r="O45" i="1140"/>
  <c r="O61" i="1140" s="1"/>
  <c r="N45" i="1140"/>
  <c r="N61" i="1140" s="1"/>
  <c r="M45" i="1140"/>
  <c r="M49" i="1140" s="1"/>
  <c r="L45" i="1140"/>
  <c r="L61" i="1140" s="1"/>
  <c r="J45" i="1140"/>
  <c r="J46" i="1140" s="1"/>
  <c r="I45" i="1140"/>
  <c r="I61" i="1140" s="1"/>
  <c r="H45" i="1140"/>
  <c r="H61" i="1140" s="1"/>
  <c r="G45" i="1140"/>
  <c r="G49" i="1140" s="1"/>
  <c r="F45" i="1140"/>
  <c r="F61" i="1140" s="1"/>
  <c r="E45" i="1140"/>
  <c r="E46" i="1140" s="1"/>
  <c r="D29" i="1140"/>
  <c r="D42" i="1163"/>
  <c r="F42" i="1163" s="1"/>
  <c r="D25" i="1140"/>
  <c r="D24" i="1140"/>
  <c r="D23" i="1140"/>
  <c r="D21" i="1140"/>
  <c r="D20" i="1140"/>
  <c r="D18" i="1140"/>
  <c r="D17" i="1140"/>
  <c r="D40" i="1163"/>
  <c r="F40" i="1163" s="1"/>
  <c r="R16" i="1140"/>
  <c r="Q16" i="1140"/>
  <c r="P16" i="1140"/>
  <c r="O16" i="1140"/>
  <c r="N16" i="1140"/>
  <c r="M16" i="1140"/>
  <c r="L16" i="1140"/>
  <c r="K16" i="1140"/>
  <c r="J16" i="1140"/>
  <c r="I16" i="1140"/>
  <c r="H16" i="1140"/>
  <c r="G16" i="1140"/>
  <c r="F16" i="1140"/>
  <c r="E16" i="1140"/>
  <c r="D15" i="1140"/>
  <c r="D39" i="1163"/>
  <c r="F39" i="1163" s="1"/>
  <c r="R10" i="1140"/>
  <c r="R11" i="1140" s="1"/>
  <c r="Q10" i="1140"/>
  <c r="Q11" i="1140" s="1"/>
  <c r="P10" i="1140"/>
  <c r="P11" i="1140" s="1"/>
  <c r="O10" i="1140"/>
  <c r="O11" i="1140" s="1"/>
  <c r="N10" i="1140"/>
  <c r="N11" i="1140" s="1"/>
  <c r="N12" i="1140" s="1"/>
  <c r="N14" i="1140" s="1"/>
  <c r="M10" i="1140"/>
  <c r="M11" i="1140" s="1"/>
  <c r="L10" i="1140"/>
  <c r="L11" i="1140" s="1"/>
  <c r="K10" i="1140"/>
  <c r="K11" i="1140" s="1"/>
  <c r="K12" i="1140" s="1"/>
  <c r="K14" i="1140" s="1"/>
  <c r="J10" i="1140"/>
  <c r="J11" i="1140" s="1"/>
  <c r="J12" i="1140" s="1"/>
  <c r="J14" i="1140" s="1"/>
  <c r="I10" i="1140"/>
  <c r="I11" i="1140" s="1"/>
  <c r="H10" i="1140"/>
  <c r="H11" i="1140" s="1"/>
  <c r="G10" i="1140"/>
  <c r="G11" i="1140" s="1"/>
  <c r="F10" i="1140"/>
  <c r="F11" i="1140" s="1"/>
  <c r="E10" i="1140"/>
  <c r="E11" i="1140" s="1"/>
  <c r="E12" i="1140" s="1"/>
  <c r="E14" i="1140" s="1"/>
  <c r="D9" i="1140"/>
  <c r="S6" i="1141"/>
  <c r="Q6" i="1141"/>
  <c r="D30" i="1163"/>
  <c r="F30" i="1163" s="1"/>
  <c r="D25" i="1163"/>
  <c r="F25" i="1163" s="1"/>
  <c r="O30" i="1165"/>
  <c r="N30" i="1165"/>
  <c r="O28" i="1165"/>
  <c r="N28" i="1165"/>
  <c r="D22" i="1163"/>
  <c r="F22" i="1163" s="1"/>
  <c r="BR153" i="1135"/>
  <c r="E24" i="1157"/>
  <c r="D20" i="1163"/>
  <c r="F20" i="1163" s="1"/>
  <c r="E22" i="1157"/>
  <c r="E20" i="1157"/>
  <c r="D18" i="1163"/>
  <c r="F18" i="1163" s="1"/>
  <c r="D16" i="1163"/>
  <c r="F16" i="1163" s="1"/>
  <c r="E13" i="1157"/>
  <c r="E12" i="1157"/>
  <c r="D7" i="1163"/>
  <c r="F7" i="1163" s="1"/>
  <c r="BR33" i="1135"/>
  <c r="BT29" i="1135"/>
  <c r="BQ18" i="1135"/>
  <c r="AK16" i="1134"/>
  <c r="W6" i="1141"/>
  <c r="BT28" i="1135"/>
  <c r="L46" i="1140"/>
  <c r="O46" i="1140"/>
  <c r="N46" i="1140"/>
  <c r="J49" i="1140"/>
  <c r="D62" i="1163"/>
  <c r="F62" i="1163" s="1"/>
  <c r="D24" i="1163"/>
  <c r="F24" i="1163" s="1"/>
  <c r="AK18" i="1134"/>
  <c r="AK62" i="1134"/>
  <c r="D8" i="1163"/>
  <c r="F8" i="1163" s="1"/>
  <c r="D41" i="1163"/>
  <c r="F41" i="1163" s="1"/>
  <c r="D16" i="1140"/>
  <c r="U6" i="1141"/>
  <c r="H49" i="1140"/>
  <c r="D48" i="1163"/>
  <c r="F48" i="1163" s="1"/>
  <c r="D59" i="1163"/>
  <c r="F59" i="1163" s="1"/>
  <c r="BS42" i="1135"/>
  <c r="D17" i="1163"/>
  <c r="F17" i="1163" s="1"/>
  <c r="E17" i="1157"/>
  <c r="D19" i="1163"/>
  <c r="F19" i="1163" s="1"/>
  <c r="E21" i="1157"/>
  <c r="E9" i="1157"/>
  <c r="E16" i="1157"/>
  <c r="D12" i="1163"/>
  <c r="F12" i="1163" s="1"/>
  <c r="E18" i="1157"/>
  <c r="E23" i="1157"/>
  <c r="D21" i="1163"/>
  <c r="F21" i="1163" s="1"/>
  <c r="BT86" i="1135"/>
  <c r="AK21" i="1134"/>
  <c r="V6" i="1141"/>
  <c r="D11" i="1163"/>
  <c r="F11" i="1163" s="1"/>
  <c r="D5" i="1163"/>
  <c r="F5" i="1163" s="1"/>
  <c r="D61" i="1163"/>
  <c r="F61" i="1163" s="1"/>
  <c r="E27" i="1157"/>
  <c r="D60" i="1163"/>
  <c r="F60" i="1163" s="1"/>
  <c r="E15" i="1157"/>
  <c r="D15" i="1163"/>
  <c r="F15" i="1163" s="1"/>
  <c r="D38" i="1163"/>
  <c r="F38" i="1163" s="1"/>
  <c r="E8" i="1157"/>
  <c r="D10" i="1163"/>
  <c r="F10" i="1163" s="1"/>
  <c r="D9" i="1163"/>
  <c r="F9" i="1163" s="1"/>
  <c r="E7" i="1157"/>
  <c r="Y46" i="1140"/>
  <c r="X46" i="1140"/>
  <c r="F50" i="1168" l="1"/>
  <c r="E39" i="1145"/>
  <c r="D59" i="1168" s="1"/>
  <c r="F59" i="1168" s="1"/>
  <c r="F42" i="1168"/>
  <c r="F17" i="1168"/>
  <c r="P46" i="1140"/>
  <c r="I49" i="1140"/>
  <c r="D23" i="1168"/>
  <c r="E48" i="1140"/>
  <c r="D48" i="1140" s="1"/>
  <c r="W12" i="1140"/>
  <c r="F23" i="1168"/>
  <c r="Q46" i="1140"/>
  <c r="M46" i="1140"/>
  <c r="J61" i="1140"/>
  <c r="J27" i="1165"/>
  <c r="K32" i="1165"/>
  <c r="AB53" i="1140"/>
  <c r="F39" i="1168"/>
  <c r="L28" i="1165"/>
  <c r="F73" i="1168"/>
  <c r="F70" i="1168"/>
  <c r="F57" i="1168"/>
  <c r="F62" i="1168"/>
  <c r="E25" i="1145"/>
  <c r="D51" i="1168"/>
  <c r="F51" i="1168" s="1"/>
  <c r="F34" i="1168"/>
  <c r="L31" i="1165"/>
  <c r="E76" i="1144"/>
  <c r="D54" i="1168"/>
  <c r="F54" i="1168" s="1"/>
  <c r="E78" i="1144"/>
  <c r="E80" i="1144"/>
  <c r="E82" i="1144"/>
  <c r="E84" i="1144"/>
  <c r="E86" i="1144"/>
  <c r="P49" i="1140"/>
  <c r="O49" i="1140"/>
  <c r="R49" i="1140"/>
  <c r="H46" i="1140"/>
  <c r="M61" i="1140"/>
  <c r="A3" i="1142"/>
  <c r="A3" i="1143" s="1"/>
  <c r="A3" i="1144" s="1"/>
  <c r="A3" i="1145" s="1"/>
  <c r="A3" i="1146" s="1"/>
  <c r="N49" i="1140"/>
  <c r="R61" i="1140"/>
  <c r="F49" i="1140"/>
  <c r="D62" i="1140"/>
  <c r="L32" i="1165"/>
  <c r="Z12" i="1140"/>
  <c r="D14" i="1168"/>
  <c r="F14" i="1168" s="1"/>
  <c r="D25" i="1168"/>
  <c r="F25" i="1168" s="1"/>
  <c r="D24" i="1168"/>
  <c r="F24" i="1168" s="1"/>
  <c r="AB54" i="1140"/>
  <c r="D68" i="1144"/>
  <c r="D70" i="1144"/>
  <c r="E47" i="1144"/>
  <c r="E14" i="1144"/>
  <c r="E11" i="1144"/>
  <c r="F27" i="1168"/>
  <c r="E72" i="1145"/>
  <c r="E54" i="1145"/>
  <c r="D63" i="1168"/>
  <c r="F63" i="1168" s="1"/>
  <c r="D58" i="1168"/>
  <c r="F58" i="1168" s="1"/>
  <c r="D52" i="1168"/>
  <c r="F52" i="1168" s="1"/>
  <c r="D35" i="1168"/>
  <c r="D32" i="1168"/>
  <c r="F32" i="1168" s="1"/>
  <c r="E13" i="1136"/>
  <c r="H13" i="1136" s="1"/>
  <c r="H14" i="1136"/>
  <c r="F36" i="1168"/>
  <c r="F40" i="1168"/>
  <c r="D55" i="1168"/>
  <c r="F55" i="1168" s="1"/>
  <c r="D37" i="1168"/>
  <c r="F37" i="1168" s="1"/>
  <c r="F10" i="1144"/>
  <c r="F61" i="1168"/>
  <c r="D63" i="1163"/>
  <c r="F63" i="1163" s="1"/>
  <c r="E20" i="1145"/>
  <c r="D48" i="1168" s="1"/>
  <c r="F48" i="1168" s="1"/>
  <c r="E32" i="1145"/>
  <c r="D68" i="1168"/>
  <c r="F68" i="1168" s="1"/>
  <c r="D64" i="1168"/>
  <c r="F64" i="1168" s="1"/>
  <c r="G66" i="1134"/>
  <c r="E59" i="1144"/>
  <c r="E23" i="1144"/>
  <c r="E10" i="1144"/>
  <c r="G42" i="1134"/>
  <c r="G36" i="1134"/>
  <c r="G40" i="1134"/>
  <c r="G34" i="1134"/>
  <c r="G39" i="1134"/>
  <c r="G41" i="1134"/>
  <c r="G38" i="1134"/>
  <c r="E50" i="1144"/>
  <c r="E52" i="1144"/>
  <c r="E54" i="1144"/>
  <c r="E56" i="1144"/>
  <c r="E58" i="1144"/>
  <c r="F35" i="1168"/>
  <c r="G33" i="1134"/>
  <c r="G48" i="1134"/>
  <c r="E21" i="1143"/>
  <c r="D31" i="1168"/>
  <c r="F31" i="1168" s="1"/>
  <c r="F29" i="1168"/>
  <c r="E9" i="1142"/>
  <c r="W46" i="1140"/>
  <c r="U46" i="1140"/>
  <c r="G53" i="1134"/>
  <c r="G52" i="1134"/>
  <c r="S12" i="1140"/>
  <c r="S14" i="1140" s="1"/>
  <c r="G12" i="1140"/>
  <c r="G14" i="1140" s="1"/>
  <c r="G13" i="1140"/>
  <c r="I13" i="1140"/>
  <c r="I12" i="1140"/>
  <c r="I14" i="1140" s="1"/>
  <c r="F12" i="1140"/>
  <c r="F14" i="1140" s="1"/>
  <c r="F13" i="1140"/>
  <c r="H13" i="1140"/>
  <c r="H12" i="1140"/>
  <c r="H14" i="1140" s="1"/>
  <c r="L49" i="1140"/>
  <c r="D49" i="1140" s="1"/>
  <c r="Q61" i="1140"/>
  <c r="I46" i="1140"/>
  <c r="AB11" i="1140"/>
  <c r="D66" i="1140"/>
  <c r="D10" i="1140"/>
  <c r="D11" i="1140" s="1"/>
  <c r="E13" i="1140"/>
  <c r="N13" i="1140"/>
  <c r="F46" i="1140"/>
  <c r="D67" i="1140"/>
  <c r="E59" i="1140"/>
  <c r="D59" i="1140" s="1"/>
  <c r="D45" i="1140"/>
  <c r="D46" i="1140" s="1"/>
  <c r="G61" i="1140"/>
  <c r="G46" i="1140"/>
  <c r="T12" i="1140"/>
  <c r="T14" i="1140" s="1"/>
  <c r="T13" i="1140"/>
  <c r="Y13" i="1140"/>
  <c r="Y14" i="1140" s="1"/>
  <c r="Y12" i="1140"/>
  <c r="AB16" i="1140"/>
  <c r="AB45" i="1140"/>
  <c r="E36" i="1145"/>
  <c r="M13" i="1140"/>
  <c r="M12" i="1140"/>
  <c r="M14" i="1140" s="1"/>
  <c r="P12" i="1140"/>
  <c r="P14" i="1140" s="1"/>
  <c r="P13" i="1140"/>
  <c r="R13" i="1140"/>
  <c r="R12" i="1140"/>
  <c r="R14" i="1140" s="1"/>
  <c r="L13" i="1140"/>
  <c r="L12" i="1140"/>
  <c r="L14" i="1140" s="1"/>
  <c r="O12" i="1140"/>
  <c r="O14" i="1140" s="1"/>
  <c r="O13" i="1140"/>
  <c r="Q13" i="1140"/>
  <c r="Q12" i="1140"/>
  <c r="Q14" i="1140" s="1"/>
  <c r="G62" i="1134"/>
  <c r="G63" i="1134"/>
  <c r="G64" i="1134"/>
  <c r="G23" i="1134"/>
  <c r="D15" i="1168"/>
  <c r="F15" i="1168" s="1"/>
  <c r="G22" i="1134"/>
  <c r="A3" i="1165"/>
  <c r="I27" i="1165"/>
  <c r="L30" i="1165"/>
  <c r="L29" i="1165"/>
  <c r="I21" i="1134"/>
  <c r="F8" i="1168"/>
  <c r="D33" i="1168"/>
  <c r="F33" i="1168" s="1"/>
  <c r="K69" i="1134"/>
  <c r="K13" i="1140"/>
  <c r="J13" i="1140"/>
  <c r="V12" i="1140"/>
  <c r="V13" i="1140"/>
  <c r="V14" i="1140" s="1"/>
  <c r="F13" i="1136"/>
  <c r="I18" i="1134"/>
  <c r="A3" i="1141"/>
  <c r="K51" i="1134"/>
  <c r="G69" i="1134" l="1"/>
  <c r="G68" i="1134"/>
  <c r="AB46" i="1140"/>
  <c r="E48" i="1144"/>
  <c r="AB12" i="1140"/>
  <c r="D20" i="1168"/>
  <c r="F20" i="1168" s="1"/>
  <c r="G67" i="1134"/>
  <c r="D56" i="1168"/>
  <c r="F56" i="1168" s="1"/>
  <c r="D53" i="1168"/>
  <c r="F53" i="1168" s="1"/>
  <c r="K68" i="1134"/>
  <c r="D44" i="1168"/>
  <c r="F44" i="1168" s="1"/>
  <c r="D30" i="1168"/>
  <c r="F30" i="1168" s="1"/>
  <c r="E69" i="1145"/>
  <c r="D61" i="1140"/>
  <c r="D22" i="1168"/>
  <c r="F22" i="1168" s="1"/>
  <c r="D13" i="1140"/>
  <c r="D12" i="1140"/>
  <c r="D14" i="1140" s="1"/>
  <c r="G61" i="1134"/>
  <c r="D21" i="1168"/>
  <c r="F21" i="1168" s="1"/>
  <c r="AB14" i="1140"/>
  <c r="L27" i="1165"/>
  <c r="K27" i="1165"/>
  <c r="K18" i="1134"/>
  <c r="D43" i="1168" l="1"/>
  <c r="F43" i="1168" s="1"/>
  <c r="K67" i="1134"/>
</calcChain>
</file>

<file path=xl/comments1.xml><?xml version="1.0" encoding="utf-8"?>
<comments xmlns="http://schemas.openxmlformats.org/spreadsheetml/2006/main">
  <authors>
    <author>Vang Ut</author>
  </authors>
  <commentList>
    <comment ref="O57" authorId="0">
      <text>
        <r>
          <rPr>
            <b/>
            <sz val="9"/>
            <color indexed="81"/>
            <rFont val="Tahoma"/>
            <family val="2"/>
          </rPr>
          <t>Vang Ut:</t>
        </r>
        <r>
          <rPr>
            <sz val="9"/>
            <color indexed="81"/>
            <rFont val="Tahoma"/>
            <family val="2"/>
          </rPr>
          <t xml:space="preserve">
Girm ở đối tượng nông lâm ngư nghiệp, giảm bao gồm học sinh xã Bum Nưa, Mường Tè
 khoảng trên 2000 người</t>
        </r>
      </text>
    </comment>
  </commentList>
</comments>
</file>

<file path=xl/comments2.xml><?xml version="1.0" encoding="utf-8"?>
<comments xmlns="http://schemas.openxmlformats.org/spreadsheetml/2006/main">
  <authors>
    <author>vang ut</author>
  </authors>
  <commentList>
    <comment ref="G115" authorId="0">
      <text>
        <r>
          <rPr>
            <b/>
            <sz val="9"/>
            <color indexed="81"/>
            <rFont val="Tahoma"/>
            <family val="2"/>
          </rPr>
          <t>vang ut:</t>
        </r>
        <r>
          <rPr>
            <sz val="9"/>
            <color indexed="81"/>
            <rFont val="Tahoma"/>
            <family val="2"/>
          </rPr>
          <t xml:space="preserve">
Bao gồm diện tích ngoài quy hoạch lâm nghiệp là 1.734,41 ha</t>
        </r>
      </text>
    </comment>
  </commentList>
</comments>
</file>

<file path=xl/comments3.xml><?xml version="1.0" encoding="utf-8"?>
<comments xmlns="http://schemas.openxmlformats.org/spreadsheetml/2006/main">
  <authors>
    <author>DUNG</author>
  </authors>
  <commentList>
    <comment ref="H28" authorId="0">
      <text>
        <r>
          <rPr>
            <b/>
            <sz val="9"/>
            <color indexed="81"/>
            <rFont val="Tahoma"/>
            <family val="2"/>
          </rPr>
          <t>DUNG:</t>
        </r>
        <r>
          <rPr>
            <sz val="9"/>
            <color indexed="81"/>
            <rFont val="Tahoma"/>
            <family val="2"/>
          </rPr>
          <t xml:space="preserve">
Nhà nước hỗ trợ 539ha, gia đình tự mua 38,7ha</t>
        </r>
      </text>
    </comment>
    <comment ref="H29" authorId="0">
      <text>
        <r>
          <rPr>
            <b/>
            <sz val="9"/>
            <color indexed="81"/>
            <rFont val="Tahoma"/>
            <family val="2"/>
          </rPr>
          <t>DUNG:</t>
        </r>
        <r>
          <rPr>
            <sz val="9"/>
            <color indexed="81"/>
            <rFont val="Tahoma"/>
            <family val="2"/>
          </rPr>
          <t xml:space="preserve">
Doanh nghiệp, cá nhân tự mua 210,79ha, nhà nước hỗ trợ 4,11ha</t>
        </r>
      </text>
    </comment>
  </commentList>
</comments>
</file>

<file path=xl/comments4.xml><?xml version="1.0" encoding="utf-8"?>
<comments xmlns="http://schemas.openxmlformats.org/spreadsheetml/2006/main">
  <authors>
    <author>NGUYEN VAN HIEN</author>
    <author>AD</author>
  </authors>
  <commentList>
    <comment ref="S17" authorId="0">
      <text>
        <r>
          <rPr>
            <b/>
            <sz val="9"/>
            <color indexed="81"/>
            <rFont val="Tahoma"/>
            <family val="2"/>
          </rPr>
          <t>NGUYEN VAN HIEN:</t>
        </r>
        <r>
          <rPr>
            <sz val="9"/>
            <color indexed="81"/>
            <rFont val="Tahoma"/>
            <family val="2"/>
          </rPr>
          <t xml:space="preserve">
60 hộ nghèo bản Pa Tết, xã Tà Tổng chuyển sang huyện Mường Nhé, tỉnh Điện Biên</t>
        </r>
      </text>
    </comment>
    <comment ref="T17" authorId="0">
      <text>
        <r>
          <rPr>
            <b/>
            <sz val="9"/>
            <color indexed="81"/>
            <rFont val="Tahoma"/>
            <family val="2"/>
          </rPr>
          <t>NGUYEN VAN HIEN:</t>
        </r>
        <r>
          <rPr>
            <sz val="9"/>
            <color indexed="81"/>
            <rFont val="Tahoma"/>
            <family val="2"/>
          </rPr>
          <t xml:space="preserve">
60 hộ nghèo bản Pa Tết, xã Tà Tổng chuyển sang huyện Mường Nhé, tỉnh Điện Biên</t>
        </r>
      </text>
    </comment>
    <comment ref="AC67" authorId="1">
      <text>
        <r>
          <rPr>
            <b/>
            <sz val="9"/>
            <color indexed="81"/>
            <rFont val="Tahoma"/>
            <family val="2"/>
          </rPr>
          <t>AD:</t>
        </r>
        <r>
          <rPr>
            <sz val="9"/>
            <color indexed="81"/>
            <rFont val="Tahoma"/>
            <family val="2"/>
          </rPr>
          <t xml:space="preserve">
13 lớp</t>
        </r>
      </text>
    </comment>
    <comment ref="AD67" authorId="1">
      <text>
        <r>
          <rPr>
            <b/>
            <sz val="9"/>
            <color indexed="81"/>
            <rFont val="Tahoma"/>
            <family val="2"/>
          </rPr>
          <t>AD:</t>
        </r>
        <r>
          <rPr>
            <sz val="9"/>
            <color indexed="81"/>
            <rFont val="Tahoma"/>
            <family val="2"/>
          </rPr>
          <t xml:space="preserve">
25 lớp</t>
        </r>
      </text>
    </comment>
    <comment ref="AD71" authorId="1">
      <text>
        <r>
          <rPr>
            <b/>
            <sz val="9"/>
            <color indexed="81"/>
            <rFont val="Tahoma"/>
            <family val="2"/>
          </rPr>
          <t>AD:</t>
        </r>
        <r>
          <rPr>
            <sz val="9"/>
            <color indexed="81"/>
            <rFont val="Tahoma"/>
            <family val="2"/>
          </rPr>
          <t xml:space="preserve">
1 tự nguyện; 28 bắt buộc</t>
        </r>
      </text>
    </comment>
  </commentList>
</comments>
</file>

<file path=xl/comments5.xml><?xml version="1.0" encoding="utf-8"?>
<comments xmlns="http://schemas.openxmlformats.org/spreadsheetml/2006/main">
  <authors>
    <author>HUANKH</author>
    <author>vang ut</author>
    <author>admin</author>
  </authors>
  <commentList>
    <comment ref="D27" authorId="0">
      <text>
        <r>
          <rPr>
            <b/>
            <sz val="9"/>
            <rFont val="Tahoma"/>
            <family val="2"/>
          </rPr>
          <t>50 bác sỹ TTYT và 02 BS ngoài, 01 PYT</t>
        </r>
        <r>
          <rPr>
            <sz val="9"/>
            <rFont val="Tahoma"/>
            <family val="2"/>
          </rPr>
          <t xml:space="preserve">
</t>
        </r>
      </text>
    </comment>
    <comment ref="E27" authorId="1">
      <text>
        <r>
          <rPr>
            <b/>
            <sz val="9"/>
            <color indexed="81"/>
            <rFont val="Tahoma"/>
            <family val="2"/>
          </rPr>
          <t>vang ut:</t>
        </r>
        <r>
          <rPr>
            <sz val="9"/>
            <color indexed="81"/>
            <rFont val="Tahoma"/>
            <family val="2"/>
          </rPr>
          <t xml:space="preserve">
Giảm 4 bác sỹ: 1 bác sỹ thuộc phòng Y tế chuyển công tác sang đơn vị khác do giải thể cq; 03 bs TTYT (02 nghỉ hưu; 01 chuyển vùng)</t>
        </r>
      </text>
    </comment>
    <comment ref="F27" authorId="0">
      <text>
        <r>
          <rPr>
            <b/>
            <sz val="9"/>
            <color indexed="81"/>
            <rFont val="Tahoma"/>
            <family val="2"/>
          </rPr>
          <t>Trong đó có 2 BS cơ sở tư nhân, tính cả BS Bình</t>
        </r>
        <r>
          <rPr>
            <sz val="9"/>
            <color indexed="81"/>
            <rFont val="Tahoma"/>
            <family val="2"/>
          </rPr>
          <t xml:space="preserve">
</t>
        </r>
      </text>
    </comment>
    <comment ref="H27" authorId="2">
      <text>
        <r>
          <rPr>
            <b/>
            <sz val="9"/>
            <color indexed="81"/>
            <rFont val="Tahoma"/>
            <family val="2"/>
          </rPr>
          <t>Bác sỹ cũ 49 và Vảng, cộng 4 tuyển dụng</t>
        </r>
      </text>
    </comment>
  </commentList>
</comments>
</file>

<file path=xl/comments6.xml><?xml version="1.0" encoding="utf-8"?>
<comments xmlns="http://schemas.openxmlformats.org/spreadsheetml/2006/main">
  <authors>
    <author>Administrator</author>
    <author>vang ut</author>
  </authors>
  <commentList>
    <comment ref="D70" authorId="0">
      <text>
        <r>
          <rPr>
            <sz val="9"/>
            <color indexed="81"/>
            <rFont val="Tahoma"/>
            <family val="2"/>
          </rPr>
          <t xml:space="preserve">Công nhận mới trường PTDTBT TH&amp;THCS Vàng San
</t>
        </r>
      </text>
    </comment>
    <comment ref="E70" authorId="0">
      <text>
        <r>
          <rPr>
            <sz val="9"/>
            <color indexed="81"/>
            <rFont val="Tahoma"/>
            <family val="2"/>
          </rPr>
          <t>Công nhận mới trường PTDTBT TH&amp;THCS Nậm Khao</t>
        </r>
      </text>
    </comment>
    <comment ref="L70" authorId="0">
      <text>
        <r>
          <rPr>
            <b/>
            <sz val="9"/>
            <color indexed="81"/>
            <rFont val="Tahoma"/>
            <family val="2"/>
          </rPr>
          <t>Administrator:</t>
        </r>
        <r>
          <rPr>
            <sz val="9"/>
            <color indexed="81"/>
            <rFont val="Tahoma"/>
            <family val="2"/>
          </rPr>
          <t xml:space="preserve">
Công nhận TH&amp;THCS Nậm Khao</t>
        </r>
      </text>
    </comment>
    <comment ref="W70" authorId="0">
      <text>
        <r>
          <rPr>
            <b/>
            <sz val="9"/>
            <color indexed="81"/>
            <rFont val="Tahoma"/>
            <family val="2"/>
          </rPr>
          <t>Công nhận mới 02 trường: TH Pa Ủ và TH Pa Vệ Sủ</t>
        </r>
        <r>
          <rPr>
            <sz val="9"/>
            <color indexed="81"/>
            <rFont val="Tahoma"/>
            <family val="2"/>
          </rPr>
          <t xml:space="preserve">
</t>
        </r>
      </text>
    </comment>
    <comment ref="BD70" authorId="1">
      <text>
        <r>
          <rPr>
            <b/>
            <sz val="9"/>
            <color indexed="81"/>
            <rFont val="Tahoma"/>
            <family val="2"/>
          </rPr>
          <t>vang ut:</t>
        </r>
        <r>
          <rPr>
            <sz val="9"/>
            <color indexed="81"/>
            <rFont val="Tahoma"/>
            <family val="2"/>
          </rPr>
          <t xml:space="preserve">
2 trường cấp TH
</t>
        </r>
      </text>
    </comment>
  </commentList>
</comments>
</file>

<file path=xl/sharedStrings.xml><?xml version="1.0" encoding="utf-8"?>
<sst xmlns="http://schemas.openxmlformats.org/spreadsheetml/2006/main" count="2378" uniqueCount="1001">
  <si>
    <t xml:space="preserve">HỆ THỐNG BIỂU </t>
  </si>
  <si>
    <t>(Đối với cấp xã, căn cứ yêu cầu phát triển kinh tế - xã hội của địa phương, cấp huyện sẽ ban hành các biểu mẫu cụ thể)</t>
  </si>
  <si>
    <t>`</t>
  </si>
  <si>
    <t>TT</t>
  </si>
  <si>
    <t xml:space="preserve">Chỉ tiêu </t>
  </si>
  <si>
    <t xml:space="preserve">Đơn vị tính </t>
  </si>
  <si>
    <t>TH 6 tháng năm 2018</t>
  </si>
  <si>
    <t>TH 9 tháng năm 2018</t>
  </si>
  <si>
    <t>Năm 2019</t>
  </si>
  <si>
    <t>So sánh (%)</t>
  </si>
  <si>
    <t>Ghi chú</t>
  </si>
  <si>
    <t>Kế hoạch</t>
  </si>
  <si>
    <t>Lũy kế 5 tháng đầu năm</t>
  </si>
  <si>
    <t>Ước TH cả năm</t>
  </si>
  <si>
    <t>a</t>
  </si>
  <si>
    <t>Tỷ đồng</t>
  </si>
  <si>
    <t>+ Nông, lâm nghiệp, thuỷ sản</t>
  </si>
  <si>
    <t>+ Công nghiệp và xây dựng</t>
  </si>
  <si>
    <t>+ Dịch vụ</t>
  </si>
  <si>
    <t>b</t>
  </si>
  <si>
    <t xml:space="preserve"> - Nông, lâm nghiệp và thuỷ sản</t>
  </si>
  <si>
    <t xml:space="preserve"> % </t>
  </si>
  <si>
    <t xml:space="preserve"> - Công nghiệp và xây dựng</t>
  </si>
  <si>
    <t xml:space="preserve"> - Dịch vụ</t>
  </si>
  <si>
    <t>Thu nhập bình quân đầu người</t>
  </si>
  <si>
    <t>Triệu đồng</t>
  </si>
  <si>
    <t>%</t>
  </si>
  <si>
    <t>- Quốc doanh Trung ương</t>
  </si>
  <si>
    <t>- Quốc doanh địa phương</t>
  </si>
  <si>
    <t>- Kinh tế ngoài quốc doanh</t>
  </si>
  <si>
    <t>- Kinh tế có vốn đầu tư nước ngoài</t>
  </si>
  <si>
    <t>Trong đó:</t>
  </si>
  <si>
    <t>Tấn</t>
  </si>
  <si>
    <t>Xã</t>
  </si>
  <si>
    <t xml:space="preserve"> - Số xã có đường ô tô đến trung tâm xã mặt đường được cứng hóa</t>
  </si>
  <si>
    <t xml:space="preserve"> - Tỷ lệ xã có đường ô tô đến trung tâm xã, mặt đường được cứng hóa</t>
  </si>
  <si>
    <t xml:space="preserve"> - Tỷ lệ dân số nông thôn được sử dụng nước hợp vệ sinh</t>
  </si>
  <si>
    <t>Giáo dục</t>
  </si>
  <si>
    <t>xã</t>
  </si>
  <si>
    <t>Trong đó: + Cấp mầm non</t>
  </si>
  <si>
    <t xml:space="preserve">                + Cấp Tiểu học</t>
  </si>
  <si>
    <t xml:space="preserve">                + Cấp Trung học cơ sở</t>
  </si>
  <si>
    <t xml:space="preserve">                + Cấp Trung học phổ thông</t>
  </si>
  <si>
    <t xml:space="preserve"> - Số xã đạt tiêu chí quốc gia về y tế</t>
  </si>
  <si>
    <t xml:space="preserve"> - Tỷ lệ xã đạt tiêu chí quốc gia về y tế</t>
  </si>
  <si>
    <t>1/10000</t>
  </si>
  <si>
    <t xml:space="preserve"> - Tỷ lệ tăng dân số tự nhiên</t>
  </si>
  <si>
    <t>%o</t>
  </si>
  <si>
    <t xml:space="preserve"> - Số lao động được giải quyết việc làm trong năm</t>
  </si>
  <si>
    <t>Người</t>
  </si>
  <si>
    <t xml:space="preserve"> - Số lao động được đào tạo nghề trong năm</t>
  </si>
  <si>
    <t xml:space="preserve"> - Tỷ lệ lao động qua đào tạo</t>
  </si>
  <si>
    <t>Văn hóa</t>
  </si>
  <si>
    <t xml:space="preserve"> - Tỷ lệ hộ gia đình đạt tiêu chuẩn văn hóa</t>
  </si>
  <si>
    <t xml:space="preserve"> - Tỷ lệ cơ quan, đơn vị, trường học đạt tiêu chuẩn văn hóa</t>
  </si>
  <si>
    <t>CHỈ TIÊU PHÁT TRIỂN SẢN XUẤT NÔNG - LÂM - NGƯ NGHIỆP, PHÁT TRIỂN NÔNG THÔN</t>
  </si>
  <si>
    <t>Chỉ tiêu</t>
  </si>
  <si>
    <t>Đơn vị tính</t>
  </si>
  <si>
    <t>Chi tiết cho các xã</t>
  </si>
  <si>
    <t>T.trấn
 M.Tè</t>
  </si>
  <si>
    <t>Bum Nưa</t>
  </si>
  <si>
    <t>Vàng San</t>
  </si>
  <si>
    <t>Nậm Khao</t>
  </si>
  <si>
    <t>Mường Tè</t>
  </si>
  <si>
    <t>Can Hồ</t>
  </si>
  <si>
    <t>Pa Vệ Sủ</t>
  </si>
  <si>
    <t>Pa ủ</t>
  </si>
  <si>
    <t>Bum Tở</t>
  </si>
  <si>
    <t>Tá Bạ</t>
  </si>
  <si>
    <t>Ka Lăng</t>
  </si>
  <si>
    <t>Thu Lũm</t>
  </si>
  <si>
    <t>Mù Cả</t>
  </si>
  <si>
    <t>Tà Tổng</t>
  </si>
  <si>
    <t>A</t>
  </si>
  <si>
    <t>TỔNG GIÁ TRỊ SẢN XUẤT NÔNG LÂM NGHIỆP VÀ THỦY SẢN (THEO GIÁ SS 2010)</t>
  </si>
  <si>
    <t xml:space="preserve"> - Nông nghiệp</t>
  </si>
  <si>
    <t xml:space="preserve">       + Trồng trọt</t>
  </si>
  <si>
    <t xml:space="preserve">       + Chăn nuôi</t>
  </si>
  <si>
    <t xml:space="preserve"> - Lâm nghiệp</t>
  </si>
  <si>
    <t xml:space="preserve"> - Thuỷ sản</t>
  </si>
  <si>
    <t xml:space="preserve"> + Khai thác</t>
  </si>
  <si>
    <t xml:space="preserve"> + Nuôi trồng</t>
  </si>
  <si>
    <t>NÔNG NGHIỆP</t>
  </si>
  <si>
    <t>I</t>
  </si>
  <si>
    <t>Sản lượng lương thực</t>
  </si>
  <si>
    <t>Tổng sản lượng lương thực có hạt</t>
  </si>
  <si>
    <t xml:space="preserve">                - Ngô</t>
  </si>
  <si>
    <t>ha</t>
  </si>
  <si>
    <t>- Diện tích thu hoạch</t>
  </si>
  <si>
    <t>- Năng suất</t>
  </si>
  <si>
    <t>Tạ/ha</t>
  </si>
  <si>
    <t>- Sản lượng</t>
  </si>
  <si>
    <t>Lúa Đông -Xuân: Diện tích gieo cấy</t>
  </si>
  <si>
    <t>Ha</t>
  </si>
  <si>
    <t xml:space="preserve">              Năng suất</t>
  </si>
  <si>
    <t xml:space="preserve">              Sản lượng</t>
  </si>
  <si>
    <t>Lúa Mùa: Diện tích gieo cấy</t>
  </si>
  <si>
    <t xml:space="preserve">              Sản Lượng</t>
  </si>
  <si>
    <t>Lúa nương: Diện tích gieo cấy</t>
  </si>
  <si>
    <t xml:space="preserve">              Diện tích thu hoạch</t>
  </si>
  <si>
    <t>II</t>
  </si>
  <si>
    <t>Cây công nghiệp</t>
  </si>
  <si>
    <t>Cây công nghiệp hàng năm</t>
  </si>
  <si>
    <t>Cây Lạc</t>
  </si>
  <si>
    <t xml:space="preserve"> - Diện tích </t>
  </si>
  <si>
    <t xml:space="preserve"> - Năng suất</t>
  </si>
  <si>
    <t xml:space="preserve"> - Sản lượng</t>
  </si>
  <si>
    <t>Cây Đậu tương</t>
  </si>
  <si>
    <t>Cây công nghiệp lâu năm</t>
  </si>
  <si>
    <t>Cây chè</t>
  </si>
  <si>
    <t>- Tổng diện tích chè</t>
  </si>
  <si>
    <t>Trong đó: Trồng mới</t>
  </si>
  <si>
    <t xml:space="preserve"> + Diện tích chè kinh doanh</t>
  </si>
  <si>
    <t xml:space="preserve"> - Sản lượng chè búp tươi</t>
  </si>
  <si>
    <t>Cây thảo quả</t>
  </si>
  <si>
    <t xml:space="preserve"> - Diện tích</t>
  </si>
  <si>
    <t>Trong đó diện tích trồng mới</t>
  </si>
  <si>
    <t>Cây cao su</t>
  </si>
  <si>
    <t>III</t>
  </si>
  <si>
    <t>Một số cây trồng khác</t>
  </si>
  <si>
    <t>Cây rau, màu</t>
  </si>
  <si>
    <t>IV</t>
  </si>
  <si>
    <t>Chăn nuôi</t>
  </si>
  <si>
    <t>Tổng đàn gia súc</t>
  </si>
  <si>
    <t>Con</t>
  </si>
  <si>
    <t xml:space="preserve">    -  Đàn trâu</t>
  </si>
  <si>
    <t xml:space="preserve">    -  Đàn bò</t>
  </si>
  <si>
    <t xml:space="preserve">    -  Đàn lợn </t>
  </si>
  <si>
    <t>Tốc độ tăng trưởng đàn gia súc</t>
  </si>
  <si>
    <t>Tổng đàn gia cầm</t>
  </si>
  <si>
    <t>nghìn Con</t>
  </si>
  <si>
    <t>Thịt hơi các loại</t>
  </si>
  <si>
    <t>Trong đó: Thịt lợn</t>
  </si>
  <si>
    <t>B</t>
  </si>
  <si>
    <t>THỦY SẢN</t>
  </si>
  <si>
    <t xml:space="preserve"> + Sản lượng nuôi trồng</t>
  </si>
  <si>
    <t xml:space="preserve"> + Sản lượng đánh bắt</t>
  </si>
  <si>
    <t xml:space="preserve"> + Nuôi cá nước lạnh</t>
  </si>
  <si>
    <t>Số cơ sở</t>
  </si>
  <si>
    <t>Cơ sở</t>
  </si>
  <si>
    <t>Thể tích nuôi</t>
  </si>
  <si>
    <t>M3</t>
  </si>
  <si>
    <t>C</t>
  </si>
  <si>
    <t>LÂM NGHIỆP</t>
  </si>
  <si>
    <t>Tỷ lệ che phủ rừng</t>
  </si>
  <si>
    <t xml:space="preserve">Trong đó diện tích rừng trồng mới </t>
  </si>
  <si>
    <t xml:space="preserve"> + Rừng phòng hộ</t>
  </si>
  <si>
    <t xml:space="preserve"> + Rừng sản xuất</t>
  </si>
  <si>
    <t>Trong đó: Quế</t>
  </si>
  <si>
    <t xml:space="preserve">                Sa mu</t>
  </si>
  <si>
    <t>2.1</t>
  </si>
  <si>
    <t xml:space="preserve">  Rừng tự nhiên</t>
  </si>
  <si>
    <t xml:space="preserve"> + Rừng đặc dụng</t>
  </si>
  <si>
    <t>2.2</t>
  </si>
  <si>
    <t>Rừng trồng</t>
  </si>
  <si>
    <t xml:space="preserve">  + Rừng sản xuất</t>
  </si>
  <si>
    <t xml:space="preserve">  + Rừng phòng hộ</t>
  </si>
  <si>
    <t>2.3</t>
  </si>
  <si>
    <t>Rừng ngoài quy hoạch lâm nghiệp</t>
  </si>
  <si>
    <t>2.4</t>
  </si>
  <si>
    <t>Trong đó diện tích đã thành rừng</t>
  </si>
  <si>
    <t>2.5</t>
  </si>
  <si>
    <t>Cây mắc ca (Tổng diện tích)</t>
  </si>
  <si>
    <t>Trong đó: trồng mới</t>
  </si>
  <si>
    <t>Cây Quế (Tổng diện tích)</t>
  </si>
  <si>
    <t>Cây Sa mu (Tổng diện tích)</t>
  </si>
  <si>
    <t>- Khoán bảo vệ rừng</t>
  </si>
  <si>
    <t>- Khoanh nuôi rừng tái sinh</t>
  </si>
  <si>
    <t>- Chăm sóc rừng trồng</t>
  </si>
  <si>
    <t>D</t>
  </si>
  <si>
    <t>PHÁT TRIỂN NÔNG THÔN</t>
  </si>
  <si>
    <t>Tỷ lệ số xã đạt tiêu chuẩn NTM</t>
  </si>
  <si>
    <t>+ Số xã đạt từ 15-18 tiêu chí</t>
  </si>
  <si>
    <t>+ Số xã đạt từ 10-14 tiêu chí</t>
  </si>
  <si>
    <t>+ Số xã đạt từ 5-9 tiêu chí</t>
  </si>
  <si>
    <t>+ Số xã đạt dưới 5 tiêu chí</t>
  </si>
  <si>
    <t>+ Bình quân tiêu chí trên xã</t>
  </si>
  <si>
    <t>Tiêu chí/xã</t>
  </si>
  <si>
    <t>STT</t>
  </si>
  <si>
    <t>Tỉnh giao</t>
  </si>
  <si>
    <t>Tổng giá trị gia tăng CN(giá năm 2010)</t>
  </si>
  <si>
    <t>Tổng giá trị gia tăng CN theo thành phần kinh tế (giá hiện hành)</t>
  </si>
  <si>
    <t xml:space="preserve"> Phân theo thành phần kinh tế</t>
  </si>
  <si>
    <t>- CN ngoài quốc doanh</t>
  </si>
  <si>
    <t>- CN có vốn đầu tư nước ngoài</t>
  </si>
  <si>
    <t>Phân theo ngành công nghiệp</t>
  </si>
  <si>
    <t xml:space="preserve"> - Công nghiệp khai khoáng</t>
  </si>
  <si>
    <t xml:space="preserve"> - Công nghiệp chế biến, chế tạo</t>
  </si>
  <si>
    <t xml:space="preserve"> - Sản xuất và phân phối điện, khí đốt, nước</t>
  </si>
  <si>
    <t xml:space="preserve"> - Cung cấp nước, quản lý và xử lý rác thải, nước thải</t>
  </si>
  <si>
    <t>Chỉ số sản xuất công nghiệp (IIP) so với cùng kỳ theo gốc năm 2010</t>
  </si>
  <si>
    <t>Một số sản phẩm chủ yếu</t>
  </si>
  <si>
    <t>Điện sản xuất</t>
  </si>
  <si>
    <t>Đá xây dựng</t>
  </si>
  <si>
    <t>Gạch xây các loại</t>
  </si>
  <si>
    <t>Triệu viên</t>
  </si>
  <si>
    <t>Nước máy sản xuất</t>
  </si>
  <si>
    <t xml:space="preserve"> </t>
  </si>
  <si>
    <t>THƯƠNG MẠI - DỊCH VỤ</t>
  </si>
  <si>
    <t>- Dịch vụ lưu trú, ăn uống</t>
  </si>
  <si>
    <t>- Du lịch lữ hành</t>
  </si>
  <si>
    <t>- Dịch vụ khác</t>
  </si>
  <si>
    <t>Mạng lưới</t>
  </si>
  <si>
    <t>cái</t>
  </si>
  <si>
    <t>Phòng</t>
  </si>
  <si>
    <t xml:space="preserve"> - Nhà hàng</t>
  </si>
  <si>
    <t xml:space="preserve"> Trong đó:</t>
  </si>
  <si>
    <t>Lượt</t>
  </si>
  <si>
    <t>Doanh thu ngành vận tải</t>
  </si>
  <si>
    <t>Vận tải hành khách</t>
  </si>
  <si>
    <t>Vận tải hàng hóa</t>
  </si>
  <si>
    <t>Sản phẩm chủ yếu</t>
  </si>
  <si>
    <t>1.000 Tấn</t>
  </si>
  <si>
    <t>Tốc độ tăng khối lượng hàng hóa vận chuyển</t>
  </si>
  <si>
    <t>Tốc độ tăng khối lượng hàng hóa luân chuyển</t>
  </si>
  <si>
    <t xml:space="preserve"> Khối lượng HK vận chuyển</t>
  </si>
  <si>
    <t>1.000. HK</t>
  </si>
  <si>
    <t>Tốc độ tăng khối lượng hành khách vận chuyển</t>
  </si>
  <si>
    <t xml:space="preserve"> Khối lượng HK luân chuyển</t>
  </si>
  <si>
    <t>Tốc độ tăng khối lượng hành khách luân chuyển</t>
  </si>
  <si>
    <t>Đơn vị</t>
  </si>
  <si>
    <t>PHÁT TRIỂN DOANH NGHIỆP</t>
  </si>
  <si>
    <t>Doanh nghiệp 100% vốn nhà nước (DNNN)</t>
  </si>
  <si>
    <t>Số lượng doanh nghiệp</t>
  </si>
  <si>
    <t>Doanh nghiệp</t>
  </si>
  <si>
    <t>Tổng vốn chủ sở hữu tại doanh nghiệp</t>
  </si>
  <si>
    <t>Nộp ngân sách nhà nước</t>
  </si>
  <si>
    <t>Tổng lợi nhuận</t>
  </si>
  <si>
    <t>Hình thức sắp xếp doanh nghiệp</t>
  </si>
  <si>
    <t>- Số doanh nghiệp giữ nguyên 100% vốn nhà nước</t>
  </si>
  <si>
    <t>- Số doanh nghiệp thực hiện cổ phần hóa</t>
  </si>
  <si>
    <t>- Số doanh nghiệp sắp xếp theo hình thức khác (bán, hợp nhất, sáp nhập,…)</t>
  </si>
  <si>
    <t>Doanh nghiệp ngoài nhà nước</t>
  </si>
  <si>
    <t>Tổng số doanh nghiệp đăng ký thành lập</t>
  </si>
  <si>
    <t xml:space="preserve">Doanh nghiệp </t>
  </si>
  <si>
    <t>Số doanh nghiệp đang hoạt động (lũy kế đến kỳ báo cáo)</t>
  </si>
  <si>
    <t>Trong đó: Số doanh nghiệp có phần vốn của nhà nước</t>
  </si>
  <si>
    <t>Số doanh nghiệp tư nhân trong nước đăng ký thành lập mới</t>
  </si>
  <si>
    <t>Tổng số vốn đăng ký của doanh nghiệp tư nhân trong nước</t>
  </si>
  <si>
    <t>Trong đó: Tổng vốn nhà nước đầu tư tại doanh nghiệp có phần vốn của nhà nước</t>
  </si>
  <si>
    <t>Số doanh nghiệp giải thể</t>
  </si>
  <si>
    <t>Số doanh nghiệp kinh doanh có lãi</t>
  </si>
  <si>
    <t>Tổng số lao động trong doanh nghiệp</t>
  </si>
  <si>
    <t>Thu nhập bình quân người lao động</t>
  </si>
  <si>
    <t>Tổng đóng góp ngân sách nhà nước</t>
  </si>
  <si>
    <t>Tổng ngân sách nhà nước hỗ trợ doanh nghiệp nhỏ và vừa</t>
  </si>
  <si>
    <t>PHÁT TRIỂN KINH TẾ TẬP THỂ</t>
  </si>
  <si>
    <t>Hợp tác xã</t>
  </si>
  <si>
    <t>HTX</t>
  </si>
  <si>
    <t xml:space="preserve">                   - Số HTX giải thể</t>
  </si>
  <si>
    <t>Tổng số thành viên hợp tác xã</t>
  </si>
  <si>
    <t>Tổng số lao động trong HTX</t>
  </si>
  <si>
    <t>Trong đó: số lao động là thành viên HTX</t>
  </si>
  <si>
    <t xml:space="preserve"> Thu nhập bình quân người lao động HTX</t>
  </si>
  <si>
    <t>Tổ hợp tác</t>
  </si>
  <si>
    <t>Tổng số tổ hợp tác</t>
  </si>
  <si>
    <t>Trong đó: Số tổ hợp tác đang ký chứng thực</t>
  </si>
  <si>
    <t>Tổng số thành viên tổ hợp tác</t>
  </si>
  <si>
    <t>Giảm nghèo (Theo chuẩn nghèo tiếp cận đa chiều)</t>
  </si>
  <si>
    <t xml:space="preserve">Tổng số hộ </t>
  </si>
  <si>
    <t xml:space="preserve">Hộ </t>
  </si>
  <si>
    <t>Số hộ nghèo</t>
  </si>
  <si>
    <t>Trong đó: Tỷ lệ hộ nghèo người dân tộc thiểu số</t>
  </si>
  <si>
    <t>Mức giảm tỷ lệ hộ nghèo</t>
  </si>
  <si>
    <t>Trong đó: Mức giảm tỷ lệ hộ nghèo người dân tộc thiểu số</t>
  </si>
  <si>
    <t>Số hộ cận nghèo</t>
  </si>
  <si>
    <t>Tỷ lệ hộ cận nghèo</t>
  </si>
  <si>
    <t>Số hộ thoát nghèo</t>
  </si>
  <si>
    <t>Số hộ tái nghèo và phát sinh mới</t>
  </si>
  <si>
    <t xml:space="preserve">Cung cấp các dịch vụ cơ sở hạ tầng thiết yếu </t>
  </si>
  <si>
    <t xml:space="preserve"> - Tổng số xã, phường, thị trấn toàn huyện</t>
  </si>
  <si>
    <t xml:space="preserve"> - Tổng số xã toàn huyện</t>
  </si>
  <si>
    <t xml:space="preserve">  + Số xã đặc biệt khó khăn (theo tiêu chuẩn của Chương trình 135)</t>
  </si>
  <si>
    <t xml:space="preserve"> + Số xã biên giới</t>
  </si>
  <si>
    <t xml:space="preserve"> + Tỷ lệ xã có đường ô tô đến trung tâm xã mặt đường được cứng hóa</t>
  </si>
  <si>
    <t xml:space="preserve"> - Số xã có điện lưới quốc gia</t>
  </si>
  <si>
    <t xml:space="preserve"> - Số xã có chợ xã, liên xã</t>
  </si>
  <si>
    <t>+ Tỷ lệ xã có chợ xã, liên xã</t>
  </si>
  <si>
    <t xml:space="preserve"> - Số hộ được sử dụng nước hợp vệ sinh</t>
  </si>
  <si>
    <t>Hộ</t>
  </si>
  <si>
    <t xml:space="preserve"> - Tỷ lệ hộ được sử dụng nước hợp vệ sinh</t>
  </si>
  <si>
    <t xml:space="preserve">  Trong đó:</t>
  </si>
  <si>
    <t xml:space="preserve">  + Khu vực thành thị</t>
  </si>
  <si>
    <t xml:space="preserve">  + Khu vực nông thôn</t>
  </si>
  <si>
    <t>Số người tham gia bảo hiểm xã hội bắt buộc</t>
  </si>
  <si>
    <t>Số người tham gia bảo hiểm thất nghiệp</t>
  </si>
  <si>
    <t xml:space="preserve">Tạo việc làm </t>
  </si>
  <si>
    <t>Lực lượng lao động từ 15 tuổi trở lên</t>
  </si>
  <si>
    <t>Tỷ lệ so với dân số</t>
  </si>
  <si>
    <t xml:space="preserve"> - Số lao động chia theo khu vực</t>
  </si>
  <si>
    <t xml:space="preserve">    + Lao động thành thị</t>
  </si>
  <si>
    <t xml:space="preserve">    + Lao động nông thôn</t>
  </si>
  <si>
    <t>Lực lượng lao động từ 15 tuổi trở lên đang làm việc trong nền kinh tế quốc dân</t>
  </si>
  <si>
    <t>Cơ cấu lao động</t>
  </si>
  <si>
    <t xml:space="preserve"> - Nông, lâm nghiệp, thủy sản</t>
  </si>
  <si>
    <t xml:space="preserve">Tỷ lệ lao động được đào tạo so với tổng số lao động </t>
  </si>
  <si>
    <t>Trong đó: tỷ lệ lao động nữ được đào tạo</t>
  </si>
  <si>
    <t>Trong đó: Lao động nữ</t>
  </si>
  <si>
    <t>Tỷ lệ thất nghiệp khu vực thành thị</t>
  </si>
  <si>
    <t>Trong đó: Tỷ lệ nữ thất nghiệp khu vực thành thị</t>
  </si>
  <si>
    <t>Tỷ lệ thiếu việc làm khu vực nông thôn</t>
  </si>
  <si>
    <t>Trong đó: Tỷ lệ nữ thiếu việc làm khu vực nông thôn</t>
  </si>
  <si>
    <t xml:space="preserve"> Số lao động đi làm việc ở nước ngoài theo hợp đồng</t>
  </si>
  <si>
    <t>V</t>
  </si>
  <si>
    <t>Đào tạo nghề mới trong năm</t>
  </si>
  <si>
    <t xml:space="preserve"> Số lao động được đào tạo nghề trong năm</t>
  </si>
  <si>
    <t>+  Đào tạo nghề sơ cấp và dạy nghề thường xuyên (dưới 3 tháng)</t>
  </si>
  <si>
    <t>+ Đào tạo nghề trung cấp</t>
  </si>
  <si>
    <t>VI</t>
  </si>
  <si>
    <t xml:space="preserve"> Trật tự an toàn xã hội</t>
  </si>
  <si>
    <t xml:space="preserve"> -  Số lượt người được cai nghiện ma túy</t>
  </si>
  <si>
    <t xml:space="preserve"> - Điều trị thay thế các chất dạng thuốc phiện bằng thuốc Methadone</t>
  </si>
  <si>
    <t>VII</t>
  </si>
  <si>
    <t>TRẺ EM</t>
  </si>
  <si>
    <t>Xã, phường đạt tiêu chuẩn xã, phường phù hợp với trẻ em (lũy kế)</t>
  </si>
  <si>
    <t>- Tỷ lệ xã, phường đạt tiêu chuẩn xã, phường phù hợp với trẻ em</t>
  </si>
  <si>
    <t>Tỷ lệ trẻ em có hoàn cảnh đặc biệt được chăm sóc</t>
  </si>
  <si>
    <t>Biểu số 8</t>
  </si>
  <si>
    <t xml:space="preserve">  Dân số </t>
  </si>
  <si>
    <t xml:space="preserve"> - Dân số trung bình</t>
  </si>
  <si>
    <t xml:space="preserve"> Trong đó :  </t>
  </si>
  <si>
    <t>Dân số là dân tộc thiểu số</t>
  </si>
  <si>
    <t xml:space="preserve"> - Tỷ lệ tăng dân số</t>
  </si>
  <si>
    <t xml:space="preserve"> - Tỷ số giới tính của trẻ em mới sinh</t>
  </si>
  <si>
    <t>Số bé trai/ 100 bé gái</t>
  </si>
  <si>
    <t xml:space="preserve"> - Tuổi thọ trung bình</t>
  </si>
  <si>
    <t>Tuổi</t>
  </si>
  <si>
    <t xml:space="preserve"> Kế hoạch hoá gia đình</t>
  </si>
  <si>
    <t xml:space="preserve">  - Tỷ lệ các cặp vợ chồng thực hiện các biện pháp tránh thai</t>
  </si>
  <si>
    <t xml:space="preserve"> - Tỷ lệ các bà mẹ sinh con thứ 3 trở lên so với tổng số bà mẹ sinh con trong năm</t>
  </si>
  <si>
    <t xml:space="preserve"> Chăm sóc bảo vệ trẻ em</t>
  </si>
  <si>
    <t xml:space="preserve"> - Khám sàng lọc sứt môi hở hàm ếch </t>
  </si>
  <si>
    <t>cháu</t>
  </si>
  <si>
    <t xml:space="preserve"> + Phẫu thuật nụ cười</t>
  </si>
  <si>
    <t xml:space="preserve"> - Khám sàng lọc khuyết tật chi</t>
  </si>
  <si>
    <t xml:space="preserve"> + Phẫu thuật chi</t>
  </si>
  <si>
    <t xml:space="preserve"> - Khám sàng lọc mắt</t>
  </si>
  <si>
    <t xml:space="preserve"> + Phẫu thuật ánh mắt trẻ thơ</t>
  </si>
  <si>
    <t>Biểu số 10</t>
  </si>
  <si>
    <t xml:space="preserve">MỘT SỐ CHỈ TIÊU CHỦ YẾU NGÀNH Y TẾ </t>
  </si>
  <si>
    <t>Cơ sở cung cấp dịch vụ y tế, BVSK</t>
  </si>
  <si>
    <t>Số cơ sở y tế quốc lập</t>
  </si>
  <si>
    <t>cơ sở</t>
  </si>
  <si>
    <t xml:space="preserve"> - Bệnh viện đa khoa huyện</t>
  </si>
  <si>
    <t>BV</t>
  </si>
  <si>
    <t xml:space="preserve"> - Trung tâm y tế huyện/thành phố</t>
  </si>
  <si>
    <t xml:space="preserve"> - Phòng khám đa khoa khu vực</t>
  </si>
  <si>
    <t>PK</t>
  </si>
  <si>
    <t xml:space="preserve"> - Trạm y tế xã/phường/thị trấn</t>
  </si>
  <si>
    <t>Trạm</t>
  </si>
  <si>
    <t>Cơ sở y tế tư nhân</t>
  </si>
  <si>
    <t>Tổng số giường bệnh quốc lập toàn tỉnh</t>
  </si>
  <si>
    <t>Giường</t>
  </si>
  <si>
    <t xml:space="preserve"> - Giường bệnh tuyến tỉnh</t>
  </si>
  <si>
    <t>Số giường bệnh/10.000 dân (không tính giường trạm y tế xã)</t>
  </si>
  <si>
    <t>Trong đó : Số giường bệnh quốc lập/ 1 vạn dân</t>
  </si>
  <si>
    <t xml:space="preserve"> Giường </t>
  </si>
  <si>
    <t>Nhân lực y tế</t>
  </si>
  <si>
    <t>Tổng số cán bộ toàn ngành</t>
  </si>
  <si>
    <t xml:space="preserve">Trong đó: </t>
  </si>
  <si>
    <t>1.1</t>
  </si>
  <si>
    <t>Bác sỹ</t>
  </si>
  <si>
    <t>Số bác sỹ/vạn dân</t>
  </si>
  <si>
    <t>1.2</t>
  </si>
  <si>
    <t>Dược sỹ</t>
  </si>
  <si>
    <t>Tỷ lệ dược sỹ/vạn dân</t>
  </si>
  <si>
    <t>Tỷ lệ Trạm y tế xã, phường, thị trấn có bác sỹ (bao gồm bác sỹ làm việc định kỳ)</t>
  </si>
  <si>
    <t>Tỷ lệ Trạm y tế xã, phường, thị trấn có bác sỹ (biên chế tại trạm)</t>
  </si>
  <si>
    <t xml:space="preserve"> Tỷ lệ trạm y tế xã, phường, thị trấn có có nữ hộ sinh hoặc y sỹ sản nhi</t>
  </si>
  <si>
    <t>Tỷ lệ thôn, bản có nhân viên y tế thôn bản hoạt động</t>
  </si>
  <si>
    <t>Một số chỉ tiêu tổng hợp</t>
  </si>
  <si>
    <t xml:space="preserve"> Số xã đạt tiêu chí quốc gia về y tế xã</t>
  </si>
  <si>
    <t>Trong đó: Số được công nhận mới trong năm</t>
  </si>
  <si>
    <t xml:space="preserve"> Tỷ lệ xã đạt tiêu chí quốc gia về y tế xã</t>
  </si>
  <si>
    <t>Tỷ suất chết của người mẹ trong thời gian thai sản trên 100.000 trẻ đẻ sống</t>
  </si>
  <si>
    <t>Tỷ suất mắc các bệnh xã hội</t>
  </si>
  <si>
    <t xml:space="preserve"> - Uốn ván</t>
  </si>
  <si>
    <t>1/100.000</t>
  </si>
  <si>
    <t xml:space="preserve"> - Sốt rét</t>
  </si>
  <si>
    <t xml:space="preserve"> - Lao</t>
  </si>
  <si>
    <t xml:space="preserve"> - HIV/ AIDS</t>
  </si>
  <si>
    <t>Số trẻ em dưới 15 tuổi mắc/chết các bệnh có văc xin tiêm chủng</t>
  </si>
  <si>
    <t xml:space="preserve"> - Số mắc</t>
  </si>
  <si>
    <t xml:space="preserve"> - Số chết</t>
  </si>
  <si>
    <t>Số người bị ngộ độc thực phẩm cấp tính trong năm/100.000 dân</t>
  </si>
  <si>
    <t xml:space="preserve"> Đào tạo</t>
  </si>
  <si>
    <t>Duy trì đào tạo</t>
  </si>
  <si>
    <t xml:space="preserve"> - Bác sỹ CKI ,II, thạc sỹ</t>
  </si>
  <si>
    <t xml:space="preserve"> - Đại học Y, dược, y tế cộng đồng</t>
  </si>
  <si>
    <t xml:space="preserve"> - Đại học điều dưỡng</t>
  </si>
  <si>
    <t xml:space="preserve"> - Trung cấp y tế</t>
  </si>
  <si>
    <t>Đào tạo mới trong năm</t>
  </si>
  <si>
    <t xml:space="preserve"> - Đào tạo liên thông từ trung cấp lên cao đẳng, đại học tại Trường Trung cấp y tỉnh Lai Châu</t>
  </si>
  <si>
    <t>Biểu số 11</t>
  </si>
  <si>
    <t xml:space="preserve">MỘT SỐ CHỈ TIÊU VỀ GIÁO DỤC VÀ ĐÀO TẠO </t>
  </si>
  <si>
    <t xml:space="preserve"> Tổng số học sinh </t>
  </si>
  <si>
    <t xml:space="preserve"> Hệ mầm non</t>
  </si>
  <si>
    <t xml:space="preserve"> - Số cháu vào nhà trẻ</t>
  </si>
  <si>
    <t xml:space="preserve"> Cháu</t>
  </si>
  <si>
    <t xml:space="preserve"> - Số học sinh mẫu giáo</t>
  </si>
  <si>
    <t xml:space="preserve"> H/ sinh</t>
  </si>
  <si>
    <t xml:space="preserve"> Hệ phổ thông</t>
  </si>
  <si>
    <t>Chia theo bậc học</t>
  </si>
  <si>
    <t xml:space="preserve"> - Tiểu học</t>
  </si>
  <si>
    <t xml:space="preserve"> + Trong đó: trường Phổ thông dân tộc bán trú Tiểu học</t>
  </si>
  <si>
    <t xml:space="preserve"> - Trung học cơ sở  </t>
  </si>
  <si>
    <t xml:space="preserve"> + Trong đó: trường Phổ thông dân tộc bán trú Trung học cơ sở</t>
  </si>
  <si>
    <t xml:space="preserve"> - Trung học Phổ thông</t>
  </si>
  <si>
    <t>Trung tâm GDNN-GDTX</t>
  </si>
  <si>
    <t>Tổng số học sinh là dân tộc thiểu số</t>
  </si>
  <si>
    <t>Chia ra:</t>
  </si>
  <si>
    <t xml:space="preserve"> + Mầm non</t>
  </si>
  <si>
    <t xml:space="preserve"> + Tiểu học</t>
  </si>
  <si>
    <t xml:space="preserve"> + Trung học sơ sở</t>
  </si>
  <si>
    <t xml:space="preserve"> + Trung học phổ thông</t>
  </si>
  <si>
    <t>Tỷ lệ trẻ em trong độ tuổi đi học mẫu giáo</t>
  </si>
  <si>
    <t>Tỷ lệ học sinh đi học đúng độ tuổi</t>
  </si>
  <si>
    <t xml:space="preserve"> Hướng nghiệp dạy nghề cho h/sinh PT</t>
  </si>
  <si>
    <t xml:space="preserve"> H/sinh</t>
  </si>
  <si>
    <t xml:space="preserve"> Phổ cập giáo dục</t>
  </si>
  <si>
    <t>Tổng số giáo viên</t>
  </si>
  <si>
    <t>Trong đó: Tỷ lệ giáo viên đạt chuẩn</t>
  </si>
  <si>
    <t>- Cấp mầm non</t>
  </si>
  <si>
    <t xml:space="preserve"> - Cấp Tiểu học</t>
  </si>
  <si>
    <t xml:space="preserve"> - Cấp Trung học cơ sở</t>
  </si>
  <si>
    <t xml:space="preserve"> - Cấp Trung học phổ thông</t>
  </si>
  <si>
    <t xml:space="preserve"> - Trung tâm giáo dục thường xuyên</t>
  </si>
  <si>
    <t>VIII</t>
  </si>
  <si>
    <t xml:space="preserve"> Tổng số trường học</t>
  </si>
  <si>
    <t xml:space="preserve"> Trường</t>
  </si>
  <si>
    <t xml:space="preserve"> Trong đó: + Trường phổ thông Dân tộc nội trú  tỉnh, huyện</t>
  </si>
  <si>
    <t xml:space="preserve"> - Trường mầm non</t>
  </si>
  <si>
    <t xml:space="preserve"> - Trường phổ thông tiểu học</t>
  </si>
  <si>
    <t xml:space="preserve"> - Trường trung học cơ sở (cấp 2)</t>
  </si>
  <si>
    <t xml:space="preserve"> - Trung tâm GDNN - GDTX</t>
  </si>
  <si>
    <t>IX</t>
  </si>
  <si>
    <t xml:space="preserve">Số trường đạt chuẩn quốc gia </t>
  </si>
  <si>
    <t>Trường</t>
  </si>
  <si>
    <t xml:space="preserve"> Tỷ lệ trường đạt chuẩn quốc gia</t>
  </si>
  <si>
    <t>Trong đó: Công nhận mới trong năm</t>
  </si>
  <si>
    <t xml:space="preserve"> - Cấp mầm non</t>
  </si>
  <si>
    <t xml:space="preserve"> - Cấp Trung học cơ sở </t>
  </si>
  <si>
    <t>X</t>
  </si>
  <si>
    <t xml:space="preserve">Tổng số phòng học </t>
  </si>
  <si>
    <t xml:space="preserve"> Tr.đó: Tỷ lệ kiên cố hóa, bán kiên cố</t>
  </si>
  <si>
    <t xml:space="preserve">   + Cấp mầm non</t>
  </si>
  <si>
    <t xml:space="preserve">   Tr.đó: Tỷ lệ kiên cố hóa, bán kiên cố</t>
  </si>
  <si>
    <t xml:space="preserve">   + Cấp Tiểu học</t>
  </si>
  <si>
    <t xml:space="preserve">    Tr.đó: Tỷ lệ kiên cố hóa, bán kiên cố</t>
  </si>
  <si>
    <t xml:space="preserve">   + Cấp Trung học cơ sở </t>
  </si>
  <si>
    <t xml:space="preserve">   + Cấp Trung học phổ thông</t>
  </si>
  <si>
    <t xml:space="preserve">   + Trung tâm GDNN - GDTX</t>
  </si>
  <si>
    <t>Tỷ lệ huy động</t>
  </si>
  <si>
    <t>Biểu số 12</t>
  </si>
  <si>
    <t>VĂN HÓA - THÔNG TIN</t>
  </si>
  <si>
    <t xml:space="preserve"> Mục tiêu, chỉ tiêu hoạt động</t>
  </si>
  <si>
    <t xml:space="preserve"> Điện ảnh</t>
  </si>
  <si>
    <t xml:space="preserve"> - Tổng số buổi hoạt động nhà nước tài trợ</t>
  </si>
  <si>
    <t>Buổi</t>
  </si>
  <si>
    <t>Trong đó: + Số buổi chiếu vùng III</t>
  </si>
  <si>
    <t xml:space="preserve"> - Số lượt người xem chiếu bóng trong năm</t>
  </si>
  <si>
    <t>1000 lượt</t>
  </si>
  <si>
    <t>Nghệ thuật biểu diễn</t>
  </si>
  <si>
    <t xml:space="preserve"> - Số đơn vị nghệ thuật chuyên nghiệp</t>
  </si>
  <si>
    <t xml:space="preserve"> - Số buổi biểu diễn</t>
  </si>
  <si>
    <t xml:space="preserve"> Trong đó: Biểu diễn phục vụ vùng cao</t>
  </si>
  <si>
    <t xml:space="preserve"> - Tổng số đội thông tin lưu động</t>
  </si>
  <si>
    <t>Đội</t>
  </si>
  <si>
    <t xml:space="preserve"> - Số buổi hoạt động</t>
  </si>
  <si>
    <t xml:space="preserve">     Trong đó: - Đội TTLĐ tỉnh</t>
  </si>
  <si>
    <t xml:space="preserve"> - Số bản, làng đăng ký tiêu chuẩn VH trong năm</t>
  </si>
  <si>
    <t>Trong đó: Số bản, làng được công nhận trong năm</t>
  </si>
  <si>
    <t xml:space="preserve"> - Số hộ đăng ký tiêu chuẩn gia đình VH mới</t>
  </si>
  <si>
    <t>Trong đó: Số hộ được công nhận</t>
  </si>
  <si>
    <t xml:space="preserve"> - Tỷ lệ hộ, gia đình đạt tiêu chuẩn văn hóa</t>
  </si>
  <si>
    <t xml:space="preserve"> - Số cơ quan, đơn vị đăng ký tiêu chuẩn VH trong năm</t>
  </si>
  <si>
    <t>Cơ quan, đơn vị</t>
  </si>
  <si>
    <t>Trong đó: Số cơ quan, đơn vị được công nhận trong năm</t>
  </si>
  <si>
    <t xml:space="preserve"> Thư viện</t>
  </si>
  <si>
    <t xml:space="preserve"> - Số sách mới </t>
  </si>
  <si>
    <t>Bản</t>
  </si>
  <si>
    <t>Trong đó:  + Thư viện tỉnh</t>
  </si>
  <si>
    <t xml:space="preserve"> - Tổng số sách có trong thư viện</t>
  </si>
  <si>
    <t>Trong đó: + Thư viện tỉnh</t>
  </si>
  <si>
    <t xml:space="preserve"> - Tổng số lượt người đọc trong năm</t>
  </si>
  <si>
    <t>Bảo tồn, bảo tàng</t>
  </si>
  <si>
    <t xml:space="preserve"> - Số hiện vật có đến cuối năm</t>
  </si>
  <si>
    <t>Hiện vật</t>
  </si>
  <si>
    <t xml:space="preserve"> Trong đó: Sưu tầm mới</t>
  </si>
  <si>
    <t xml:space="preserve"> - Số di tích đã được xếp hạng</t>
  </si>
  <si>
    <t>Di tích</t>
  </si>
  <si>
    <t xml:space="preserve"> Cơ sở vật chất cho hoạt động VHTT</t>
  </si>
  <si>
    <t xml:space="preserve"> Số đội chiếu bóng vùng cao</t>
  </si>
  <si>
    <t>Số nhà văn hoá trên địa bàn</t>
  </si>
  <si>
    <t>Nhà</t>
  </si>
  <si>
    <t xml:space="preserve">   Trong đó:  + Tỉnh quản lý</t>
  </si>
  <si>
    <t>Số nhà thư viện</t>
  </si>
  <si>
    <t xml:space="preserve"> Trong đó: Đã được xây dựng hoàn chỉnh</t>
  </si>
  <si>
    <t xml:space="preserve"> Báo chí - phát hành</t>
  </si>
  <si>
    <t>Báo chí in</t>
  </si>
  <si>
    <t>- Số báo phát hành</t>
  </si>
  <si>
    <t>Số</t>
  </si>
  <si>
    <t>- Số lượng phát hành</t>
  </si>
  <si>
    <t>1000 bản</t>
  </si>
  <si>
    <t>THỂ DỤC - THỂ THAO</t>
  </si>
  <si>
    <t xml:space="preserve"> Số người tham gia luyện tập thể thao thường xuyên</t>
  </si>
  <si>
    <t xml:space="preserve"> - Tỷ lệ so với dân số</t>
  </si>
  <si>
    <t>Số gia đình được công nhận là gia đình thể thao</t>
  </si>
  <si>
    <t>Gia đình</t>
  </si>
  <si>
    <t>Số câu lạc bộ thể dục thể thao cơ sở</t>
  </si>
  <si>
    <t>CLB</t>
  </si>
  <si>
    <t>Cơ sở thi đấu TDTT đúng tiêu chuẩn</t>
  </si>
  <si>
    <t xml:space="preserve"> - Sân vận động</t>
  </si>
  <si>
    <t>Sân</t>
  </si>
  <si>
    <t xml:space="preserve"> - Nhà luyện tập thể thao</t>
  </si>
  <si>
    <t>Viễn thông</t>
  </si>
  <si>
    <t>- Tổng số trạm BTS</t>
  </si>
  <si>
    <t>- Tổng số thuê bao điện thoại</t>
  </si>
  <si>
    <t>Thuê bao</t>
  </si>
  <si>
    <t xml:space="preserve"> - Số thuê bao điện thoại/100dân</t>
  </si>
  <si>
    <t>- Tổng số thuê bao Internet</t>
  </si>
  <si>
    <t>Tổng số giờ phát sóng truyền hình</t>
  </si>
  <si>
    <t>TH năm 2018</t>
  </si>
  <si>
    <t>- Số xã có mạng Internet</t>
  </si>
  <si>
    <t>Phát thanh - Truyền hình</t>
  </si>
  <si>
    <t xml:space="preserve">Tổng số giờ phát thanh </t>
  </si>
  <si>
    <t>Giờ</t>
  </si>
  <si>
    <t>Trong đó: Đài tỉnh</t>
  </si>
  <si>
    <t>CHỈ TIÊU HƯỚNG DẪN VỀ PHÒNG CHỐNG THIÊN TAI, BẢO VỆ MÔI TRƯỜNG,
 AN TOÀN GIAO THÔNG VÀ PHÒNG, CHỐNG CHÁY NỔ</t>
  </si>
  <si>
    <t>Phòng, chống thiên tai</t>
  </si>
  <si>
    <t xml:space="preserve"> - Số người chết vì hậu quả thiên tai</t>
  </si>
  <si>
    <t xml:space="preserve"> - Số người bị thương do thiên tai</t>
  </si>
  <si>
    <t xml:space="preserve"> - Tổng giá trị thiệt hại do thiên tai</t>
  </si>
  <si>
    <t>Bảo vệ môi trường</t>
  </si>
  <si>
    <t xml:space="preserve"> - Số vụ vi phạm pháp luật về bảo vệ môi trường được phát hiện</t>
  </si>
  <si>
    <t>Vụ</t>
  </si>
  <si>
    <t xml:space="preserve"> - Số vụ vi phạm pháp luật vê bảo vệ môi trường được xử lý</t>
  </si>
  <si>
    <t xml:space="preserve"> - Số tiên xử phạt vi phạm pháp luật vê bảo vệ môi trường</t>
  </si>
  <si>
    <t>An toàn giao thông</t>
  </si>
  <si>
    <t xml:space="preserve"> - Số vụ cháy, nổ</t>
  </si>
  <si>
    <t xml:space="preserve"> - Số người chết do cháy, nổ</t>
  </si>
  <si>
    <t xml:space="preserve"> - Số người bị thương do cháy, nổ</t>
  </si>
  <si>
    <t xml:space="preserve"> - Giá trị thiệt hại do cháy, nổ</t>
  </si>
  <si>
    <t>Thông tin và truyền thông</t>
  </si>
  <si>
    <t xml:space="preserve"> - Số sự cố tấn công mạng được phát hiện</t>
  </si>
  <si>
    <t xml:space="preserve"> - Số sự cố tấn công mạng được xử lý</t>
  </si>
  <si>
    <t>Thu NSNN trên địa bàn</t>
  </si>
  <si>
    <t xml:space="preserve"> - Diện tích gieo trồng</t>
  </si>
  <si>
    <t xml:space="preserve"> - Diện tích thu hoạch</t>
  </si>
  <si>
    <t>Phòng chống cháy, nổ</t>
  </si>
  <si>
    <t xml:space="preserve"> - Số khách sạn</t>
  </si>
  <si>
    <t xml:space="preserve"> - Số nhà nghỉ</t>
  </si>
  <si>
    <t xml:space="preserve"> + Số phòng nghỉ</t>
  </si>
  <si>
    <t xml:space="preserve"> + Công suất sử dụng phòng</t>
  </si>
  <si>
    <t>Trong đó: + Khách sạn 3 sao trở lên</t>
  </si>
  <si>
    <t xml:space="preserve">Tổng mức bán lẻ HH và doanh thu dịch vụ tiêu dùng (giá hiện hành) </t>
  </si>
  <si>
    <t xml:space="preserve">Tổng số bản </t>
  </si>
  <si>
    <t xml:space="preserve">                Đài huyện</t>
  </si>
  <si>
    <t xml:space="preserve">Ngô Thu - Đông: Diện tích </t>
  </si>
  <si>
    <t xml:space="preserve">Ha </t>
  </si>
  <si>
    <t xml:space="preserve"> - Rừng trồng đã thành rừng</t>
  </si>
  <si>
    <t xml:space="preserve"> - Rừng trồng chưa thành rừng</t>
  </si>
  <si>
    <t xml:space="preserve">                 + Dân số thành thị</t>
  </si>
  <si>
    <t xml:space="preserve">                 + Dân số nông thôn</t>
  </si>
  <si>
    <t>Stt</t>
  </si>
  <si>
    <t>TH 6 tháng năm 2019</t>
  </si>
  <si>
    <t xml:space="preserve">TH 6 tháng </t>
  </si>
  <si>
    <t>TH 9 tháng năm 2019</t>
  </si>
  <si>
    <t xml:space="preserve">Ước TH 9 tháng </t>
  </si>
  <si>
    <t>Năm 2020</t>
  </si>
  <si>
    <t>TH năm 2019</t>
  </si>
  <si>
    <t>Tỷ lệ hộ nghèo</t>
  </si>
  <si>
    <t>Tỷ lệ học sinh mẫu giáo đến trường</t>
  </si>
  <si>
    <t>Tỷ lệ tỷ lệ học sinh trong độ tuổi tiểu học đến trường</t>
  </si>
  <si>
    <t>Tỷ lệ học sinh trong độ tuổi trung học cơ sở đến trường</t>
  </si>
  <si>
    <t xml:space="preserve"> - Hộ nghèo theo chuẩn nghèo đa chiều</t>
  </si>
  <si>
    <t xml:space="preserve"> + Tỷ lệ hộ nghèo theo chuẩn nghèo đa chiều</t>
  </si>
  <si>
    <t>Môi trường</t>
  </si>
  <si>
    <t>-</t>
  </si>
  <si>
    <t xml:space="preserve"> - Tổng lượng chất thải rắn sinh hoạt đô thị phát sinh được thu gom</t>
  </si>
  <si>
    <t xml:space="preserve"> - Tỷ lệ số xã được thu gom, xử lý rác thải sinh hoạt</t>
  </si>
  <si>
    <t>Tỷ lệ bao phủ bảo hiểm y tế</t>
  </si>
  <si>
    <t>Tỷ lệ dân số được quản lý bằng hồ sơ sức khỏe điện tử</t>
  </si>
  <si>
    <t>Tỷ lệ hài lòng của người dân với dịch vụ y tế</t>
  </si>
  <si>
    <t xml:space="preserve"> - Số hộ được sử dụng điện lưới quốc gia</t>
  </si>
  <si>
    <t>Gồm 4 xã đạt chuẩn nông thôn mới</t>
  </si>
  <si>
    <t>Lúa cả năm: - Diện tích gieo trồng</t>
  </si>
  <si>
    <t>Cây ăn quả</t>
  </si>
  <si>
    <t>- Sản lượng cây ăn quả</t>
  </si>
  <si>
    <t>- Diện tích trồng mới</t>
  </si>
  <si>
    <t>Trong đó: Cây ăn quả ôn đới</t>
  </si>
  <si>
    <t xml:space="preserve">  + Rừng đặc dụng</t>
  </si>
  <si>
    <t>Tỷ lệ bản, khu phố có nhà văn hóa</t>
  </si>
  <si>
    <t>CÁC CHỈ TIÊU ĐỀ XUẤT ĐIỀU CHỈNH</t>
  </si>
  <si>
    <t>Tỉnh giao
(Tại dự thảo trình kỳ họp UBND tỉnh tháng 11)</t>
  </si>
  <si>
    <t xml:space="preserve">Biểu số 2 </t>
  </si>
  <si>
    <t xml:space="preserve"> Tỷ lệ che phủ rừng</t>
  </si>
  <si>
    <t xml:space="preserve">Trong đó: Sơn tra </t>
  </si>
  <si>
    <t xml:space="preserve"> + Rừng sản xuất </t>
  </si>
  <si>
    <t xml:space="preserve">Trong đó: Quế </t>
  </si>
  <si>
    <t xml:space="preserve">Rừng ngoài QH lâm nghiệp </t>
  </si>
  <si>
    <t>Cây Mắc ca (Tổng diện tích)</t>
  </si>
  <si>
    <t>Trong đó trồng mới</t>
  </si>
  <si>
    <t xml:space="preserve"> Khoán bảo vệ rừng</t>
  </si>
  <si>
    <t xml:space="preserve"> Khoanh nuôi rừng tái sinh</t>
  </si>
  <si>
    <t>UBND huyện đề nghị điều chỉnh</t>
  </si>
  <si>
    <t>Nguyên nhân, lý do điều chỉnh</t>
  </si>
  <si>
    <t>Diện tích thực tế</t>
  </si>
  <si>
    <t xml:space="preserve">Diện tích thực tế cây mắc ca trên địa bàn toàn huyện là 430,68 ha, KH năm 2021 trồng thêm 100 ha (liên kết với doanh nghiệp thực hiện), tổng diện tích cây mắc ca KH năm 2021 là 530,68 ha. </t>
  </si>
  <si>
    <t>Tổng số hộ toàn huyện là 10,705 hộ (biểu 7), tổng số hộ được công nhận đạt chuẩn 8,135 hộ, tỷ lệ hộ gia đình đạt tiêu chuẩn văn hóa là 76%.</t>
  </si>
  <si>
    <t>Trong đó: Số hộ được công nhận đạt chuẩn văn hóa</t>
  </si>
  <si>
    <t xml:space="preserve"> Tổng DT rừng hiện có (tính cả cao su và diện tích rừng chưa thành rừng che phủ)</t>
  </si>
  <si>
    <t xml:space="preserve"> Tổng DT rừng hiện có 
(bao gồm cả diện tích rừng trồng chưa thành rừng che phủ và rừng cao su)</t>
  </si>
  <si>
    <t xml:space="preserve">Hiện tại diện tích đất trống trên bản đồ còn nhiều (DT2 khoảng 21,257,51 ha),
 tuy nhiên số diện tích thực tế có cây gỗ tái sinh ít, hằng năm ảnh hưởng thiên tai, mưa lũ, sạt lở, mặt khác việc chuyển đổi mục đích sử dụng đất rừng để phục vụ xây dựng các dự án phát triển KTXH-QPAN, giao thông, ổn định dân cư, các dự án thủy điện… do vậy trong thời diện tích đất lâm nghiệp sẽ không tăng nhiều. Dự ước năm 2021 tăng thêm 130 ha rừng tự nhiên các loại, tổng diện tích rừng che phủ là 174.131 ha, chiếm tỷ lệ 65,1% tổng diện tích tự nhiên toàn huyện. </t>
  </si>
  <si>
    <t>Rừng tự nhiên các loại năm 2020 ước đạt 173.760 ha, Dự ước năm 2021 tăng thêm 130 ha, nâng tổng lên 173.890 ha</t>
  </si>
  <si>
    <t>Theo bản đồ bản đồ quy hoạch bảo vệ và phát triển rừng đã được phê duyệt kèm theo Quyết định số 17/2012/QĐ-UBND ngày 20/8/2012 của UBND tỉnh Lai Châu, diện tích đất rừng phòng hộ có khả năng trồng rừng trên địa bàn huyện nhỏ lẻ, manh mún, xa khu dân cư, địa hình hình phức tạp, độ dốc lớn, không có đường giao thông đị lại, khó khăn trong khâu vận chuyển cây giống và chăm sóc bảo vệ sau trồng. Thực tế trong những năm qua diện tích trồng rừng phòng hộ trên địa bàn huyện không hiệu quả, mật độ cây sống sau khi trồng thấp, chất lượng kém, tỷ lệ thành rừng thấp.</t>
  </si>
  <si>
    <t xml:space="preserve">               Mắc ca</t>
  </si>
  <si>
    <t xml:space="preserve">Diện tích thực tế thực hiện khoanh nuôi rừng tái sinh là 6.644,63 ha (là diện tích được giao Ban Quản lý rừng phòng hộ huyện chủ trì thực hiện), diện tích khoanh nuôi rừng tái sinh của các xã thực tế có xong xã không thực hiện được do bất cập trong công giao đất theo Nghị định số 163/NĐ-CP, ngày </t>
  </si>
  <si>
    <t>Thực hiện chi trả dịch vụ môi trường rừng theo hình thức khoán bảo vệ rừng căn cứ vào số diện tích rừng che phủ (không tính diện tích cây cao su), năm 2021 diện tích rừng phe phủ  huyện Mường Tè dự kiến là  174.431 ha (bao gồm 400,7 ha cây cao su), như vậy diện tích rừng giao khoán bảo vệ cho Nhân dân dự kiến là 174.032 ha.</t>
  </si>
  <si>
    <t xml:space="preserve"> - Số vụ va chạm, tai nạn giao thông</t>
  </si>
  <si>
    <t>Trong đó: + Số người chết</t>
  </si>
  <si>
    <t xml:space="preserve">                + Số người bị thương</t>
  </si>
  <si>
    <t>KH huyện</t>
  </si>
  <si>
    <t>KH tỉnh</t>
  </si>
  <si>
    <t>TỔNG HỢP CÁC CHỈ TIÊU NĂM 2021 TỈNH GIAO CAO HƠN KH HUYỆN</t>
  </si>
  <si>
    <t>Sản lượng nuôi trồng thủy sản</t>
  </si>
  <si>
    <t xml:space="preserve"> + Quế</t>
  </si>
  <si>
    <t xml:space="preserve"> + Mắc ca</t>
  </si>
  <si>
    <t xml:space="preserve"> + Bình quân tiêu chí NTM trên xã</t>
  </si>
  <si>
    <t>Biểu 2. CHỈ TIÊU PHÁT TRIỂN SẢN XUẤT NÔNG - LÂM - NGƯ NGHIỆP, PHÁT TRIỂN NÔNG THÔN</t>
  </si>
  <si>
    <t>Biểu 3. CHỈ TIÊU HƯỚNG DẪN PHÁT TRIỂN SẢN XUẤT CÔNG NGHIỆP</t>
  </si>
  <si>
    <t>Biểu 7. CHỈ TIÊU HƯỚNG DẪN VỀ XÃ HỘI - LAO ĐỘNG - GIẢI QUYẾT VIỆC LÀM</t>
  </si>
  <si>
    <t>Số người tham gia bảo hiểm xã hội tự nguyện</t>
  </si>
  <si>
    <t>Số người tham gia BHYT (có ước tính thêm số  đối tượng quân đội, công an tham gia tại BHXH bộ Quốc phòng)</t>
  </si>
  <si>
    <t>Cơ quan chuyên môn không điều chỉnh</t>
  </si>
  <si>
    <t>Biểu 9. CHỈ TIÊU HƯỚNG DẪN VỀ PHÁT TRIỂN DÂN SỐ - GIA ĐÌNH &amp; TRẺ EM</t>
  </si>
  <si>
    <t xml:space="preserve"> - Tỷ lệ trạm y tế xã được xây dựng kiên cố</t>
  </si>
  <si>
    <t xml:space="preserve">Biểu 11. MỘT SỐ CHỈ TIÊU VỀ GIÁO DỤC VÀ ĐÀO TẠO </t>
  </si>
  <si>
    <t xml:space="preserve">    Số nhà văn hóa Thôn, bản, tổ dân phố</t>
  </si>
  <si>
    <t>Chênh lệch so với KH tỉnh
 (tăng, giảm)</t>
  </si>
  <si>
    <t>Số liệu thực tế</t>
  </si>
  <si>
    <t>Điều chỉnh</t>
  </si>
  <si>
    <t>khả thi nên không điều chỉnh</t>
  </si>
  <si>
    <t>K điều chỉnh vì là số liệu thực tế của Vinaphone và Viettel</t>
  </si>
  <si>
    <t xml:space="preserve">Tỷ lệ trẻ em dưới 5 tuổi suy dinh dưỡng </t>
  </si>
  <si>
    <t>+ Thể nhẹ cân</t>
  </si>
  <si>
    <t>+ Thể thấp còi</t>
  </si>
  <si>
    <r>
      <t xml:space="preserve">Tổng sản phẩm trên địa bàn </t>
    </r>
    <r>
      <rPr>
        <i/>
        <sz val="11"/>
        <rFont val="Times New Roman"/>
        <family val="1"/>
      </rPr>
      <t>(giá so sánh năm 2010)</t>
    </r>
  </si>
  <si>
    <r>
      <t>Cơ cấu theo ngành kinh tế</t>
    </r>
    <r>
      <rPr>
        <i/>
        <sz val="11"/>
        <rFont val="Times New Roman"/>
        <family val="1"/>
      </rPr>
      <t xml:space="preserve"> (giá hiện hành)</t>
    </r>
  </si>
  <si>
    <t xml:space="preserve"> điều chỉnh</t>
  </si>
  <si>
    <t>- Tỷ lệ dân số được quản lý bằng hồ sơ sức khỏe điện tử</t>
  </si>
  <si>
    <t>Năm 2021</t>
  </si>
  <si>
    <t>Diện tích tự nhiên</t>
  </si>
  <si>
    <t>Định hướng KH năm 2022</t>
  </si>
  <si>
    <t xml:space="preserve">Trong đó: Số giờ phát sóng truyền hình đài phát thanh truyền hình huyện tự sản xuất </t>
  </si>
  <si>
    <t>Trồng rừng mới</t>
  </si>
  <si>
    <t xml:space="preserve">Ghi chú
</t>
  </si>
  <si>
    <t>Số giường bệnh tư/ 1 vạn dân</t>
  </si>
  <si>
    <t xml:space="preserve">TH 9 tháng </t>
  </si>
  <si>
    <t>KH năm 2022</t>
  </si>
  <si>
    <t xml:space="preserve"> TH năm 2020</t>
  </si>
  <si>
    <t>Nghệ thuật quần chúng</t>
  </si>
  <si>
    <t>Tổng số buổi Hướng dẫn xây dựng đội văn nghệ ở cơ sở</t>
  </si>
  <si>
    <t>- Trong đó: + Cấp tỉnh</t>
  </si>
  <si>
    <t xml:space="preserve">                  '+ Cấp huyện</t>
  </si>
  <si>
    <t xml:space="preserve"> - Trường trung học phổ thông (cấp 3 + các trường Phổ thông dân tộc nội trú huyện) </t>
  </si>
  <si>
    <t>Các chỉ tiêu nông nghiệp, nông thôn mới</t>
  </si>
  <si>
    <t>Tỷ lệ trường được xây dựng kiên cố</t>
  </si>
  <si>
    <t>- Tỷ lệ trường học được xây dựng kiên cố</t>
  </si>
  <si>
    <t>- Tỷ lệ trạm y tế xã được xây dựng kiên cố</t>
  </si>
  <si>
    <t>- Tỷ lệ học sinh mẫu giáo đến trường</t>
  </si>
  <si>
    <t>- Tỷ lệ tỷ lệ học sinh trong độ tuổi tiểu học đến trường</t>
  </si>
  <si>
    <t>- Tỷ lệ học sinh trong độ tuổi trung học cơ sở đến trường</t>
  </si>
  <si>
    <t>- Tỷ lệ học sinh trong độ tuổi trung học phổ thông đến trường</t>
  </si>
  <si>
    <t>Giảm nghèo, giải quyết việc làm</t>
  </si>
  <si>
    <t xml:space="preserve"> Tỷ lệ dân số nông thôn được sử dụng nước hợp vệ sinh</t>
  </si>
  <si>
    <t>Tỷ lệ hộ dân tộc thiểu số được sử dụng nước sinh hoạt hợp vệ sinh</t>
  </si>
  <si>
    <t xml:space="preserve"> Thực hiện bộ tiêu chí quốc gia về NTM</t>
  </si>
  <si>
    <t>Số xã hoàn thành 19 tiêu chí NTM</t>
  </si>
  <si>
    <t>Biểu số 9</t>
  </si>
  <si>
    <t>Ghi chú:</t>
  </si>
  <si>
    <t>(1) Nguyên nhân do ảnh hưởng dịch tả lợn châu phí và một số hộ bán trâu, bò để trang trải công việc gia đình, làm nhà cửa, mua máy nông cụ để sản xuất…</t>
  </si>
  <si>
    <t xml:space="preserve"> - Tỷ lệ dân số đô thị được cung cấp nước sạch qua hệ thống cấp nước tập trung</t>
  </si>
  <si>
    <t xml:space="preserve">- Giữ vững và nâng cao chất lượng phổ cập giáo dục Mầm non cho trẻ 5 tuổi </t>
  </si>
  <si>
    <t>(3) Thu hồi QĐ đạt chuẩn trường MN Vàng San; Theo quy định tiêu chí trường THPT đạt chuẩn xanh, sạch, đẹp, an toàn, về cơ sở, vật chất, trang thiết bị đối với trường đơn vị trường Trung học phổ thông dân tộc nội trú Ka Lăng không đảm bảo theo tiêu chuẩn.</t>
  </si>
  <si>
    <t>Y tế, dân số</t>
  </si>
  <si>
    <t>(4) Chưa có kinh phí để triển khai.</t>
  </si>
  <si>
    <t>(5) Năm 2021 các Chương trình MTQG chưa được phân bổ kinh phí thực hiện, do vậy chưa có kinh phí triển khai xây dựng thêm.</t>
  </si>
  <si>
    <t>(2) 01 xã dự kiến khó đạt chuẩn nông thôn mới theo kế hoạch (xã Can Hồ) do: Hiện nay, Trung ương chưa ban hành bộ tiêu chí nông thôn mới giai đoạn 2021-2025; nguồn vốn đầu tư Chương trình mục tiêu quốc gia nông thôn mới giai đoạn 2021-2025 chưa được Trung ương phân bổ; mặt khác, từ năm 2022 áp dụng theo chuẩn nghèo giai đoạn 2021-2025, theo đó, mức thu nhập hộ nghèo thay đổi lớn (tăng từ dưới 700.000 đồng/người/tháng lên dưới 1,5 triệu đồng/người/tháng), nếu công nhận các xã đạt chuẩn nông thôn mới năm 2021 thì tiêu chí mức thu nhập tại các xã này năm 2022 có thể không đạt chuẩn.</t>
  </si>
  <si>
    <t>(6) Do một số bản chưa có nhà văn hóa, sân thể thao phù hợp với điều kiện của khu dân cư, một số bản có tỷ lệ người mắc tệ nạn xã hội cao..</t>
  </si>
  <si>
    <t xml:space="preserve">Ghi 
chú
</t>
  </si>
  <si>
    <t>KẾ HOẠCH HỖ TRỢ SẢN XUẤT NÔNG NGHIỆP THỰC HIỆN CÁC NGHỊ QUYẾT CỦA HĐND TỈNH</t>
  </si>
  <si>
    <t>Hỗ trợ giống lúa thuần</t>
  </si>
  <si>
    <t>Diện tích hỗ trợ</t>
  </si>
  <si>
    <t>Khối lượng hỗ trợ</t>
  </si>
  <si>
    <t>HỖ TRỢ SẢN XUẤT THEO NGHỊ QUYẾT SỐ 07/2021/NQ-HĐND</t>
  </si>
  <si>
    <t>Hỗ trợ chuồng trại chăn nuôi</t>
  </si>
  <si>
    <t>Hỗ trợ trồng cỏ và các loại cây thức ăn</t>
  </si>
  <si>
    <t>Hỗ trợ phát triển nuôi ong</t>
  </si>
  <si>
    <t>Hỗ trợ phát triển sản phẩm OCOP</t>
  </si>
  <si>
    <t>TRỒNG MỚI, CHĂM SÓC, TRỒNG BỔ SUNG RỪNG NĂM 2022 THEO NGHỊ QUYẾT SỐ 08/2021/NQ-HĐND</t>
  </si>
  <si>
    <t xml:space="preserve">Quế </t>
  </si>
  <si>
    <t>Rừng phòng hộ</t>
  </si>
  <si>
    <t>Chăm sóc rừng trồng</t>
  </si>
  <si>
    <t>Chăm sóc diện tích Quế</t>
  </si>
  <si>
    <t>Năm thứ 2 (rừng trồng năm 2021)</t>
  </si>
  <si>
    <t>Năm thứ 3 (rừng trồng năm 2020)</t>
  </si>
  <si>
    <t>Năm thứ 4 (rừng trồng năm 2019)</t>
  </si>
  <si>
    <t>Diện tích trồng bổ sung</t>
  </si>
  <si>
    <t>+</t>
  </si>
  <si>
    <t>Cây</t>
  </si>
  <si>
    <t>Thùng</t>
  </si>
  <si>
    <t>Điểm</t>
  </si>
  <si>
    <t xml:space="preserve">Nội dung hỗ trợ </t>
  </si>
  <si>
    <t>Ước TH năm 2021/KH năm 2021</t>
  </si>
  <si>
    <t>KH năm 2022/Ước TH 2021</t>
  </si>
  <si>
    <t>Biểu số 2.1</t>
  </si>
  <si>
    <t>Hỗ trợ sản xuất hàng hóa tập trung</t>
  </si>
  <si>
    <t>Hỗ trợ vôi cải thiện đất</t>
  </si>
  <si>
    <t>Hỗ trợ phát triển cây chè</t>
  </si>
  <si>
    <t>Bảo tồn cây chè cổ thụ</t>
  </si>
  <si>
    <t>Hỗ trợ cây ăn quả tập trung</t>
  </si>
  <si>
    <t>sp</t>
  </si>
  <si>
    <t>Hỗ trợ máy móc thiết bị, nhà kho, nhà xưởng</t>
  </si>
  <si>
    <t>- Thương nghiệp (giá hiện hành)</t>
  </si>
  <si>
    <t xml:space="preserve"> Số LĐ được giải quyết việc làm</t>
  </si>
  <si>
    <t>- Tỷ lệ xã, đạt phổ cập GDTH mức độ 3</t>
  </si>
  <si>
    <t>- Tỷ lệ xã, đạt phổ cập GDTH mức độ 2</t>
  </si>
  <si>
    <t>- Tỷ lệ xã, đạt phổ cập GDTHCS mức độ 1</t>
  </si>
  <si>
    <t>Năm 2021
 chưa thực hiện</t>
  </si>
  <si>
    <t>Năm 2022</t>
  </si>
  <si>
    <t>(Kèm theo Báo cáo số: …../BC-UBND, ngày      tháng       năm 2022 của UBND huyện Mường Tè)</t>
  </si>
  <si>
    <t>KẾ HOẠCH PHÁT TRIỂN KINH TẾ - XÃ HỘI 6 THÁNG ĐẦU NĂM 2022</t>
  </si>
  <si>
    <t xml:space="preserve"> TH  6 tháng 2022</t>
  </si>
  <si>
    <t>- Trồng rừng mới</t>
  </si>
  <si>
    <t>- Tốc độ tăng trưởng đàn gia súc</t>
  </si>
  <si>
    <t xml:space="preserve">- Tỷ lệ che phủ rừng </t>
  </si>
  <si>
    <t>- Tỷ lệ xã đạt chuẩn nông thôn mới</t>
  </si>
  <si>
    <t>Trong đó: - Số HTX Thành lập mới</t>
  </si>
  <si>
    <r>
      <t>m</t>
    </r>
    <r>
      <rPr>
        <b/>
        <vertAlign val="superscript"/>
        <sz val="10"/>
        <rFont val="Times New Roman"/>
        <family val="1"/>
      </rPr>
      <t>2</t>
    </r>
  </si>
  <si>
    <t xml:space="preserve"> Ước TH  năm 2022</t>
  </si>
  <si>
    <t xml:space="preserve"> - Tỷ lệ bản, khu phố có nhà văn hóa</t>
  </si>
  <si>
    <t>Kế hoạch năm 2023</t>
  </si>
  <si>
    <t>KH năm 2023/Ước TH năm 2022</t>
  </si>
  <si>
    <t>Ước năm  2022/KH năm 2022</t>
  </si>
  <si>
    <t>Diện tích thu hoạch</t>
  </si>
  <si>
    <t>Số người đi học tập và làm việc tại Trường Cao đẳng Than - Khoáng sản Việt Nam</t>
  </si>
  <si>
    <t>Tỷ lệ phụ nữ đẻ được khám thai ít nhất 3 lần trong thai kỳ</t>
  </si>
  <si>
    <t>Hạ tầng điện lưới</t>
  </si>
  <si>
    <t>Tỷ lệ hộ được sử dụng điện lưới Quốc gia</t>
  </si>
  <si>
    <t>Trong đó: Tỷ lệ hộ nông thôn được sử dụng điện lưới quốc gia</t>
  </si>
  <si>
    <t>Tỷ lệ đồng bào dân tộc thiểu số được xem truyền hình và nghe đài phát thanh</t>
  </si>
  <si>
    <t>- Số giờ phát thanh đài huyện tự sản xuất</t>
  </si>
  <si>
    <t>Hỗ trợ chi phí hoàn thiện hồ sơ tham gia đánh giá, phân hạng sản phẩm</t>
  </si>
  <si>
    <t>Hỗ trợ chi phí xây dựng hoặc thuê điểm giới thiệu và bán sản phẩm OCOP</t>
  </si>
  <si>
    <t>Thưởng cho chủ thể tham gia Chương trình OCOP có sản phẩm được công nhận</t>
  </si>
  <si>
    <t>Hỗ trợ chi phí thiết kế, in, mua bao bì, nhãn mác sản phẩm tham gia đánh giá, phân hạng các cấp</t>
  </si>
  <si>
    <t>Cây lâm nghiệp khác</t>
  </si>
  <si>
    <t>Chăm sóc diện tích cây gỗ lớn</t>
  </si>
  <si>
    <t>Chăm sóc rừng phòng hộ</t>
  </si>
  <si>
    <t>Trồng cây phân tán</t>
  </si>
  <si>
    <t>Đã có ý kiến thống nhất số liệu với Sở NN</t>
  </si>
  <si>
    <t>Hỗ trợ làm hầm biogas và đệm lót sinh học</t>
  </si>
  <si>
    <t xml:space="preserve">Hỗ trợ làm hầm biogas </t>
  </si>
  <si>
    <t>- Tổng sản lượng lương thực có hạt</t>
  </si>
  <si>
    <t xml:space="preserve">Kế hoạch </t>
  </si>
  <si>
    <t xml:space="preserve">Hạ tầng nông thôn </t>
  </si>
  <si>
    <t xml:space="preserve"> - Mức giảm tỷ suất sinh</t>
  </si>
  <si>
    <t xml:space="preserve"> - Tỷ lệ đồng bào dân tộc thiểu số được xem truyền hình và nghe đài phát thanh</t>
  </si>
  <si>
    <t>CHỈ TIÊU NÔNG THÔN MỚI</t>
  </si>
  <si>
    <t>Bình quân tiêu chí trên xã</t>
  </si>
  <si>
    <t xml:space="preserve"> Số xã đạt từ 15-18 tiêu chí</t>
  </si>
  <si>
    <t xml:space="preserve"> Số xã đạt từ 10-14 tiêu chí</t>
  </si>
  <si>
    <t xml:space="preserve"> Số xã đạt từ 5-9 tiêu chí</t>
  </si>
  <si>
    <t>Biểu số 01</t>
  </si>
  <si>
    <t>Biểu số 02</t>
  </si>
  <si>
    <t>Biểu số 03</t>
  </si>
  <si>
    <t>Biểu số 04</t>
  </si>
  <si>
    <t>CHỈ TIÊU PHÁT TRIỂN SẢN XUẤT CÔNG NGHIỆP</t>
  </si>
  <si>
    <t>Biểu số 05</t>
  </si>
  <si>
    <t xml:space="preserve">Khách sạn - nhà nghỉ </t>
  </si>
  <si>
    <t>CHỈ TIÊU VỀ PHÁT TRIỂN THƯƠNG MẠI - DU LỊCH - VẬN TẢI</t>
  </si>
  <si>
    <t>Vận tải</t>
  </si>
  <si>
    <t xml:space="preserve"> + Khối lượng hàng hoá vận chuyển</t>
  </si>
  <si>
    <t xml:space="preserve"> + Khối lượng hàng hoá luân chuyển</t>
  </si>
  <si>
    <t>Biểu số 06</t>
  </si>
  <si>
    <t>CHỈ TIÊU VỀ XÃ HỘI - LAO ĐỘNG - GIẢI QUYẾT VIỆC LÀM</t>
  </si>
  <si>
    <t>Biểu số 07</t>
  </si>
  <si>
    <t>CHỈ TIÊU VỀ PHÁT TRIỂN KINH TẾ TẬP THỂ</t>
  </si>
  <si>
    <t>CHỈ TIÊU VỀ PHÁT TRIỂN DÂN SỐ - GIA ĐÌNH &amp; TRẺ EM</t>
  </si>
  <si>
    <t>CHỈ TIÊU CHỦ YẾU NGÀNH THÔNG TIN VÀ TRUYỀN THÔNG, PHÁT THANH TRUYỀN HÌNH</t>
  </si>
  <si>
    <t xml:space="preserve"> CHỈ TIÊU VỀ PHÁT TRIỂN VĂN HÓA THÔNG TIN</t>
  </si>
  <si>
    <t xml:space="preserve">              Cây lâm nghiệp khác</t>
  </si>
  <si>
    <t>Triệu kwh</t>
  </si>
  <si>
    <t>Trong đó: doanh thu cung ứng cho thành viên</t>
  </si>
  <si>
    <t>Ước thực hiện 6 tháng</t>
  </si>
  <si>
    <t xml:space="preserve">Ước thực hiện cả năm </t>
  </si>
  <si>
    <t>Ước thực hiện cả năm</t>
  </si>
  <si>
    <t xml:space="preserve"> Giá trị sản xuất Công nghiệp</t>
  </si>
  <si>
    <t xml:space="preserve">                       - Các huyện, thị</t>
  </si>
  <si>
    <t xml:space="preserve">                   + Thư viện huyện, thành phố</t>
  </si>
  <si>
    <t xml:space="preserve">                     + Xã, phường quản lý</t>
  </si>
  <si>
    <t xml:space="preserve">                      +  Huyện, thành phố quản lý</t>
  </si>
  <si>
    <t xml:space="preserve">                    + Thôn, bản, tổ dân phố</t>
  </si>
  <si>
    <r>
      <t xml:space="preserve"> - Trường phổ thông cơ sở (cấp 1; 2)</t>
    </r>
    <r>
      <rPr>
        <vertAlign val="superscript"/>
        <sz val="10"/>
        <rFont val="Times New Roman"/>
        <family val="1"/>
      </rPr>
      <t xml:space="preserve"> 1</t>
    </r>
  </si>
  <si>
    <r>
      <t>Tổng số hợp tác xã</t>
    </r>
    <r>
      <rPr>
        <vertAlign val="superscript"/>
        <sz val="11"/>
        <rFont val="Times New Roman"/>
        <family val="1"/>
      </rPr>
      <t>(*)</t>
    </r>
  </si>
  <si>
    <t>Trong đó công nhận mới trong năm</t>
  </si>
  <si>
    <t>- Số xã đạt chuẩn nông thôn mới</t>
  </si>
  <si>
    <t xml:space="preserve"> - Tỷ lệ bản, khu phố có đường xe máy hoặc ô tô đi lại thuận lợi</t>
  </si>
  <si>
    <t>Trong đó: Tỷ lệ bản, khu phố có đường ô tô đi lại thuận lợi</t>
  </si>
  <si>
    <t>TH 9 tháng năm 2022</t>
  </si>
  <si>
    <t>KH năm 2024</t>
  </si>
  <si>
    <t xml:space="preserve"> TH  năm 2022</t>
  </si>
  <si>
    <t>TH năm 2022</t>
  </si>
  <si>
    <t>Doanh thu bình quân của hợp tác xã</t>
  </si>
  <si>
    <t>Số thôn, bản có nhân viên y tế thôn bản hoạt động</t>
  </si>
  <si>
    <t xml:space="preserve"> Tỷ lệ trẻ em dưới 5 tuổi bị suy dinh dưỡng (cân nặng theo tuổi) </t>
  </si>
  <si>
    <t xml:space="preserve"> Tỷ lệ trẻ em dưới 5 tuổi bị suy dinh dưỡng (chiều cao theo tuổi) </t>
  </si>
  <si>
    <t>- Tỷ lệ bao phủ bảo hiểm y tế</t>
  </si>
  <si>
    <t>Tỷ lệ phụ nữ đẻ được nhân viên y tế đã qua đào tạo đỡ</t>
  </si>
  <si>
    <t>Triệu đồng/năm</t>
  </si>
  <si>
    <t>Triệu đồng/ năm</t>
  </si>
  <si>
    <t xml:space="preserve"> - Tỷ lệ bản, khu phố đạt tiêu chuẩn văn hóa</t>
  </si>
  <si>
    <t xml:space="preserve"> - Tỷ lệ số bản, khu phố đạt tiêu chuẩn văn hóa</t>
  </si>
  <si>
    <t xml:space="preserve">Tỉnh giao </t>
  </si>
  <si>
    <t>Tên chỉ tiêu</t>
  </si>
  <si>
    <t>Huyện giao</t>
  </si>
  <si>
    <r>
      <t xml:space="preserve">Tỉnh giao 
</t>
    </r>
    <r>
      <rPr>
        <i/>
        <sz val="12"/>
        <color rgb="FF000000"/>
        <rFont val="Times New Roman"/>
        <family val="1"/>
      </rPr>
      <t>(thông qua tại kỳ họp UBND tỉnh ngày 08/11/2023)</t>
    </r>
  </si>
  <si>
    <t>SO SÁNH MỘT SỐ CHỈ TIÊU KH HUYỆN GIAO CHÊNH LỆCH SO VỚI KH TỈNH GIAO</t>
  </si>
  <si>
    <t>- Bình quân tiêu chí trên xã</t>
  </si>
  <si>
    <t xml:space="preserve">Ghi chú </t>
  </si>
  <si>
    <t>KH huyện công nhận thêm 01 xã đạt chuẩn NTM (Can Hồ), tuy nhiên bình quân tiêu chí NTM thấp hơn KH tỉnh giao</t>
  </si>
  <si>
    <r>
      <t xml:space="preserve">Chênh lệch so với KH tỉnh giao
</t>
    </r>
    <r>
      <rPr>
        <i/>
        <sz val="12"/>
        <color rgb="FF000000"/>
        <rFont val="Times New Roman"/>
        <family val="1"/>
      </rPr>
      <t xml:space="preserve"> (so sánh tuyệt đối)</t>
    </r>
  </si>
  <si>
    <t>Hạ tầng điện</t>
  </si>
  <si>
    <t>Nông, lâm nghiệp - NTM</t>
  </si>
  <si>
    <t>XÃ HỘI - LAO ĐỘNG - GIẢI QUYẾT VIỆC LÀM</t>
  </si>
  <si>
    <t>DÂN SỐ, Y TẾ</t>
  </si>
  <si>
    <t>1/10.000</t>
  </si>
  <si>
    <t>GIÁO DỤC</t>
  </si>
  <si>
    <t xml:space="preserve">Tỷ lệ giáo viên đạt chuẩn toàn huyện </t>
  </si>
  <si>
    <t>Tỷ lệ giáo viên đạt chuẩn Trung tâm GDTX</t>
  </si>
  <si>
    <t>VĂN HÓA - TT</t>
  </si>
  <si>
    <t>Số buổi chiếu vùng III</t>
  </si>
  <si>
    <r>
      <t xml:space="preserve"> Trong đó:</t>
    </r>
    <r>
      <rPr>
        <sz val="10"/>
        <rFont val="Times New Roman"/>
        <family val="1"/>
      </rPr>
      <t xml:space="preserve">  + Cai tại trung tâm điều trị cai nghiện bắt buộc tỉnh Lai Châu (bao gồm cả cai tự nguyện và bắt buộc)</t>
    </r>
  </si>
  <si>
    <t xml:space="preserve"> - Tỷ lệ số hộ được sử dụng điện lưới quốc gia (tính theo số hợp đồng lắp đặt mua bán điện)</t>
  </si>
  <si>
    <t>1.000 Tấn
.Km</t>
  </si>
  <si>
    <t xml:space="preserve"> - Tỷ lệ hộ dân được sử dụng điện lưới quốc gia </t>
  </si>
  <si>
    <t>- Tỷ lệ trường đạt chuẩn quốc gia</t>
  </si>
  <si>
    <t>- Số bác sỹ/vạn dân</t>
  </si>
  <si>
    <t xml:space="preserve"> - Tỷ lệ số xã, thị trấn được thu gom, xử lý rác thải sinh hoạt </t>
  </si>
  <si>
    <t>- Mức giảm tỷ suất sinh</t>
  </si>
  <si>
    <t xml:space="preserve">- Tỷ lệ trẻ em dưới 5 tuổi suy dinh dưỡng </t>
  </si>
  <si>
    <r>
      <t xml:space="preserve">Tổng giá trị sản xuất trên địa bàn </t>
    </r>
    <r>
      <rPr>
        <i/>
        <sz val="11"/>
        <rFont val="Times New Roman"/>
        <family val="1"/>
      </rPr>
      <t xml:space="preserve"> (giá so sánh năm 2010)</t>
    </r>
  </si>
  <si>
    <t xml:space="preserve"> - Tỷ lệ chất thải rắn sinh hoạt đô thị phát sinh được thu gom</t>
  </si>
  <si>
    <t xml:space="preserve">Trong đó: - Thóc </t>
  </si>
  <si>
    <t>Tổng diện tích lúa hàng hóa tập trung</t>
  </si>
  <si>
    <t>Ngô cả năm: - Diện tích</t>
  </si>
  <si>
    <t>Ngô Xuân - Hè: Diện tích</t>
  </si>
  <si>
    <t>Diện tích nuôi trồng</t>
  </si>
  <si>
    <t>Sản lượng đánh bắt và nuôi trồng</t>
  </si>
  <si>
    <t>Bảo hiểm xã hội</t>
  </si>
  <si>
    <t xml:space="preserve">            +  Huyện, thành phố quản lý</t>
  </si>
  <si>
    <t xml:space="preserve">            + Xã, phường quản lý</t>
  </si>
  <si>
    <t xml:space="preserve">            + Thôn, bản, tổ dân phố</t>
  </si>
  <si>
    <t>HĐND huyện giao tại NQ số 25/NQ-HĐND</t>
  </si>
  <si>
    <t>Năm 2024</t>
  </si>
  <si>
    <t>So Sánh</t>
  </si>
  <si>
    <t>Tổng số hộ trên địa bàn</t>
  </si>
  <si>
    <t>Số nhà văn hóa bản, khu phố đang sử dụng (dự kiến 2025)</t>
  </si>
  <si>
    <t>93,4</t>
  </si>
  <si>
    <t>9 tháng</t>
  </si>
  <si>
    <t>Ước TH 9 tháng</t>
  </si>
  <si>
    <t>46,0</t>
  </si>
  <si>
    <t>55,29</t>
  </si>
  <si>
    <t>10,9</t>
  </si>
  <si>
    <t>16,5</t>
  </si>
  <si>
    <t>88,2</t>
  </si>
  <si>
    <t>93,8</t>
  </si>
  <si>
    <t>UBND tỉnh giao tại QĐ số 2218/QĐ-UBND</t>
  </si>
  <si>
    <t>So sánh tuyệt đối</t>
  </si>
  <si>
    <t>TH năm 2023</t>
  </si>
  <si>
    <t>KH năm 2025</t>
  </si>
  <si>
    <t>Chia các xã</t>
  </si>
  <si>
    <t>Chia các xã:</t>
  </si>
  <si>
    <t>17,40</t>
  </si>
  <si>
    <t>13,12</t>
  </si>
  <si>
    <t>13,76</t>
  </si>
  <si>
    <t>18,98</t>
  </si>
  <si>
    <t>18,88</t>
  </si>
  <si>
    <t>15,74</t>
  </si>
  <si>
    <t>16,58</t>
  </si>
  <si>
    <t>19,94</t>
  </si>
  <si>
    <t>20,25</t>
  </si>
  <si>
    <t>19,61</t>
  </si>
  <si>
    <t>14,48</t>
  </si>
  <si>
    <t>14,39</t>
  </si>
  <si>
    <t>15,59</t>
  </si>
  <si>
    <t>19,62</t>
  </si>
  <si>
    <t>21,74</t>
  </si>
  <si>
    <t>11,03</t>
  </si>
  <si>
    <t>8,22</t>
  </si>
  <si>
    <t>33,10</t>
  </si>
  <si>
    <t>36,92</t>
  </si>
  <si>
    <t>19,34</t>
  </si>
  <si>
    <t>17,53</t>
  </si>
  <si>
    <t>21,26</t>
  </si>
  <si>
    <t>19,83</t>
  </si>
  <si>
    <t>40,59</t>
  </si>
  <si>
    <t>18,18</t>
  </si>
  <si>
    <t>20,63</t>
  </si>
  <si>
    <t>25,00</t>
  </si>
  <si>
    <t>23,41</t>
  </si>
  <si>
    <t>21,07</t>
  </si>
  <si>
    <t xml:space="preserve"> + Rừng ngoài quy hoạch lâm nghiệp</t>
  </si>
  <si>
    <t>Mục tiêu NQ ĐH ĐB huyện XX</t>
  </si>
  <si>
    <t>Trên 65,5</t>
  </si>
  <si>
    <t>Bình quân 61 tỷ</t>
  </si>
  <si>
    <t>Trên 5%</t>
  </si>
  <si>
    <t>Bình quân 520</t>
  </si>
  <si>
    <t>Bình quân 650</t>
  </si>
  <si>
    <t>Trên 53%</t>
  </si>
  <si>
    <t>Trên 80</t>
  </si>
  <si>
    <t>Trên 17.400</t>
  </si>
  <si>
    <t>Tỉnh giao tại BC số 523/BC-UBND ngày 21/11/2024</t>
  </si>
  <si>
    <t>So sánh KH huyện giao/KH tỉnh giao (+/-)</t>
  </si>
  <si>
    <t>Tuyên truyền lưu động</t>
  </si>
  <si>
    <t xml:space="preserve"> - Số bản, khu phố đăng ký tiêu chuẩn VH trong năm</t>
  </si>
  <si>
    <t>Trong đó: Số bản, khu phố được công nhận trong năm</t>
  </si>
  <si>
    <t>75,5</t>
  </si>
  <si>
    <t>96,9</t>
  </si>
  <si>
    <t>96,4</t>
  </si>
  <si>
    <t>96,8</t>
  </si>
  <si>
    <t xml:space="preserve"> - Tỷ lệ xã, phường, thị trấn đạt chuẩn phổ cập giáo dục tiểu học mức độ 3 và đạt chuẩn phổ cập giáo dục trung học cơ sở mức độ 2 trở lên</t>
  </si>
  <si>
    <t>So sánh KH huyện giao với KH tỉnh giao
 (so sánh tuyệt đối)</t>
  </si>
  <si>
    <t xml:space="preserve"> - Mức giảm tỷ lệ hộ nghèo</t>
  </si>
  <si>
    <t xml:space="preserve"> - Sản lượng mủ cao su</t>
  </si>
  <si>
    <t xml:space="preserve"> MỘT SỐ CHỈ TIÊU CHỦ YẾU TRONG KẾ HOẠCH PHÁT TRIỂN KINH TẾ - XÃ HỘI NĂM 2025</t>
  </si>
  <si>
    <t>Thị trấn</t>
  </si>
  <si>
    <t xml:space="preserve"> Thực hiện bộ tiêu chí quốc gia về nông thôn mới</t>
  </si>
  <si>
    <t>Số xã đạt chuẩn nông thôn mới</t>
  </si>
  <si>
    <r>
      <t>m</t>
    </r>
    <r>
      <rPr>
        <vertAlign val="superscript"/>
        <sz val="11"/>
        <rFont val="Times New Roman"/>
        <family val="1"/>
      </rPr>
      <t>3</t>
    </r>
  </si>
  <si>
    <r>
      <t>1000m</t>
    </r>
    <r>
      <rPr>
        <vertAlign val="superscript"/>
        <sz val="11"/>
        <rFont val="Times New Roman"/>
        <family val="1"/>
      </rPr>
      <t>3</t>
    </r>
  </si>
  <si>
    <t>Lượt người</t>
  </si>
  <si>
    <r>
      <t>%</t>
    </r>
    <r>
      <rPr>
        <i/>
        <sz val="11"/>
        <rFont val="Times New Roman"/>
        <family val="1"/>
      </rPr>
      <t>o</t>
    </r>
  </si>
  <si>
    <t xml:space="preserve"> Trong đó: H/s các trường Phổ thông dân tộc NT tỉnh, huyện</t>
  </si>
  <si>
    <t>‰</t>
  </si>
  <si>
    <t>Tỷ suất tử vong trẻ em &lt;1 tuổi trên 1.000 trẻ đẻ sống</t>
  </si>
  <si>
    <t>Tỷ suất tử vong trẻ em &lt;5 tuổi trên 1.000 trẻ đẻ sống</t>
  </si>
  <si>
    <t xml:space="preserve"> Tỷ lệ TE &lt; 1 tuổi được tiêm chủng đẩy đủ các loại Vacxin (8 loại)</t>
  </si>
  <si>
    <t>Tổng số trạm phát sóng truyền thanh huyện, xã</t>
  </si>
  <si>
    <t>Tỉnh giao tại QĐ 1758/QĐ-UBND ngày 10/12/2024</t>
  </si>
  <si>
    <t>TH Quý I</t>
  </si>
  <si>
    <t>Năm 2025</t>
  </si>
  <si>
    <t>Ước TH quý I</t>
  </si>
  <si>
    <t xml:space="preserve">So sánh </t>
  </si>
  <si>
    <t>UBND tỉnh giao tại QĐ số 1758/QĐ-UBND ngày 10/12/2024</t>
  </si>
  <si>
    <t>HĐND huyện giao tại Nghị quyết số 38/NQ-HĐND</t>
  </si>
  <si>
    <t>Đánh giá cuối năm</t>
  </si>
  <si>
    <t xml:space="preserve">Ước TH 6 tháng </t>
  </si>
  <si>
    <t>Ước TH 6 tháng năm 2025/TH 6 tháng năm 2024</t>
  </si>
  <si>
    <t>Ước TH 6 tháng năm 2025/KH năm 2025</t>
  </si>
  <si>
    <t>Ước TH 6 tháng năm 2025/KH tỉnh giao</t>
  </si>
  <si>
    <t xml:space="preserve">Ước TH 6 tháng năm 2025/KH huyện giao </t>
  </si>
  <si>
    <t xml:space="preserve">Ước TH 6 tháng năm 2025/NQ HĐND huyện giao </t>
  </si>
  <si>
    <t>Ước TH 6 tháng năm 2025/KH huyện</t>
  </si>
  <si>
    <t xml:space="preserve"> + Mục đích khác</t>
  </si>
  <si>
    <t>Phong trào "Toàn dân đoàn kết xây dựng đời sống văn hóa"</t>
  </si>
  <si>
    <t>55.1</t>
  </si>
  <si>
    <t>0</t>
  </si>
  <si>
    <t>VP</t>
  </si>
  <si>
    <t>(Kèm theo Báo cáo số:  1525 /BC-UBND, ngày   30  tháng 5 năm 2025 của UBND huyện Mường Tè)</t>
  </si>
  <si>
    <t>Thực hiện 6 tháng đầu năm</t>
  </si>
  <si>
    <t xml:space="preserve">Thực hiện 6 tháng </t>
  </si>
  <si>
    <t xml:space="preserve">Ước thực hiện 6 tháng </t>
  </si>
  <si>
    <t>Xã Bum Nưa</t>
  </si>
  <si>
    <t>Xã Vàng San</t>
  </si>
  <si>
    <t>Xã Nậm Khao</t>
  </si>
  <si>
    <t>Xã Mường Tè</t>
  </si>
  <si>
    <t>Xã Can Hồ</t>
  </si>
  <si>
    <t>Xã Pa Vệ Sủ</t>
  </si>
  <si>
    <t>Xã Pa ủ</t>
  </si>
  <si>
    <t>Xã Bum Tở</t>
  </si>
  <si>
    <t>Xã Tá Bạ</t>
  </si>
  <si>
    <t>Xã Ka Lăng</t>
  </si>
  <si>
    <t>Xã Thu Lũm</t>
  </si>
  <si>
    <t>Xã Mù Cả</t>
  </si>
  <si>
    <t>Xã Tà Tổng</t>
  </si>
  <si>
    <t>1.000 HK.Km</t>
  </si>
  <si>
    <t>Xã, thị trấn</t>
  </si>
  <si>
    <t xml:space="preserve"> Giường bệnh tuyến huyện</t>
  </si>
  <si>
    <t>- Giường bệnh tại Bệnh viện/Trung tâm y tế huyện</t>
  </si>
  <si>
    <t>- Giường Phòng khám đa khoa khu vực</t>
  </si>
  <si>
    <t>Số thôn, bản</t>
  </si>
  <si>
    <t xml:space="preserve">Giữ vững và nâng cao chất lượng phổ cập giáo dục Mầm non cho trẻ 5 tuổi </t>
  </si>
  <si>
    <t>Tỷ lệ xã, phường, thị trấn đạt chuẩn phổ cập giáo dục tiểu học mức độ 3</t>
  </si>
  <si>
    <t>Tỷ lệ xã, phường, thị trấn đạt phổ cập GDTHCS mức độ 2</t>
  </si>
  <si>
    <t xml:space="preserve">              + Số buổi chiếu phục vụ chính trị</t>
  </si>
  <si>
    <t xml:space="preserve">                '+ Cấp huyện</t>
  </si>
  <si>
    <t xml:space="preserve">              + Thư viện huyện, thành phố</t>
  </si>
  <si>
    <t>+ Số trạm FM</t>
  </si>
  <si>
    <t>+ Số trạm Ứng dụng CNTT-VT</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</si>
</sst>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3" formatCode="_-* #,##0.00\ _₫_-;\-* #,##0.00\ _₫_-;_-* &quot;-&quot;??\ _₫_-;_-@_-"/>
    <numFmt numFmtId="164" formatCode="_-* #,##0_-;\-* #,##0_-;_-* &quot;-&quot;_-;_-@_-"/>
    <numFmt numFmtId="165" formatCode="_-* #,##0.00_-;\-* #,##0.00_-;_-* &quot;-&quot;??_-;_-@_-"/>
    <numFmt numFmtId="166" formatCode="_(* #,##0.00_);_(* \(#,##0.00\);_(* &quot;-&quot;??_);_(@_)"/>
    <numFmt numFmtId="167" formatCode="#,##0;[Red]#,##0"/>
    <numFmt numFmtId="168" formatCode="#,##0.00;[Red]#,##0.00"/>
    <numFmt numFmtId="169" formatCode="0.0"/>
    <numFmt numFmtId="170" formatCode="_(* #,##0_);_(* \(#,##0\);_(* &quot;-&quot;??_);_(@_)"/>
    <numFmt numFmtId="171" formatCode="_(* #,##0.0_);_(* \(#,##0.0\);_(* &quot;-&quot;??_);_(@_)"/>
    <numFmt numFmtId="172" formatCode="_(* #,##0.000_);_(* \(#,##0.000\);_(* &quot;-&quot;??_);_(@_)"/>
    <numFmt numFmtId="173" formatCode="#,##0.0"/>
    <numFmt numFmtId="174" formatCode="#,##0.0;[Red]#,##0.0"/>
    <numFmt numFmtId="175" formatCode="_-* #,##0.0\ _₫_-;\-* #,##0.0\ _₫_-;_-* &quot;-&quot;??\ _₫_-;_-@_-"/>
    <numFmt numFmtId="176" formatCode="_-* #,##0\ _₫_-;\-* #,##0\ _₫_-;_-* &quot;-&quot;??\ _₫_-;_-@_-"/>
    <numFmt numFmtId="177" formatCode="_-* #,##0.00\ _V_N_D_-;\-* #,##0.00\ _V_N_D_-;_-* &quot;-&quot;??\ _V_N_D_-;_-@_-"/>
    <numFmt numFmtId="178" formatCode="_(* #,##0.0_);_(* \(#,##0.0\);_(* &quot;-&quot;?_);_(@_)"/>
    <numFmt numFmtId="179" formatCode="#,##0\ &quot;þ&quot;;[Red]\-#,##0\ &quot;þ&quot;"/>
    <numFmt numFmtId="180" formatCode="#,##0.0_);\(#,##0.0\)"/>
    <numFmt numFmtId="181" formatCode="#,##0.00\ _₫"/>
    <numFmt numFmtId="182" formatCode="#,##0.0\ _₫;\-#,##0.0\ _₫"/>
    <numFmt numFmtId="183" formatCode="_(* #,##0_);_(* \(#,##0\);_(* &quot;-&quot;?_);_(@_)"/>
    <numFmt numFmtId="184" formatCode="_-* #,##0.00_-;\-* #,##0.00_-;_-* &quot;-&quot;_-;_-@_-"/>
    <numFmt numFmtId="185" formatCode="#,##0.000"/>
    <numFmt numFmtId="186" formatCode="_-* #,##0.0_-;\-* #,##0.0_-;_-* &quot;-&quot;_-;_-@_-"/>
    <numFmt numFmtId="187" formatCode="_(* #_);_(* \(#\);_(* &quot;-&quot;??_);_(@_)"/>
    <numFmt numFmtId="188" formatCode="_-* #,##0.0_-;\-* #,##0.0_-;_-* &quot;-&quot;?_-;_-@_-"/>
    <numFmt numFmtId="189" formatCode="_-* #,##0.000_-;\-* #,##0.000_-;_-* &quot;-&quot;_-;_-@_-"/>
    <numFmt numFmtId="190" formatCode="_-* #,##0.0_-;\-* #,##0.0_-;_-* &quot;-&quot;??_-;_-@_-"/>
    <numFmt numFmtId="191" formatCode="_-* #,##0_-;\-* #,##0_-;_-* &quot;-&quot;??_-;_-@_-"/>
  </numFmts>
  <fonts count="150">
    <font>
      <sz val="12"/>
      <color rgb="FF000000"/>
      <name val=".VnTime"/>
    </font>
    <font>
      <sz val="11"/>
      <color theme="1"/>
      <name val="Calibri"/>
      <family val="2"/>
      <scheme val="minor"/>
    </font>
    <font>
      <sz val="11"/>
      <color theme="1"/>
      <name val="Calibri"/>
      <family val="2"/>
      <scheme val="minor"/>
    </font>
    <font>
      <b/>
      <sz val="12"/>
      <color rgb="FF000000"/>
      <name val=".VnTime"/>
      <family val="2"/>
    </font>
    <font>
      <sz val="10"/>
      <color rgb="FF000000"/>
      <name val=".VnTime"/>
      <family val="2"/>
    </font>
    <font>
      <i/>
      <sz val="12"/>
      <color rgb="FF000000"/>
      <name val=".VnTime"/>
      <family val="2"/>
    </font>
    <font>
      <sz val="10"/>
      <color rgb="FF000000"/>
      <name val="Arial"/>
      <family val="2"/>
    </font>
    <font>
      <sz val="12"/>
      <color rgb="FF000000"/>
      <name val=".VnArial Narrow"/>
      <family val="2"/>
    </font>
    <font>
      <sz val="10"/>
      <color rgb="FF000000"/>
      <name val=".VnArial Narrow"/>
      <family val="2"/>
    </font>
    <font>
      <b/>
      <i/>
      <sz val="12"/>
      <color rgb="FF000000"/>
      <name val=".VnTime"/>
      <family val="2"/>
    </font>
    <font>
      <b/>
      <sz val="14"/>
      <color rgb="FF000000"/>
      <name val="Times New Roman"/>
      <family val="1"/>
    </font>
    <font>
      <sz val="12"/>
      <color rgb="FF000000"/>
      <name val="Times New Roman"/>
      <family val="1"/>
    </font>
    <font>
      <sz val="16"/>
      <color rgb="FF000000"/>
      <name val="Times New Roman"/>
      <family val="1"/>
    </font>
    <font>
      <i/>
      <sz val="12"/>
      <color rgb="FF000000"/>
      <name val="Times New Roman"/>
      <family val="1"/>
    </font>
    <font>
      <b/>
      <sz val="12"/>
      <color rgb="FF000000"/>
      <name val="VNtimes new roman"/>
      <family val="2"/>
    </font>
    <font>
      <sz val="12"/>
      <color rgb="FF000000"/>
      <name val="VNtimes new roman"/>
      <family val="2"/>
    </font>
    <font>
      <sz val="13"/>
      <color rgb="FF000000"/>
      <name val="Arial"/>
      <family val="2"/>
    </font>
    <font>
      <sz val="13"/>
      <color rgb="FF000000"/>
      <name val="Times New Roman"/>
      <family val="1"/>
    </font>
    <font>
      <sz val="13"/>
      <color rgb="FF000000"/>
      <name val="VNtimes new roman"/>
      <family val="2"/>
    </font>
    <font>
      <sz val="12"/>
      <color rgb="FF000000"/>
      <name val="Arial"/>
      <family val="2"/>
    </font>
    <font>
      <i/>
      <sz val="13"/>
      <color rgb="FF000000"/>
      <name val="Arial"/>
      <family val="2"/>
    </font>
    <font>
      <sz val="8"/>
      <color rgb="FF000000"/>
      <name val="Arial"/>
      <family val="2"/>
    </font>
    <font>
      <b/>
      <sz val="13"/>
      <color rgb="FF000000"/>
      <name val="VNtimes new roman"/>
      <family val="2"/>
    </font>
    <font>
      <b/>
      <i/>
      <sz val="12"/>
      <color rgb="FF000000"/>
      <name val="VNtimes new roman"/>
      <family val="2"/>
    </font>
    <font>
      <i/>
      <sz val="12"/>
      <color rgb="FF000000"/>
      <name val="VNtimes new roman"/>
      <family val="2"/>
    </font>
    <font>
      <b/>
      <sz val="11"/>
      <color rgb="FF000000"/>
      <name val="Times New Roman"/>
      <family val="1"/>
    </font>
    <font>
      <sz val="12"/>
      <color rgb="FFFF0000"/>
      <name val="Times New Roman"/>
      <family val="1"/>
    </font>
    <font>
      <b/>
      <sz val="12"/>
      <color rgb="FF000000"/>
      <name val="Times New Roman"/>
      <family val="1"/>
    </font>
    <font>
      <sz val="11"/>
      <color rgb="FF000000"/>
      <name val="Times New Roman"/>
      <family val="1"/>
    </font>
    <font>
      <b/>
      <sz val="13"/>
      <color rgb="FF000000"/>
      <name val="Arial"/>
      <family val="2"/>
    </font>
    <font>
      <sz val="12"/>
      <color rgb="FFFF0000"/>
      <name val="VNtimes new roman"/>
      <family val="2"/>
    </font>
    <font>
      <sz val="10"/>
      <color rgb="FF000000"/>
      <name val="Times New Roman"/>
      <family val="1"/>
    </font>
    <font>
      <i/>
      <sz val="11"/>
      <color rgb="FF000000"/>
      <name val="Times New Roman"/>
      <family val="1"/>
    </font>
    <font>
      <sz val="11"/>
      <color rgb="FF000000"/>
      <name val="VNtimes new roman"/>
      <family val="2"/>
    </font>
    <font>
      <sz val="8"/>
      <color rgb="FF000000"/>
      <name val="Times New Roman"/>
      <family val="1"/>
    </font>
    <font>
      <sz val="11"/>
      <color rgb="FFFF0000"/>
      <name val="Times New Roman"/>
      <family val="1"/>
    </font>
    <font>
      <b/>
      <sz val="11"/>
      <color rgb="FF000000"/>
      <name val="VNtimes new roman"/>
      <family val="2"/>
    </font>
    <font>
      <sz val="12"/>
      <color rgb="FFFF0000"/>
      <name val=".VnTime"/>
      <family val="2"/>
    </font>
    <font>
      <b/>
      <sz val="10"/>
      <color rgb="FF000000"/>
      <name val="Times New Roman"/>
      <family val="1"/>
    </font>
    <font>
      <b/>
      <i/>
      <sz val="10"/>
      <color rgb="FF000000"/>
      <name val="Times New Roman"/>
      <family val="1"/>
    </font>
    <font>
      <sz val="10"/>
      <color rgb="FFFF0000"/>
      <name val="Times New Roman"/>
      <family val="1"/>
    </font>
    <font>
      <sz val="11"/>
      <color rgb="FF000000"/>
      <name val="Arial"/>
      <family val="2"/>
    </font>
    <font>
      <i/>
      <sz val="10"/>
      <color rgb="FF000000"/>
      <name val="Times New Roman"/>
      <family val="1"/>
    </font>
    <font>
      <b/>
      <sz val="15"/>
      <color rgb="FF000000"/>
      <name val="Times New Roman"/>
      <family val="1"/>
    </font>
    <font>
      <b/>
      <sz val="22"/>
      <color rgb="FF000000"/>
      <name val="Times New Roman"/>
      <family val="1"/>
    </font>
    <font>
      <i/>
      <sz val="14"/>
      <color rgb="FF000000"/>
      <name val="Times New Roman"/>
      <family val="1"/>
    </font>
    <font>
      <sz val="12"/>
      <color rgb="FF000000"/>
      <name val=".VnTime"/>
      <family val="2"/>
    </font>
    <font>
      <sz val="12"/>
      <name val=".VnTime"/>
      <family val="2"/>
    </font>
    <font>
      <b/>
      <sz val="11"/>
      <name val="Times New Roman"/>
      <family val="1"/>
    </font>
    <font>
      <sz val="9"/>
      <name val="Times New Roman"/>
      <family val="1"/>
    </font>
    <font>
      <sz val="11"/>
      <name val="Times New Roman"/>
      <family val="1"/>
    </font>
    <font>
      <i/>
      <sz val="11"/>
      <name val="Times New Roman"/>
      <family val="1"/>
    </font>
    <font>
      <b/>
      <sz val="12"/>
      <name val="Times New Roman"/>
      <family val="1"/>
    </font>
    <font>
      <sz val="10"/>
      <name val="Times New Roman"/>
      <family val="1"/>
    </font>
    <font>
      <sz val="12"/>
      <name val="Times New Roman"/>
      <family val="1"/>
    </font>
    <font>
      <i/>
      <sz val="12"/>
      <name val="Times New Roman"/>
      <family val="1"/>
    </font>
    <font>
      <i/>
      <sz val="10"/>
      <name val="Times New Roman"/>
      <family val="1"/>
    </font>
    <font>
      <b/>
      <sz val="10"/>
      <name val="Times New Roman"/>
      <family val="1"/>
    </font>
    <font>
      <sz val="12"/>
      <name val=".VnTime"/>
      <family val="2"/>
    </font>
    <font>
      <b/>
      <i/>
      <sz val="10"/>
      <name val="Times New Roman"/>
      <family val="1"/>
    </font>
    <font>
      <sz val="9"/>
      <color indexed="81"/>
      <name val="Tahoma"/>
      <family val="2"/>
    </font>
    <font>
      <b/>
      <sz val="9"/>
      <color indexed="81"/>
      <name val="Tahoma"/>
      <family val="2"/>
    </font>
    <font>
      <sz val="11"/>
      <color indexed="8"/>
      <name val="Calibri"/>
      <family val="2"/>
    </font>
    <font>
      <sz val="10"/>
      <name val="Arial"/>
      <family val="2"/>
    </font>
    <font>
      <sz val="11"/>
      <name val=".VnArial Narrow"/>
      <family val="2"/>
    </font>
    <font>
      <b/>
      <i/>
      <sz val="10"/>
      <color rgb="FFFF0000"/>
      <name val="Times New Roman"/>
      <family val="1"/>
    </font>
    <font>
      <i/>
      <sz val="12"/>
      <name val="Arial"/>
      <family val="2"/>
    </font>
    <font>
      <sz val="12"/>
      <name val="Arial"/>
      <family val="2"/>
    </font>
    <font>
      <sz val="12"/>
      <color theme="1"/>
      <name val="Times New Roman"/>
      <family val="1"/>
    </font>
    <font>
      <i/>
      <sz val="12"/>
      <color theme="1"/>
      <name val="Times New Roman"/>
      <family val="1"/>
    </font>
    <font>
      <b/>
      <sz val="9"/>
      <name val="Times New Roman"/>
      <family val="1"/>
    </font>
    <font>
      <sz val="12"/>
      <color rgb="FF7030A0"/>
      <name val="Times New Roman"/>
      <family val="1"/>
    </font>
    <font>
      <sz val="12"/>
      <color rgb="FF7030A0"/>
      <name val=".VnTime"/>
      <family val="2"/>
    </font>
    <font>
      <sz val="13"/>
      <name val="Times New Roman"/>
      <family val="1"/>
    </font>
    <font>
      <b/>
      <i/>
      <sz val="12"/>
      <name val="Times New Roman"/>
      <family val="1"/>
    </font>
    <font>
      <i/>
      <sz val="12"/>
      <name val=".VnTime"/>
      <family val="2"/>
    </font>
    <font>
      <sz val="12"/>
      <name val=".VnArial Narrow"/>
      <family val="2"/>
    </font>
    <font>
      <i/>
      <sz val="12"/>
      <name val=".VnArial Narrow"/>
      <family val="2"/>
    </font>
    <font>
      <b/>
      <i/>
      <sz val="11"/>
      <name val="Times New Roman"/>
      <family val="1"/>
    </font>
    <font>
      <sz val="11"/>
      <name val=".VnTime"/>
      <family val="2"/>
    </font>
    <font>
      <b/>
      <sz val="14"/>
      <name val="Times New Roman"/>
      <family val="1"/>
    </font>
    <font>
      <b/>
      <sz val="12"/>
      <name val=".VnTime"/>
      <family val="2"/>
    </font>
    <font>
      <sz val="8"/>
      <name val="Times New Roman"/>
      <family val="1"/>
    </font>
    <font>
      <sz val="12"/>
      <name val="VNtimes new roman"/>
      <family val="2"/>
    </font>
    <font>
      <sz val="9"/>
      <name val=".VnTime"/>
      <family val="2"/>
    </font>
    <font>
      <sz val="8"/>
      <name val=".VnTime"/>
      <family val="2"/>
    </font>
    <font>
      <sz val="10"/>
      <name val=".VnTime"/>
      <family val="2"/>
    </font>
    <font>
      <b/>
      <i/>
      <sz val="12"/>
      <color rgb="FFFF0000"/>
      <name val="Times New Roman"/>
      <family val="1"/>
    </font>
    <font>
      <sz val="13"/>
      <name val=".VnTime"/>
      <family val="2"/>
    </font>
    <font>
      <sz val="14"/>
      <color rgb="FF000000"/>
      <name val="Times New Roman"/>
      <family val="1"/>
    </font>
    <font>
      <sz val="12"/>
      <color rgb="FF000000"/>
      <name val=".VnTime"/>
      <family val="2"/>
    </font>
    <font>
      <b/>
      <sz val="8"/>
      <name val="Times New Roman"/>
      <family val="1"/>
    </font>
    <font>
      <i/>
      <sz val="8"/>
      <name val="Times New Roman"/>
      <family val="1"/>
    </font>
    <font>
      <sz val="8"/>
      <name val="Arial"/>
      <family val="2"/>
    </font>
    <font>
      <sz val="8"/>
      <name val="VNtimes new roman"/>
      <family val="2"/>
    </font>
    <font>
      <sz val="9"/>
      <name val="Courier New"/>
      <family val="3"/>
    </font>
    <font>
      <sz val="12"/>
      <color rgb="FF0000CC"/>
      <name val="Times New Roman"/>
      <family val="1"/>
    </font>
    <font>
      <i/>
      <sz val="12"/>
      <color rgb="FF0000CC"/>
      <name val="Times New Roman"/>
      <family val="1"/>
    </font>
    <font>
      <i/>
      <sz val="11"/>
      <name val=".VnTime"/>
      <family val="2"/>
    </font>
    <font>
      <b/>
      <sz val="13"/>
      <name val="Arial"/>
      <family val="2"/>
    </font>
    <font>
      <b/>
      <u/>
      <sz val="12"/>
      <name val="Times New Roman"/>
      <family val="1"/>
    </font>
    <font>
      <sz val="12"/>
      <name val="Times New Roman"/>
      <family val="1"/>
      <charset val="163"/>
    </font>
    <font>
      <sz val="12"/>
      <name val=".VnTime"/>
      <family val="2"/>
    </font>
    <font>
      <b/>
      <sz val="12"/>
      <name val="Arial"/>
      <family val="2"/>
    </font>
    <font>
      <b/>
      <vertAlign val="superscript"/>
      <sz val="10"/>
      <name val="Times New Roman"/>
      <family val="1"/>
    </font>
    <font>
      <b/>
      <sz val="12"/>
      <color rgb="FFFF0000"/>
      <name val="Times New Roman"/>
      <family val="1"/>
    </font>
    <font>
      <i/>
      <sz val="13"/>
      <name val="Times New Roman"/>
      <family val="1"/>
    </font>
    <font>
      <sz val="12"/>
      <color rgb="FF000000"/>
      <name val=".VnTime"/>
      <family val="2"/>
    </font>
    <font>
      <vertAlign val="superscript"/>
      <sz val="10"/>
      <name val="Times New Roman"/>
      <family val="1"/>
    </font>
    <font>
      <sz val="8"/>
      <name val=".VnArial Narrow"/>
      <family val="2"/>
    </font>
    <font>
      <vertAlign val="superscript"/>
      <sz val="11"/>
      <name val="Times New Roman"/>
      <family val="1"/>
    </font>
    <font>
      <b/>
      <sz val="13"/>
      <name val="VNtimes new roman"/>
      <family val="2"/>
    </font>
    <font>
      <b/>
      <sz val="12"/>
      <name val="VNtimes new roman"/>
      <family val="2"/>
    </font>
    <font>
      <sz val="14"/>
      <name val="Times New Roman"/>
      <family val="1"/>
    </font>
    <font>
      <i/>
      <sz val="12"/>
      <name val="VNtimes new roman"/>
      <family val="2"/>
    </font>
    <font>
      <b/>
      <i/>
      <sz val="12"/>
      <name val="VNtimes new roman"/>
      <family val="2"/>
    </font>
    <font>
      <sz val="10"/>
      <name val="VNtimes new roman"/>
      <family val="2"/>
    </font>
    <font>
      <sz val="11"/>
      <name val="VNtimes new roman"/>
      <family val="2"/>
    </font>
    <font>
      <b/>
      <sz val="11"/>
      <name val="VNtimes new roman"/>
      <family val="2"/>
    </font>
    <font>
      <b/>
      <sz val="12"/>
      <color rgb="FF000000"/>
      <name val=".VnTime"/>
      <family val="2"/>
    </font>
    <font>
      <b/>
      <sz val="9"/>
      <name val="Tahoma"/>
      <family val="2"/>
    </font>
    <font>
      <sz val="9"/>
      <name val="Tahoma"/>
      <family val="2"/>
    </font>
    <font>
      <sz val="11"/>
      <color theme="1"/>
      <name val="Times New Roman"/>
      <family val="1"/>
    </font>
    <font>
      <i/>
      <sz val="11"/>
      <color theme="1"/>
      <name val="Times New Roman"/>
      <family val="1"/>
    </font>
    <font>
      <b/>
      <sz val="13"/>
      <name val="Times New Roman"/>
      <family val="1"/>
    </font>
    <font>
      <sz val="12"/>
      <color theme="0"/>
      <name val="Times New Roman"/>
      <family val="1"/>
    </font>
    <font>
      <sz val="11"/>
      <color theme="0"/>
      <name val="Times New Roman"/>
      <family val="1"/>
    </font>
    <font>
      <sz val="13"/>
      <color theme="0"/>
      <name val="Times New Roman"/>
      <family val="1"/>
    </font>
    <font>
      <sz val="12"/>
      <color theme="0"/>
      <name val=".VnTime"/>
      <family val="2"/>
    </font>
    <font>
      <b/>
      <sz val="12"/>
      <color theme="0"/>
      <name val="Times New Roman"/>
      <family val="1"/>
    </font>
    <font>
      <i/>
      <sz val="12"/>
      <color theme="0"/>
      <name val="Times New Roman"/>
      <family val="1"/>
    </font>
    <font>
      <i/>
      <sz val="11"/>
      <color theme="0"/>
      <name val="Times New Roman"/>
      <family val="1"/>
    </font>
    <font>
      <sz val="12"/>
      <color theme="0"/>
      <name val=".VnTime"/>
      <family val="2"/>
    </font>
    <font>
      <sz val="12"/>
      <color theme="1"/>
      <name val=".VnTime"/>
      <family val="2"/>
    </font>
    <font>
      <b/>
      <sz val="12"/>
      <color theme="1"/>
      <name val=".VnTime"/>
      <family val="2"/>
    </font>
    <font>
      <b/>
      <sz val="12"/>
      <color theme="1"/>
      <name val="Times New Roman"/>
      <family val="1"/>
    </font>
    <font>
      <i/>
      <sz val="11"/>
      <name val=".VnArial Narrow"/>
      <family val="2"/>
    </font>
    <font>
      <sz val="12"/>
      <color rgb="FFC00000"/>
      <name val="Times New Roman"/>
      <family val="1"/>
    </font>
    <font>
      <sz val="13"/>
      <color theme="1"/>
      <name val="Times New Roman"/>
      <family val="1"/>
    </font>
    <font>
      <i/>
      <sz val="14"/>
      <name val="Times New Roman"/>
      <family val="1"/>
    </font>
    <font>
      <b/>
      <i/>
      <sz val="11"/>
      <color rgb="FF000000"/>
      <name val="Times New Roman"/>
      <family val="1"/>
    </font>
    <font>
      <sz val="14"/>
      <color rgb="FF000000"/>
      <name val=".VnTime"/>
      <family val="2"/>
    </font>
    <font>
      <i/>
      <sz val="13"/>
      <name val=".VnTime"/>
      <family val="2"/>
    </font>
    <font>
      <b/>
      <sz val="11"/>
      <color theme="1"/>
      <name val="Times New Roman"/>
      <family val="1"/>
    </font>
    <font>
      <sz val="11"/>
      <name val="Calibri"/>
      <family val="2"/>
    </font>
    <font>
      <sz val="14"/>
      <color rgb="FFFF0000"/>
      <name val="Times New Roman"/>
      <family val="1"/>
    </font>
    <font>
      <sz val="10"/>
      <color theme="1"/>
      <name val="Times New Roman"/>
      <family val="1"/>
    </font>
    <font>
      <sz val="10"/>
      <color indexed="8"/>
      <name val="Times New Roman"/>
      <family val="1"/>
    </font>
    <font>
      <sz val="10"/>
      <color rgb="FF0070C0"/>
      <name val="Times New Roman"/>
      <family val="1"/>
    </font>
    <font>
      <b/>
      <sz val="13"/>
      <color rgb="FF000000"/>
      <name val="Times New Roman"/>
      <family val="1"/>
    </font>
  </fonts>
  <fills count="13">
    <fill>
      <patternFill patternType="none"/>
    </fill>
    <fill>
      <patternFill patternType="gray125"/>
    </fill>
    <fill>
      <patternFill patternType="none"/>
    </fill>
    <fill>
      <patternFill patternType="solid">
        <fgColor rgb="FFFFFF00"/>
        <bgColor rgb="FF000000"/>
      </patternFill>
    </fill>
    <fill>
      <patternFill patternType="solid">
        <fgColor rgb="FFFFFFFF"/>
        <bgColor rgb="FF000000"/>
      </patternFill>
    </fill>
    <fill>
      <patternFill patternType="solid">
        <fgColor rgb="FFFFFFFF"/>
        <bgColor indexed="64"/>
      </patternFill>
    </fill>
    <fill>
      <patternFill patternType="solid">
        <fgColor theme="0"/>
        <bgColor indexed="64"/>
      </patternFill>
    </fill>
    <fill>
      <patternFill patternType="solid">
        <fgColor theme="0"/>
        <bgColor rgb="FF000000"/>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5"/>
        <bgColor indexed="64"/>
      </patternFill>
    </fill>
    <fill>
      <patternFill patternType="solid">
        <fgColor rgb="FFFF0000"/>
        <bgColor indexed="64"/>
      </patternFill>
    </fill>
  </fills>
  <borders count="73">
    <border>
      <left/>
      <right/>
      <top/>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hair">
        <color rgb="FF000000"/>
      </bottom>
      <diagonal/>
    </border>
    <border>
      <left style="thin">
        <color rgb="FF000000"/>
      </left>
      <right style="thin">
        <color rgb="FF000000"/>
      </right>
      <top/>
      <bottom/>
      <diagonal/>
    </border>
    <border>
      <left style="medium">
        <color rgb="FF000000"/>
      </left>
      <right style="thin">
        <color rgb="FF000000"/>
      </right>
      <top style="hair">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diagonal/>
    </border>
    <border>
      <left style="thin">
        <color rgb="FF000000"/>
      </left>
      <right/>
      <top style="hair">
        <color rgb="FF000000"/>
      </top>
      <bottom style="hair">
        <color rgb="FF000000"/>
      </bottom>
      <diagonal/>
    </border>
    <border>
      <left style="medium">
        <color rgb="FF000000"/>
      </left>
      <right style="thin">
        <color rgb="FF000000"/>
      </right>
      <top style="hair">
        <color rgb="FF000000"/>
      </top>
      <bottom style="dashed">
        <color rgb="FF000000"/>
      </bottom>
      <diagonal/>
    </border>
    <border>
      <left style="thin">
        <color rgb="FF000000"/>
      </left>
      <right style="thin">
        <color rgb="FF000000"/>
      </right>
      <top style="hair">
        <color rgb="FF000000"/>
      </top>
      <bottom style="dashed">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hair">
        <color rgb="FF000000"/>
      </bottom>
      <diagonal/>
    </border>
    <border>
      <left style="thin">
        <color rgb="FF000000"/>
      </left>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hair">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thin">
        <color rgb="FF000000"/>
      </left>
      <right style="thin">
        <color rgb="FF000000"/>
      </right>
      <top style="hair">
        <color indexed="64"/>
      </top>
      <bottom style="hair">
        <color indexed="64"/>
      </bottom>
      <diagonal/>
    </border>
    <border>
      <left style="medium">
        <color rgb="FF000000"/>
      </left>
      <right style="thin">
        <color rgb="FF000000"/>
      </right>
      <top style="hair">
        <color rgb="FF000000"/>
      </top>
      <bottom style="medium">
        <color rgb="FF000000"/>
      </bottom>
      <diagonal/>
    </border>
    <border>
      <left style="thin">
        <color rgb="FF000000"/>
      </left>
      <right style="thin">
        <color rgb="FF000000"/>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thin">
        <color rgb="FF000000"/>
      </left>
      <right style="thin">
        <color rgb="FF000000"/>
      </right>
      <top style="thin">
        <color rgb="FF000000"/>
      </top>
      <bottom style="thin">
        <color indexed="64"/>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hair">
        <color indexed="64"/>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style="thin">
        <color auto="1"/>
      </right>
      <top/>
      <bottom style="hair">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top style="thin">
        <color auto="1"/>
      </top>
      <bottom/>
      <diagonal/>
    </border>
    <border>
      <left/>
      <right/>
      <top style="thin">
        <color auto="1"/>
      </top>
      <bottom/>
      <diagonal/>
    </border>
    <border>
      <left style="medium">
        <color auto="1"/>
      </left>
      <right/>
      <top style="hair">
        <color auto="1"/>
      </top>
      <bottom style="hair">
        <color auto="1"/>
      </bottom>
      <diagonal/>
    </border>
    <border>
      <left/>
      <right/>
      <top style="hair">
        <color auto="1"/>
      </top>
      <bottom style="hair">
        <color auto="1"/>
      </bottom>
      <diagonal/>
    </border>
    <border>
      <left style="thin">
        <color auto="1"/>
      </left>
      <right/>
      <top style="medium">
        <color auto="1"/>
      </top>
      <bottom style="thin">
        <color auto="1"/>
      </bottom>
      <diagonal/>
    </border>
    <border>
      <left style="thin">
        <color auto="1"/>
      </left>
      <right/>
      <top/>
      <bottom style="hair">
        <color auto="1"/>
      </bottom>
      <diagonal/>
    </border>
    <border>
      <left style="thin">
        <color auto="1"/>
      </left>
      <right/>
      <top style="hair">
        <color auto="1"/>
      </top>
      <bottom style="medium">
        <color auto="1"/>
      </bottom>
      <diagonal/>
    </border>
    <border>
      <left style="thin">
        <color auto="1"/>
      </left>
      <right style="medium">
        <color auto="1"/>
      </right>
      <top style="medium">
        <color auto="1"/>
      </top>
      <bottom/>
      <diagonal/>
    </border>
    <border>
      <left/>
      <right style="medium">
        <color auto="1"/>
      </right>
      <top style="hair">
        <color auto="1"/>
      </top>
      <bottom style="hair">
        <color auto="1"/>
      </bottom>
      <diagonal/>
    </border>
    <border>
      <left style="thin">
        <color auto="1"/>
      </left>
      <right style="medium">
        <color auto="1"/>
      </right>
      <top style="hair">
        <color auto="1"/>
      </top>
      <bottom/>
      <diagonal/>
    </border>
    <border>
      <left style="thin">
        <color auto="1"/>
      </left>
      <right style="medium">
        <color auto="1"/>
      </right>
      <top/>
      <bottom style="hair">
        <color auto="1"/>
      </bottom>
      <diagonal/>
    </border>
    <border>
      <left style="thin">
        <color auto="1"/>
      </left>
      <right style="medium">
        <color auto="1"/>
      </right>
      <top/>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rgb="FF000000"/>
      </left>
      <right/>
      <top/>
      <bottom style="thin">
        <color indexed="64"/>
      </bottom>
      <diagonal/>
    </border>
    <border>
      <left/>
      <right/>
      <top/>
      <bottom style="thin">
        <color indexed="64"/>
      </bottom>
      <diagonal/>
    </border>
    <border>
      <left/>
      <right style="thin">
        <color indexed="64"/>
      </right>
      <top style="hair">
        <color indexed="64"/>
      </top>
      <bottom style="thin">
        <color indexed="64"/>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s>
  <cellStyleXfs count="44">
    <xf numFmtId="0" fontId="0" fillId="0" borderId="0"/>
    <xf numFmtId="43" fontId="46" fillId="0" borderId="0" applyFont="0" applyFill="0" applyBorder="0" applyAlignment="0" applyProtection="0"/>
    <xf numFmtId="0" fontId="47" fillId="2" borderId="0"/>
    <xf numFmtId="166" fontId="58" fillId="2" borderId="0" applyFont="0" applyFill="0" applyBorder="0" applyAlignment="0" applyProtection="0"/>
    <xf numFmtId="0" fontId="54" fillId="2" borderId="0"/>
    <xf numFmtId="43" fontId="62" fillId="2" borderId="0" applyFont="0" applyFill="0" applyBorder="0" applyAlignment="0" applyProtection="0"/>
    <xf numFmtId="0" fontId="58" fillId="2" borderId="0"/>
    <xf numFmtId="43" fontId="58" fillId="2" borderId="0" applyFont="0" applyFill="0" applyBorder="0" applyAlignment="0" applyProtection="0"/>
    <xf numFmtId="166" fontId="58" fillId="2" borderId="0" applyFont="0" applyFill="0" applyBorder="0" applyAlignment="0" applyProtection="0"/>
    <xf numFmtId="177" fontId="63" fillId="2" borderId="0" applyFont="0" applyFill="0" applyBorder="0" applyAlignment="0" applyProtection="0"/>
    <xf numFmtId="166" fontId="58" fillId="2" borderId="0" applyFont="0" applyFill="0" applyBorder="0" applyAlignment="0" applyProtection="0"/>
    <xf numFmtId="0" fontId="47" fillId="2" borderId="0"/>
    <xf numFmtId="166" fontId="47" fillId="2" borderId="0" applyFont="0" applyFill="0" applyBorder="0" applyAlignment="0" applyProtection="0"/>
    <xf numFmtId="0" fontId="47" fillId="2" borderId="0"/>
    <xf numFmtId="0" fontId="46" fillId="2" borderId="0"/>
    <xf numFmtId="43" fontId="46" fillId="2" borderId="0" applyFont="0" applyFill="0" applyBorder="0" applyAlignment="0" applyProtection="0"/>
    <xf numFmtId="166" fontId="47" fillId="2" borderId="0" applyFont="0" applyFill="0" applyBorder="0" applyAlignment="0" applyProtection="0"/>
    <xf numFmtId="0" fontId="47" fillId="2" borderId="0"/>
    <xf numFmtId="43" fontId="47" fillId="2" borderId="0" applyFont="0" applyFill="0" applyBorder="0" applyAlignment="0" applyProtection="0"/>
    <xf numFmtId="166" fontId="47" fillId="2" borderId="0" applyFont="0" applyFill="0" applyBorder="0" applyAlignment="0" applyProtection="0"/>
    <xf numFmtId="43" fontId="46" fillId="2" borderId="0" applyFont="0" applyFill="0" applyBorder="0" applyAlignment="0" applyProtection="0"/>
    <xf numFmtId="9" fontId="46" fillId="2" borderId="0" applyFont="0" applyFill="0" applyBorder="0" applyAlignment="0" applyProtection="0"/>
    <xf numFmtId="0" fontId="47" fillId="2" borderId="0"/>
    <xf numFmtId="0" fontId="47" fillId="2" borderId="0"/>
    <xf numFmtId="0" fontId="2" fillId="2" borderId="0"/>
    <xf numFmtId="9" fontId="90" fillId="0" borderId="0" applyFont="0" applyFill="0" applyBorder="0" applyAlignment="0" applyProtection="0"/>
    <xf numFmtId="179" fontId="47" fillId="2" borderId="0" applyFont="0" applyFill="0" applyBorder="0" applyAlignment="0" applyProtection="0"/>
    <xf numFmtId="43" fontId="46" fillId="2" borderId="0" applyFont="0" applyFill="0" applyBorder="0" applyAlignment="0" applyProtection="0"/>
    <xf numFmtId="166" fontId="63" fillId="2" borderId="0" applyFont="0" applyFill="0" applyBorder="0" applyAlignment="0" applyProtection="0"/>
    <xf numFmtId="179" fontId="47" fillId="2" borderId="0" applyFont="0" applyFill="0" applyBorder="0" applyAlignment="0" applyProtection="0"/>
    <xf numFmtId="166" fontId="47" fillId="2" borderId="0" applyFont="0" applyFill="0" applyBorder="0" applyAlignment="0" applyProtection="0"/>
    <xf numFmtId="166" fontId="47" fillId="2" borderId="0" applyFont="0" applyFill="0" applyBorder="0" applyAlignment="0" applyProtection="0"/>
    <xf numFmtId="0" fontId="47" fillId="2" borderId="0"/>
    <xf numFmtId="166" fontId="1" fillId="2" borderId="0" applyFont="0" applyFill="0" applyBorder="0" applyAlignment="0" applyProtection="0"/>
    <xf numFmtId="0" fontId="47" fillId="2" borderId="0"/>
    <xf numFmtId="0" fontId="47" fillId="2" borderId="0"/>
    <xf numFmtId="0" fontId="101" fillId="2" borderId="0"/>
    <xf numFmtId="0" fontId="47" fillId="2" borderId="0"/>
    <xf numFmtId="0" fontId="54" fillId="2" borderId="0"/>
    <xf numFmtId="164" fontId="107" fillId="0" borderId="0" applyFont="0" applyFill="0" applyBorder="0" applyAlignment="0" applyProtection="0"/>
    <xf numFmtId="0" fontId="46" fillId="2" borderId="0"/>
    <xf numFmtId="169" fontId="47" fillId="2" borderId="0" applyFont="0" applyFill="0" applyBorder="0" applyAlignment="0" applyProtection="0"/>
    <xf numFmtId="0" fontId="47" fillId="2" borderId="0"/>
    <xf numFmtId="0" fontId="63" fillId="2" borderId="0"/>
  </cellStyleXfs>
  <cellXfs count="2163">
    <xf numFmtId="0" fontId="0" fillId="2" borderId="0" xfId="0" applyFill="1" applyProtection="1"/>
    <xf numFmtId="0" fontId="6" fillId="2" borderId="0" xfId="0" applyFont="1" applyFill="1" applyProtection="1"/>
    <xf numFmtId="0" fontId="0" fillId="2" borderId="0" xfId="0" applyFill="1" applyProtection="1">
      <protection hidden="1"/>
    </xf>
    <xf numFmtId="0" fontId="6" fillId="2" borderId="0" xfId="0" applyFont="1" applyFill="1" applyProtection="1"/>
    <xf numFmtId="0" fontId="0" fillId="2" borderId="0" xfId="0" applyFill="1" applyProtection="1">
      <protection locked="0" hidden="1"/>
    </xf>
    <xf numFmtId="0" fontId="0" fillId="2" borderId="0" xfId="0" applyFill="1" applyProtection="1">
      <protection locked="0"/>
    </xf>
    <xf numFmtId="0" fontId="10" fillId="2" borderId="0" xfId="0" applyFont="1" applyFill="1" applyAlignment="1" applyProtection="1">
      <alignment horizontal="right"/>
    </xf>
    <xf numFmtId="0" fontId="11" fillId="2" borderId="0" xfId="0" applyFont="1" applyFill="1" applyProtection="1"/>
    <xf numFmtId="0" fontId="11" fillId="2" borderId="0" xfId="0" applyFont="1" applyFill="1" applyAlignment="1" applyProtection="1">
      <alignment wrapText="1"/>
    </xf>
    <xf numFmtId="0" fontId="12" fillId="2" borderId="0" xfId="0" applyFont="1" applyFill="1" applyProtection="1"/>
    <xf numFmtId="0" fontId="0" fillId="2" borderId="0" xfId="0" applyFill="1" applyProtection="1"/>
    <xf numFmtId="0" fontId="27" fillId="2" borderId="0" xfId="0" applyFont="1" applyFill="1" applyProtection="1"/>
    <xf numFmtId="0" fontId="11" fillId="2" borderId="0" xfId="0" applyFont="1" applyFill="1" applyAlignment="1" applyProtection="1">
      <alignment vertical="center" wrapText="1"/>
    </xf>
    <xf numFmtId="0" fontId="11" fillId="2" borderId="0" xfId="0" applyFont="1" applyFill="1" applyProtection="1"/>
    <xf numFmtId="0" fontId="3" fillId="2" borderId="0" xfId="0" applyFont="1" applyFill="1" applyProtection="1"/>
    <xf numFmtId="0" fontId="11" fillId="2" borderId="0" xfId="0" applyFont="1" applyFill="1" applyAlignment="1" applyProtection="1">
      <alignment horizontal="center" vertical="center"/>
    </xf>
    <xf numFmtId="0" fontId="0" fillId="2" borderId="0" xfId="0" applyFill="1" applyAlignment="1" applyProtection="1">
      <alignment vertical="center"/>
    </xf>
    <xf numFmtId="0" fontId="27" fillId="2" borderId="0" xfId="0" applyFont="1" applyFill="1" applyAlignment="1" applyProtection="1">
      <alignment vertical="center"/>
    </xf>
    <xf numFmtId="0" fontId="11" fillId="2" borderId="0" xfId="0" applyFont="1" applyFill="1" applyAlignment="1" applyProtection="1">
      <alignment vertical="center"/>
    </xf>
    <xf numFmtId="0" fontId="5" fillId="2" borderId="0" xfId="0" applyFont="1" applyFill="1" applyProtection="1">
      <protection locked="0"/>
    </xf>
    <xf numFmtId="0" fontId="0" fillId="2" borderId="0" xfId="0" applyFill="1" applyAlignment="1" applyProtection="1">
      <alignment vertical="center" wrapText="1"/>
      <protection locked="0"/>
    </xf>
    <xf numFmtId="0" fontId="3" fillId="2" borderId="0" xfId="0" applyFont="1" applyFill="1" applyAlignment="1" applyProtection="1">
      <alignment vertical="center" wrapText="1"/>
      <protection locked="0"/>
    </xf>
    <xf numFmtId="1" fontId="0" fillId="2" borderId="0" xfId="0" applyNumberFormat="1" applyFill="1" applyAlignment="1" applyProtection="1">
      <alignment wrapText="1"/>
      <protection locked="0"/>
    </xf>
    <xf numFmtId="1" fontId="37" fillId="2" borderId="0" xfId="0" applyNumberFormat="1" applyFont="1" applyFill="1" applyAlignment="1" applyProtection="1">
      <alignment wrapText="1"/>
      <protection locked="0"/>
    </xf>
    <xf numFmtId="0" fontId="0" fillId="2" borderId="0" xfId="0" applyFill="1" applyAlignment="1" applyProtection="1">
      <alignment vertical="center"/>
      <protection locked="0"/>
    </xf>
    <xf numFmtId="43" fontId="11" fillId="2" borderId="0" xfId="1" applyFont="1" applyFill="1" applyProtection="1"/>
    <xf numFmtId="43" fontId="50" fillId="2" borderId="1" xfId="1" applyFont="1" applyFill="1" applyBorder="1" applyAlignment="1" applyProtection="1">
      <alignment horizontal="right" vertical="center" wrapText="1"/>
      <protection locked="0"/>
    </xf>
    <xf numFmtId="3" fontId="50" fillId="2" borderId="1" xfId="0" applyNumberFormat="1" applyFont="1" applyFill="1" applyBorder="1" applyAlignment="1" applyProtection="1">
      <alignment horizontal="right" vertical="center" wrapText="1"/>
      <protection locked="0"/>
    </xf>
    <xf numFmtId="166" fontId="50" fillId="2" borderId="1" xfId="0" applyNumberFormat="1" applyFont="1" applyFill="1" applyBorder="1" applyAlignment="1" applyProtection="1">
      <alignment horizontal="right" vertical="center" wrapText="1"/>
      <protection locked="0"/>
    </xf>
    <xf numFmtId="1" fontId="72" fillId="2" borderId="0" xfId="0" applyNumberFormat="1" applyFont="1" applyFill="1" applyAlignment="1" applyProtection="1">
      <alignment wrapText="1"/>
      <protection locked="0"/>
    </xf>
    <xf numFmtId="0" fontId="46" fillId="2" borderId="0" xfId="0" applyFont="1" applyFill="1" applyProtection="1"/>
    <xf numFmtId="43" fontId="47" fillId="2" borderId="0" xfId="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46" fillId="2" borderId="0" xfId="0" applyFont="1" applyFill="1" applyAlignment="1" applyProtection="1">
      <alignment vertical="center"/>
      <protection locked="0"/>
    </xf>
    <xf numFmtId="3" fontId="50" fillId="2" borderId="23" xfId="0" applyNumberFormat="1" applyFont="1" applyFill="1" applyBorder="1" applyAlignment="1" applyProtection="1">
      <alignment horizontal="right" vertical="center" wrapText="1"/>
      <protection locked="0"/>
    </xf>
    <xf numFmtId="43" fontId="50" fillId="2" borderId="23" xfId="1" applyFont="1" applyFill="1" applyBorder="1" applyAlignment="1" applyProtection="1">
      <alignment horizontal="right" vertical="center" wrapText="1"/>
      <protection locked="0"/>
    </xf>
    <xf numFmtId="3" fontId="48" fillId="2" borderId="23" xfId="0" applyNumberFormat="1" applyFont="1" applyFill="1" applyBorder="1" applyAlignment="1" applyProtection="1">
      <alignment horizontal="center" vertical="center" wrapText="1"/>
      <protection locked="0"/>
    </xf>
    <xf numFmtId="171" fontId="50" fillId="2" borderId="23" xfId="1" applyNumberFormat="1" applyFont="1" applyFill="1" applyBorder="1" applyAlignment="1" applyProtection="1">
      <alignment horizontal="right" vertical="center" wrapText="1"/>
      <protection locked="0"/>
    </xf>
    <xf numFmtId="43" fontId="50" fillId="0" borderId="23" xfId="1" applyFont="1" applyBorder="1" applyAlignment="1" applyProtection="1">
      <alignment horizontal="right" vertical="center" wrapText="1"/>
      <protection locked="0"/>
    </xf>
    <xf numFmtId="0" fontId="27" fillId="2" borderId="19" xfId="0" applyFont="1" applyFill="1" applyBorder="1" applyAlignment="1" applyProtection="1">
      <alignment horizontal="center" vertical="center"/>
    </xf>
    <xf numFmtId="0" fontId="27" fillId="2" borderId="19" xfId="0" applyFont="1" applyFill="1" applyBorder="1" applyAlignment="1" applyProtection="1">
      <alignment horizontal="center" vertical="center" wrapText="1"/>
    </xf>
    <xf numFmtId="0" fontId="11" fillId="2" borderId="26" xfId="0" applyFont="1" applyFill="1" applyBorder="1" applyAlignment="1" applyProtection="1">
      <alignment horizontal="center" vertical="center" wrapText="1"/>
    </xf>
    <xf numFmtId="0" fontId="54" fillId="2" borderId="21" xfId="13" applyFont="1" applyFill="1" applyBorder="1" applyAlignment="1">
      <alignment vertical="center" wrapText="1"/>
    </xf>
    <xf numFmtId="0" fontId="50" fillId="2" borderId="21" xfId="13" applyFont="1" applyFill="1" applyBorder="1" applyAlignment="1">
      <alignment horizontal="center" vertical="center" wrapText="1"/>
    </xf>
    <xf numFmtId="167" fontId="54" fillId="2" borderId="21" xfId="4" applyNumberFormat="1" applyFont="1" applyFill="1" applyBorder="1" applyAlignment="1">
      <alignment vertical="center"/>
    </xf>
    <xf numFmtId="169" fontId="54" fillId="2" borderId="21" xfId="0" applyNumberFormat="1" applyFont="1" applyFill="1" applyBorder="1" applyAlignment="1">
      <alignment vertical="center"/>
    </xf>
    <xf numFmtId="0" fontId="27" fillId="0" borderId="27" xfId="0" applyFont="1" applyFill="1" applyBorder="1" applyAlignment="1" applyProtection="1">
      <alignment horizontal="center" vertical="center"/>
    </xf>
    <xf numFmtId="0" fontId="11" fillId="2" borderId="27" xfId="0" applyFont="1" applyFill="1" applyBorder="1" applyAlignment="1" applyProtection="1">
      <alignment horizontal="center" vertical="center"/>
    </xf>
    <xf numFmtId="0" fontId="11" fillId="2" borderId="27" xfId="0" applyFont="1" applyFill="1" applyBorder="1" applyProtection="1"/>
    <xf numFmtId="0" fontId="11" fillId="2" borderId="21" xfId="0" applyFont="1" applyFill="1" applyBorder="1" applyAlignment="1" applyProtection="1">
      <alignment horizontal="center" vertical="center"/>
    </xf>
    <xf numFmtId="0" fontId="11" fillId="2" borderId="21" xfId="0" applyFont="1" applyFill="1" applyBorder="1" applyProtection="1"/>
    <xf numFmtId="0" fontId="11" fillId="2" borderId="21" xfId="0" applyFont="1" applyFill="1" applyBorder="1" applyAlignment="1" applyProtection="1">
      <alignment horizontal="left" vertical="center" wrapText="1"/>
    </xf>
    <xf numFmtId="175" fontId="11" fillId="2" borderId="21" xfId="1" applyNumberFormat="1" applyFont="1" applyFill="1" applyBorder="1" applyAlignment="1" applyProtection="1">
      <alignment horizontal="center" vertical="center"/>
    </xf>
    <xf numFmtId="176" fontId="11" fillId="2" borderId="21" xfId="1" applyNumberFormat="1" applyFont="1" applyFill="1" applyBorder="1" applyAlignment="1" applyProtection="1">
      <alignment horizontal="center" vertical="center"/>
    </xf>
    <xf numFmtId="0" fontId="27" fillId="0" borderId="21" xfId="0" applyFont="1" applyFill="1" applyBorder="1" applyAlignment="1" applyProtection="1">
      <alignment horizontal="center" vertical="center"/>
    </xf>
    <xf numFmtId="0" fontId="11" fillId="2" borderId="28" xfId="0" applyFont="1" applyFill="1" applyBorder="1" applyAlignment="1" applyProtection="1">
      <alignment horizontal="center" vertical="center"/>
    </xf>
    <xf numFmtId="0" fontId="11" fillId="2" borderId="28" xfId="0" applyFont="1" applyFill="1" applyBorder="1" applyProtection="1"/>
    <xf numFmtId="176" fontId="11" fillId="2" borderId="29" xfId="1" applyNumberFormat="1" applyFont="1" applyFill="1" applyBorder="1" applyAlignment="1" applyProtection="1">
      <alignment horizontal="center" vertical="center"/>
    </xf>
    <xf numFmtId="0" fontId="11" fillId="2" borderId="30" xfId="0" applyFont="1" applyFill="1" applyBorder="1" applyProtection="1"/>
    <xf numFmtId="0" fontId="11" fillId="2" borderId="31" xfId="0" applyFont="1" applyFill="1" applyBorder="1" applyProtection="1"/>
    <xf numFmtId="176" fontId="0" fillId="2" borderId="0" xfId="0" applyNumberFormat="1" applyFill="1" applyProtection="1"/>
    <xf numFmtId="0" fontId="11" fillId="2" borderId="31" xfId="0" applyFont="1" applyFill="1" applyBorder="1" applyAlignment="1" applyProtection="1">
      <alignment horizontal="center" vertical="center"/>
    </xf>
    <xf numFmtId="0" fontId="54" fillId="2" borderId="31" xfId="13" applyFont="1" applyFill="1" applyBorder="1" applyAlignment="1">
      <alignment vertical="center" wrapText="1"/>
    </xf>
    <xf numFmtId="0" fontId="50" fillId="2" borderId="31" xfId="13" applyFont="1" applyFill="1" applyBorder="1" applyAlignment="1">
      <alignment horizontal="center" vertical="center" wrapText="1"/>
    </xf>
    <xf numFmtId="169" fontId="54" fillId="2" borderId="31" xfId="0" applyNumberFormat="1" applyFont="1" applyFill="1" applyBorder="1" applyAlignment="1">
      <alignment vertical="center"/>
    </xf>
    <xf numFmtId="175" fontId="11" fillId="2" borderId="31" xfId="1" applyNumberFormat="1" applyFont="1" applyFill="1" applyBorder="1" applyAlignment="1" applyProtection="1">
      <alignment horizontal="center" vertical="center"/>
    </xf>
    <xf numFmtId="0" fontId="28" fillId="2" borderId="31" xfId="0" applyFont="1" applyFill="1" applyBorder="1" applyProtection="1"/>
    <xf numFmtId="0" fontId="28" fillId="2" borderId="21" xfId="0" applyFont="1" applyFill="1" applyBorder="1" applyAlignment="1" applyProtection="1">
      <alignment horizontal="center" vertical="center"/>
    </xf>
    <xf numFmtId="0" fontId="11" fillId="2" borderId="29" xfId="0" applyFont="1" applyFill="1" applyBorder="1" applyAlignment="1" applyProtection="1">
      <alignment horizontal="center" vertical="center"/>
    </xf>
    <xf numFmtId="0" fontId="28" fillId="2" borderId="31" xfId="0" applyFont="1" applyFill="1" applyBorder="1" applyAlignment="1" applyProtection="1">
      <alignment horizontal="center" vertical="center" wrapText="1"/>
    </xf>
    <xf numFmtId="176" fontId="54" fillId="6" borderId="29" xfId="1" applyNumberFormat="1" applyFont="1" applyFill="1" applyBorder="1" applyAlignment="1" applyProtection="1">
      <alignment horizontal="center" vertical="center"/>
    </xf>
    <xf numFmtId="0" fontId="28" fillId="2" borderId="22" xfId="0" applyFont="1" applyFill="1" applyBorder="1" applyProtection="1"/>
    <xf numFmtId="43" fontId="50" fillId="0" borderId="38" xfId="1" applyFont="1" applyBorder="1" applyAlignment="1" applyProtection="1">
      <alignment horizontal="right" vertical="center" wrapText="1"/>
      <protection locked="0"/>
    </xf>
    <xf numFmtId="0" fontId="11" fillId="2" borderId="0" xfId="0" applyFont="1" applyFill="1" applyAlignment="1" applyProtection="1"/>
    <xf numFmtId="0" fontId="11" fillId="2" borderId="0" xfId="0" applyFont="1" applyFill="1" applyAlignment="1" applyProtection="1">
      <alignment horizontal="center" vertical="center" wrapText="1"/>
    </xf>
    <xf numFmtId="0" fontId="11" fillId="2" borderId="42" xfId="0" applyFont="1" applyFill="1" applyBorder="1" applyAlignment="1" applyProtection="1">
      <alignment horizontal="center" vertical="center" wrapText="1"/>
    </xf>
    <xf numFmtId="0" fontId="11" fillId="2" borderId="33" xfId="0" applyFont="1" applyFill="1" applyBorder="1" applyAlignment="1" applyProtection="1">
      <alignment horizontal="center" vertical="center" wrapText="1"/>
    </xf>
    <xf numFmtId="0" fontId="11" fillId="2" borderId="44" xfId="0" applyFont="1" applyFill="1" applyBorder="1" applyAlignment="1" applyProtection="1">
      <alignment horizontal="center" vertical="center" wrapText="1"/>
    </xf>
    <xf numFmtId="0" fontId="11" fillId="2" borderId="45" xfId="0" applyFont="1" applyFill="1" applyBorder="1" applyAlignment="1" applyProtection="1">
      <alignment horizontal="center" vertical="center" wrapText="1"/>
    </xf>
    <xf numFmtId="0" fontId="27" fillId="2" borderId="48" xfId="0" applyFont="1" applyFill="1" applyBorder="1" applyAlignment="1" applyProtection="1">
      <alignment horizontal="center" vertical="center" wrapText="1"/>
    </xf>
    <xf numFmtId="0" fontId="27" fillId="2" borderId="49" xfId="0" applyFont="1" applyFill="1" applyBorder="1" applyAlignment="1" applyProtection="1">
      <alignment horizontal="center" vertical="center" wrapText="1"/>
    </xf>
    <xf numFmtId="0" fontId="11" fillId="2" borderId="33" xfId="0" applyFont="1" applyFill="1" applyBorder="1" applyAlignment="1" applyProtection="1">
      <alignment horizontal="left" vertical="center" wrapText="1"/>
    </xf>
    <xf numFmtId="0" fontId="11" fillId="2" borderId="45" xfId="0" applyFont="1" applyFill="1" applyBorder="1" applyAlignment="1" applyProtection="1">
      <alignment horizontal="left" vertical="center" wrapText="1"/>
    </xf>
    <xf numFmtId="43" fontId="11" fillId="2" borderId="33" xfId="1" applyFont="1" applyFill="1" applyBorder="1" applyAlignment="1" applyProtection="1">
      <alignment horizontal="center" vertical="center" wrapText="1"/>
    </xf>
    <xf numFmtId="3" fontId="11" fillId="2" borderId="33" xfId="0" applyNumberFormat="1" applyFont="1" applyFill="1" applyBorder="1" applyAlignment="1" applyProtection="1">
      <alignment horizontal="center" vertical="center" wrapText="1"/>
    </xf>
    <xf numFmtId="175" fontId="11" fillId="2" borderId="33" xfId="1" applyNumberFormat="1" applyFont="1" applyFill="1" applyBorder="1" applyAlignment="1" applyProtection="1">
      <alignment horizontal="right" vertical="center" wrapText="1"/>
    </xf>
    <xf numFmtId="0" fontId="11" fillId="2" borderId="33" xfId="0" applyFont="1" applyFill="1" applyBorder="1" applyAlignment="1" applyProtection="1">
      <alignment horizontal="right" vertical="center" wrapText="1"/>
    </xf>
    <xf numFmtId="43" fontId="11" fillId="2" borderId="33" xfId="1" applyFont="1" applyFill="1" applyBorder="1" applyAlignment="1" applyProtection="1">
      <alignment horizontal="right" vertical="center" wrapText="1"/>
    </xf>
    <xf numFmtId="173" fontId="11" fillId="2" borderId="33" xfId="0" applyNumberFormat="1" applyFont="1" applyFill="1" applyBorder="1" applyAlignment="1" applyProtection="1">
      <alignment horizontal="right" vertical="center" wrapText="1"/>
    </xf>
    <xf numFmtId="0" fontId="27" fillId="2" borderId="47" xfId="0" applyFont="1" applyFill="1" applyBorder="1" applyAlignment="1" applyProtection="1">
      <alignment horizontal="center" vertical="center" wrapText="1"/>
    </xf>
    <xf numFmtId="0" fontId="27" fillId="2" borderId="22" xfId="0" applyFont="1" applyFill="1" applyBorder="1" applyAlignment="1" applyProtection="1">
      <alignment horizontal="left" vertical="center" wrapText="1"/>
    </xf>
    <xf numFmtId="0" fontId="27" fillId="2" borderId="22" xfId="0" applyFont="1" applyFill="1" applyBorder="1" applyAlignment="1" applyProtection="1">
      <alignment horizontal="center" vertical="center" wrapText="1"/>
    </xf>
    <xf numFmtId="43" fontId="27" fillId="2" borderId="22" xfId="1" applyFont="1" applyFill="1" applyBorder="1" applyAlignment="1" applyProtection="1">
      <alignment horizontal="center" vertical="center" wrapText="1"/>
    </xf>
    <xf numFmtId="4" fontId="27" fillId="2" borderId="22" xfId="0" applyNumberFormat="1" applyFont="1" applyFill="1" applyBorder="1" applyAlignment="1" applyProtection="1">
      <alignment horizontal="right" vertical="center" wrapText="1"/>
    </xf>
    <xf numFmtId="0" fontId="27" fillId="2" borderId="42" xfId="0" applyFont="1" applyFill="1" applyBorder="1" applyAlignment="1" applyProtection="1">
      <alignment horizontal="center" vertical="center" wrapText="1"/>
    </xf>
    <xf numFmtId="0" fontId="27" fillId="2" borderId="33" xfId="0" applyFont="1" applyFill="1" applyBorder="1" applyAlignment="1" applyProtection="1">
      <alignment horizontal="left" vertical="center" wrapText="1"/>
    </xf>
    <xf numFmtId="0" fontId="27" fillId="2" borderId="33" xfId="0" applyFont="1" applyFill="1" applyBorder="1" applyAlignment="1" applyProtection="1">
      <alignment horizontal="center" vertical="center" wrapText="1"/>
    </xf>
    <xf numFmtId="43" fontId="27" fillId="2" borderId="33" xfId="0" applyNumberFormat="1" applyFont="1" applyFill="1" applyBorder="1" applyAlignment="1" applyProtection="1">
      <alignment horizontal="center" vertical="center" wrapText="1"/>
    </xf>
    <xf numFmtId="43" fontId="27" fillId="2" borderId="33" xfId="1" applyFont="1" applyFill="1" applyBorder="1" applyAlignment="1" applyProtection="1">
      <alignment horizontal="center" vertical="center" wrapText="1"/>
    </xf>
    <xf numFmtId="175" fontId="27" fillId="2" borderId="33" xfId="1" applyNumberFormat="1" applyFont="1" applyFill="1" applyBorder="1" applyAlignment="1" applyProtection="1">
      <alignment horizontal="right" vertical="center" wrapText="1"/>
    </xf>
    <xf numFmtId="3" fontId="27" fillId="2" borderId="33" xfId="0" applyNumberFormat="1" applyFont="1" applyFill="1" applyBorder="1" applyAlignment="1" applyProtection="1">
      <alignment horizontal="right" vertical="center" wrapText="1"/>
    </xf>
    <xf numFmtId="0" fontId="27" fillId="2" borderId="33" xfId="0" applyFont="1" applyFill="1" applyBorder="1" applyAlignment="1" applyProtection="1">
      <alignment horizontal="right" vertical="center" wrapText="1"/>
    </xf>
    <xf numFmtId="173" fontId="27" fillId="2" borderId="33" xfId="0" applyNumberFormat="1" applyFont="1" applyFill="1" applyBorder="1" applyAlignment="1" applyProtection="1">
      <alignment horizontal="right" vertical="center" wrapText="1"/>
    </xf>
    <xf numFmtId="43" fontId="27" fillId="2" borderId="33" xfId="1" applyFont="1" applyFill="1" applyBorder="1" applyAlignment="1" applyProtection="1">
      <alignment horizontal="right" vertical="center" wrapText="1"/>
    </xf>
    <xf numFmtId="3" fontId="11" fillId="2" borderId="33" xfId="0" applyNumberFormat="1" applyFont="1" applyFill="1" applyBorder="1" applyAlignment="1" applyProtection="1">
      <alignment horizontal="left" vertical="center" wrapText="1"/>
    </xf>
    <xf numFmtId="3" fontId="27" fillId="2" borderId="33" xfId="0" applyNumberFormat="1" applyFont="1" applyFill="1" applyBorder="1" applyAlignment="1" applyProtection="1">
      <alignment horizontal="left" vertical="center" wrapText="1"/>
    </xf>
    <xf numFmtId="3" fontId="27" fillId="2" borderId="33" xfId="0" applyNumberFormat="1" applyFont="1" applyFill="1" applyBorder="1" applyAlignment="1" applyProtection="1">
      <alignment horizontal="center" vertical="center" wrapText="1"/>
    </xf>
    <xf numFmtId="43" fontId="11" fillId="2" borderId="33" xfId="1" applyNumberFormat="1" applyFont="1" applyFill="1" applyBorder="1" applyAlignment="1" applyProtection="1">
      <alignment horizontal="right" vertical="center" wrapText="1"/>
    </xf>
    <xf numFmtId="43" fontId="11" fillId="2" borderId="33" xfId="1" applyNumberFormat="1" applyFont="1" applyFill="1" applyBorder="1" applyAlignment="1" applyProtection="1">
      <alignment horizontal="center" vertical="center" wrapText="1"/>
    </xf>
    <xf numFmtId="0" fontId="27" fillId="2" borderId="54" xfId="0" applyFont="1" applyFill="1" applyBorder="1" applyAlignment="1" applyProtection="1">
      <alignment horizontal="center" vertical="center" wrapText="1"/>
    </xf>
    <xf numFmtId="43" fontId="27" fillId="2" borderId="55" xfId="0" applyNumberFormat="1" applyFont="1" applyFill="1" applyBorder="1" applyAlignment="1" applyProtection="1">
      <alignment horizontal="center" vertical="center" wrapText="1"/>
    </xf>
    <xf numFmtId="43" fontId="11" fillId="2" borderId="55" xfId="0" applyNumberFormat="1" applyFont="1" applyFill="1" applyBorder="1" applyAlignment="1" applyProtection="1">
      <alignment horizontal="center" vertical="center" wrapText="1"/>
    </xf>
    <xf numFmtId="0" fontId="11" fillId="2" borderId="29" xfId="0" applyFont="1" applyFill="1" applyBorder="1" applyAlignment="1" applyProtection="1">
      <alignment horizontal="center" vertical="center" wrapText="1"/>
    </xf>
    <xf numFmtId="0" fontId="11" fillId="2" borderId="56" xfId="0" applyFont="1" applyFill="1" applyBorder="1" applyAlignment="1" applyProtection="1">
      <alignment horizontal="center" vertical="center" wrapText="1"/>
    </xf>
    <xf numFmtId="0" fontId="27" fillId="2" borderId="57" xfId="0" applyFont="1" applyFill="1" applyBorder="1" applyAlignment="1" applyProtection="1">
      <alignment horizontal="center" vertical="center"/>
    </xf>
    <xf numFmtId="0" fontId="11" fillId="2" borderId="43" xfId="0" applyFont="1" applyFill="1" applyBorder="1" applyAlignment="1" applyProtection="1">
      <alignment horizontal="center" vertical="center"/>
    </xf>
    <xf numFmtId="0" fontId="11" fillId="2" borderId="46" xfId="0" applyFont="1" applyFill="1" applyBorder="1" applyAlignment="1" applyProtection="1">
      <alignment horizontal="center" vertical="center"/>
    </xf>
    <xf numFmtId="176" fontId="11" fillId="2" borderId="33" xfId="1" applyNumberFormat="1" applyFont="1" applyFill="1" applyBorder="1" applyAlignment="1" applyProtection="1">
      <alignment horizontal="right" vertical="center" wrapText="1"/>
    </xf>
    <xf numFmtId="176" fontId="11" fillId="2" borderId="33" xfId="1" applyNumberFormat="1" applyFont="1" applyFill="1" applyBorder="1" applyAlignment="1" applyProtection="1">
      <alignment horizontal="center" vertical="center" wrapText="1"/>
    </xf>
    <xf numFmtId="175" fontId="11" fillId="2" borderId="33" xfId="1" applyNumberFormat="1" applyFont="1" applyFill="1" applyBorder="1" applyAlignment="1" applyProtection="1">
      <alignment horizontal="center" vertical="center" wrapText="1"/>
    </xf>
    <xf numFmtId="0" fontId="38" fillId="6" borderId="58" xfId="0" applyFont="1" applyFill="1" applyBorder="1" applyAlignment="1" applyProtection="1">
      <alignment vertical="center" wrapText="1"/>
    </xf>
    <xf numFmtId="43" fontId="27" fillId="2" borderId="33" xfId="1" applyNumberFormat="1" applyFont="1" applyFill="1" applyBorder="1" applyAlignment="1" applyProtection="1">
      <alignment horizontal="right" vertical="center" wrapText="1"/>
    </xf>
    <xf numFmtId="0" fontId="26" fillId="2" borderId="43" xfId="0" applyFont="1" applyFill="1" applyBorder="1" applyAlignment="1" applyProtection="1">
      <alignment horizontal="center" vertical="center" wrapText="1"/>
    </xf>
    <xf numFmtId="176" fontId="27" fillId="2" borderId="33" xfId="1" applyNumberFormat="1" applyFont="1" applyFill="1" applyBorder="1" applyAlignment="1" applyProtection="1">
      <alignment horizontal="right" vertical="center" wrapText="1"/>
    </xf>
    <xf numFmtId="176" fontId="27" fillId="2" borderId="33" xfId="0" applyNumberFormat="1" applyFont="1" applyFill="1" applyBorder="1" applyAlignment="1" applyProtection="1">
      <alignment horizontal="right" vertical="center" wrapText="1"/>
    </xf>
    <xf numFmtId="0" fontId="50" fillId="6" borderId="23" xfId="0" applyNumberFormat="1" applyFont="1" applyFill="1" applyBorder="1" applyAlignment="1">
      <alignment horizontal="left" vertical="center" wrapText="1"/>
    </xf>
    <xf numFmtId="0" fontId="54" fillId="2" borderId="0" xfId="0" applyFont="1" applyFill="1" applyAlignment="1" applyProtection="1">
      <alignment horizontal="center"/>
      <protection locked="0"/>
    </xf>
    <xf numFmtId="167" fontId="50" fillId="2" borderId="0" xfId="0" applyNumberFormat="1" applyFont="1" applyFill="1" applyAlignment="1" applyProtection="1">
      <alignment horizontal="right" vertical="center" wrapText="1"/>
      <protection locked="0"/>
    </xf>
    <xf numFmtId="166" fontId="54" fillId="2" borderId="0" xfId="0" applyNumberFormat="1" applyFont="1" applyFill="1" applyAlignment="1" applyProtection="1">
      <alignment horizontal="right" vertical="center" wrapText="1"/>
      <protection locked="0"/>
    </xf>
    <xf numFmtId="0" fontId="50" fillId="2" borderId="0" xfId="0" applyFont="1" applyFill="1" applyAlignment="1" applyProtection="1">
      <alignment vertical="center" wrapText="1"/>
      <protection locked="0"/>
    </xf>
    <xf numFmtId="0" fontId="50" fillId="2" borderId="0" xfId="0" applyFont="1" applyFill="1" applyAlignment="1" applyProtection="1">
      <alignment horizontal="center" vertical="center" wrapText="1"/>
      <protection locked="0"/>
    </xf>
    <xf numFmtId="0" fontId="47" fillId="2" borderId="0" xfId="0" applyFont="1" applyFill="1" applyAlignment="1" applyProtection="1">
      <alignment vertical="center"/>
      <protection locked="0"/>
    </xf>
    <xf numFmtId="167" fontId="74" fillId="2" borderId="0" xfId="0" applyNumberFormat="1" applyFont="1" applyFill="1" applyAlignment="1" applyProtection="1">
      <alignment vertical="center"/>
      <protection locked="0"/>
    </xf>
    <xf numFmtId="0" fontId="75" fillId="2" borderId="0" xfId="0" applyFont="1" applyFill="1" applyAlignment="1" applyProtection="1">
      <alignment horizontal="center"/>
      <protection locked="0"/>
    </xf>
    <xf numFmtId="0" fontId="75" fillId="2" borderId="0" xfId="0" applyFont="1" applyFill="1" applyProtection="1">
      <protection locked="0"/>
    </xf>
    <xf numFmtId="3" fontId="48" fillId="2" borderId="2" xfId="0" applyNumberFormat="1" applyFont="1" applyFill="1" applyBorder="1" applyAlignment="1" applyProtection="1">
      <alignment vertical="center" wrapText="1"/>
      <protection locked="0"/>
    </xf>
    <xf numFmtId="170" fontId="54" fillId="2" borderId="0" xfId="0" applyNumberFormat="1" applyFont="1" applyFill="1" applyAlignment="1" applyProtection="1">
      <alignment horizontal="right" vertical="center" wrapText="1"/>
      <protection locked="0"/>
    </xf>
    <xf numFmtId="4" fontId="50" fillId="2" borderId="1" xfId="0" applyNumberFormat="1" applyFont="1" applyFill="1" applyBorder="1" applyAlignment="1" applyProtection="1">
      <alignment horizontal="right" vertical="center" wrapText="1"/>
      <protection locked="0"/>
    </xf>
    <xf numFmtId="0" fontId="47" fillId="2" borderId="0" xfId="0" applyFont="1" applyFill="1" applyAlignment="1" applyProtection="1">
      <alignment horizontal="center"/>
      <protection locked="0"/>
    </xf>
    <xf numFmtId="0" fontId="81" fillId="2" borderId="0" xfId="0" applyFont="1" applyFill="1" applyProtection="1">
      <protection locked="0"/>
    </xf>
    <xf numFmtId="0" fontId="47" fillId="2" borderId="0" xfId="0" applyFont="1" applyFill="1" applyProtection="1">
      <protection locked="0"/>
    </xf>
    <xf numFmtId="0" fontId="86" fillId="2" borderId="0" xfId="0" applyFont="1" applyFill="1" applyProtection="1">
      <protection locked="0"/>
    </xf>
    <xf numFmtId="0" fontId="54" fillId="2" borderId="0" xfId="0" applyFont="1" applyFill="1" applyAlignment="1" applyProtection="1">
      <alignment horizontal="center" vertical="center"/>
      <protection locked="0"/>
    </xf>
    <xf numFmtId="0" fontId="55" fillId="2" borderId="0" xfId="0" applyFont="1" applyFill="1" applyAlignment="1" applyProtection="1">
      <alignment horizontal="center"/>
      <protection locked="0"/>
    </xf>
    <xf numFmtId="0" fontId="48" fillId="5" borderId="25" xfId="0" applyFont="1" applyFill="1" applyBorder="1" applyAlignment="1">
      <alignment horizontal="left" vertical="center" wrapText="1" indent="1"/>
    </xf>
    <xf numFmtId="0" fontId="48" fillId="5" borderId="25" xfId="0" applyFont="1" applyFill="1" applyBorder="1" applyAlignment="1">
      <alignment horizontal="left" vertical="center" wrapText="1"/>
    </xf>
    <xf numFmtId="171" fontId="50" fillId="2" borderId="7" xfId="0" applyNumberFormat="1" applyFont="1" applyFill="1" applyBorder="1" applyAlignment="1" applyProtection="1">
      <alignment horizontal="right" vertical="center" wrapText="1"/>
      <protection locked="0"/>
    </xf>
    <xf numFmtId="171" fontId="50" fillId="2" borderId="4" xfId="0" applyNumberFormat="1" applyFont="1" applyFill="1" applyBorder="1" applyAlignment="1" applyProtection="1">
      <alignment horizontal="right" vertical="center" wrapText="1"/>
      <protection locked="0"/>
    </xf>
    <xf numFmtId="166" fontId="50" fillId="2" borderId="7" xfId="0" applyNumberFormat="1" applyFont="1" applyFill="1" applyBorder="1" applyAlignment="1" applyProtection="1">
      <alignment horizontal="right" vertical="center" wrapText="1"/>
      <protection locked="0"/>
    </xf>
    <xf numFmtId="1" fontId="50" fillId="2" borderId="7" xfId="0" applyNumberFormat="1" applyFont="1" applyFill="1" applyBorder="1" applyAlignment="1" applyProtection="1">
      <alignment horizontal="center" wrapText="1"/>
      <protection locked="0"/>
    </xf>
    <xf numFmtId="0" fontId="50" fillId="5" borderId="23" xfId="0" applyFont="1" applyFill="1" applyBorder="1" applyAlignment="1">
      <alignment horizontal="center" vertical="center" wrapText="1"/>
    </xf>
    <xf numFmtId="0" fontId="50" fillId="5" borderId="23" xfId="0" applyFont="1" applyFill="1" applyBorder="1" applyAlignment="1">
      <alignment horizontal="left" vertical="center" wrapText="1"/>
    </xf>
    <xf numFmtId="1" fontId="50" fillId="2" borderId="4" xfId="0" applyNumberFormat="1" applyFont="1" applyFill="1" applyBorder="1" applyAlignment="1" applyProtection="1">
      <alignment horizontal="center" wrapText="1"/>
      <protection locked="0"/>
    </xf>
    <xf numFmtId="171" fontId="50" fillId="6" borderId="4" xfId="0" applyNumberFormat="1" applyFont="1" applyFill="1" applyBorder="1" applyAlignment="1" applyProtection="1">
      <alignment horizontal="right" vertical="center" wrapText="1"/>
      <protection locked="0"/>
    </xf>
    <xf numFmtId="0" fontId="48" fillId="5" borderId="23" xfId="0" applyFont="1" applyFill="1" applyBorder="1" applyAlignment="1">
      <alignment horizontal="left" vertical="center" wrapText="1" indent="1"/>
    </xf>
    <xf numFmtId="0" fontId="48" fillId="5" borderId="23" xfId="0" applyFont="1" applyFill="1" applyBorder="1" applyAlignment="1">
      <alignment horizontal="left" vertical="center" wrapText="1"/>
    </xf>
    <xf numFmtId="170" fontId="50" fillId="2" borderId="4" xfId="0" applyNumberFormat="1" applyFont="1" applyFill="1" applyBorder="1" applyAlignment="1" applyProtection="1">
      <alignment horizontal="right" vertical="center" wrapText="1"/>
      <protection locked="0"/>
    </xf>
    <xf numFmtId="3" fontId="50" fillId="2" borderId="4" xfId="0" applyNumberFormat="1" applyFont="1" applyFill="1" applyBorder="1" applyAlignment="1" applyProtection="1">
      <alignment horizontal="right" vertical="center" wrapText="1"/>
      <protection locked="0"/>
    </xf>
    <xf numFmtId="43" fontId="50" fillId="2" borderId="4" xfId="1" applyFont="1" applyFill="1" applyBorder="1" applyAlignment="1" applyProtection="1">
      <alignment horizontal="right" vertical="center" wrapText="1"/>
      <protection locked="0"/>
    </xf>
    <xf numFmtId="166" fontId="50" fillId="2" borderId="4" xfId="0" applyNumberFormat="1" applyFont="1" applyFill="1" applyBorder="1" applyAlignment="1" applyProtection="1">
      <alignment horizontal="right" vertical="center" wrapText="1"/>
      <protection locked="0"/>
    </xf>
    <xf numFmtId="0" fontId="50" fillId="5" borderId="38" xfId="0" applyFont="1" applyFill="1" applyBorder="1" applyAlignment="1">
      <alignment horizontal="center" vertical="center" wrapText="1"/>
    </xf>
    <xf numFmtId="0" fontId="50" fillId="5" borderId="38" xfId="0" applyFont="1" applyFill="1" applyBorder="1" applyAlignment="1">
      <alignment horizontal="left" vertical="center" wrapText="1"/>
    </xf>
    <xf numFmtId="166" fontId="50" fillId="2" borderId="17" xfId="0" applyNumberFormat="1" applyFont="1" applyFill="1" applyBorder="1" applyAlignment="1" applyProtection="1">
      <alignment horizontal="right" vertical="center" wrapText="1"/>
      <protection locked="0"/>
    </xf>
    <xf numFmtId="0" fontId="79" fillId="2" borderId="17" xfId="0" applyFont="1" applyFill="1" applyBorder="1" applyAlignment="1" applyProtection="1">
      <alignment horizontal="right" vertical="center" wrapText="1"/>
      <protection locked="0"/>
    </xf>
    <xf numFmtId="0" fontId="84" fillId="2" borderId="0" xfId="0" applyFont="1" applyFill="1" applyProtection="1">
      <protection locked="0"/>
    </xf>
    <xf numFmtId="2" fontId="48" fillId="2" borderId="37" xfId="0" applyNumberFormat="1" applyFont="1" applyFill="1" applyBorder="1" applyAlignment="1" applyProtection="1">
      <alignment horizontal="center" vertical="center" wrapText="1"/>
      <protection locked="0"/>
    </xf>
    <xf numFmtId="166" fontId="50" fillId="6" borderId="4" xfId="0" applyNumberFormat="1" applyFont="1" applyFill="1" applyBorder="1" applyAlignment="1" applyProtection="1">
      <alignment horizontal="right" vertical="center" wrapText="1"/>
      <protection locked="0"/>
    </xf>
    <xf numFmtId="3" fontId="48" fillId="2" borderId="13" xfId="0" applyNumberFormat="1" applyFont="1" applyFill="1" applyBorder="1" applyAlignment="1" applyProtection="1">
      <alignment vertical="center" wrapText="1"/>
      <protection locked="0"/>
    </xf>
    <xf numFmtId="3" fontId="48" fillId="2" borderId="32" xfId="0" applyNumberFormat="1" applyFont="1" applyFill="1" applyBorder="1" applyAlignment="1" applyProtection="1">
      <alignment horizontal="center" vertical="center" wrapText="1"/>
      <protection locked="0"/>
    </xf>
    <xf numFmtId="3" fontId="48" fillId="2" borderId="20" xfId="0" applyNumberFormat="1" applyFont="1" applyFill="1" applyBorder="1" applyAlignment="1" applyProtection="1">
      <alignment horizontal="center" vertical="center" wrapText="1"/>
      <protection locked="0"/>
    </xf>
    <xf numFmtId="3" fontId="48" fillId="2" borderId="2"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protection locked="0"/>
    </xf>
    <xf numFmtId="0" fontId="95" fillId="5" borderId="25" xfId="0" applyFont="1" applyFill="1" applyBorder="1" applyAlignment="1">
      <alignment vertical="center" wrapText="1"/>
    </xf>
    <xf numFmtId="0" fontId="49" fillId="5" borderId="23" xfId="0" applyFont="1" applyFill="1" applyBorder="1" applyAlignment="1">
      <alignment horizontal="center" vertical="center" wrapText="1"/>
    </xf>
    <xf numFmtId="0" fontId="95" fillId="5" borderId="23" xfId="0" applyFont="1" applyFill="1" applyBorder="1" applyAlignment="1">
      <alignment vertical="center" wrapText="1"/>
    </xf>
    <xf numFmtId="0" fontId="49" fillId="6" borderId="23" xfId="0" applyFont="1" applyFill="1" applyBorder="1" applyAlignment="1">
      <alignment horizontal="center" vertical="center" wrapText="1"/>
    </xf>
    <xf numFmtId="0" fontId="49" fillId="5" borderId="38" xfId="0" applyFont="1" applyFill="1" applyBorder="1" applyAlignment="1">
      <alignment horizontal="center" vertical="center" wrapText="1"/>
    </xf>
    <xf numFmtId="0" fontId="35" fillId="5" borderId="23" xfId="0" applyFont="1" applyFill="1" applyBorder="1" applyAlignment="1">
      <alignment horizontal="left" vertical="center" wrapText="1"/>
    </xf>
    <xf numFmtId="0" fontId="25" fillId="2" borderId="0" xfId="0" applyFont="1" applyFill="1" applyBorder="1" applyAlignment="1" applyProtection="1">
      <alignment horizontal="center" vertical="center" wrapText="1"/>
      <protection locked="0"/>
    </xf>
    <xf numFmtId="0" fontId="52" fillId="2" borderId="0" xfId="0" applyNumberFormat="1" applyFont="1" applyFill="1" applyBorder="1" applyAlignment="1">
      <alignment horizontal="left" vertical="center" wrapText="1"/>
    </xf>
    <xf numFmtId="0" fontId="54" fillId="2" borderId="0" xfId="0" quotePrefix="1" applyFont="1" applyFill="1" applyBorder="1" applyAlignment="1">
      <alignment horizontal="center" vertical="center" wrapText="1"/>
    </xf>
    <xf numFmtId="0" fontId="52" fillId="2" borderId="0" xfId="0" quotePrefix="1" applyFont="1" applyFill="1" applyBorder="1" applyAlignment="1">
      <alignment horizontal="center" vertical="center" wrapText="1"/>
    </xf>
    <xf numFmtId="0" fontId="54" fillId="2" borderId="0" xfId="0" applyNumberFormat="1" applyFont="1" applyFill="1" applyBorder="1" applyAlignment="1">
      <alignment horizontal="left" vertical="center" wrapText="1"/>
    </xf>
    <xf numFmtId="176" fontId="47" fillId="0" borderId="0" xfId="1"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2" borderId="0" xfId="0" applyFont="1" applyFill="1" applyAlignment="1" applyProtection="1">
      <alignment vertical="center" wrapText="1"/>
      <protection locked="0"/>
    </xf>
    <xf numFmtId="176" fontId="47" fillId="2" borderId="0" xfId="1" applyNumberFormat="1" applyFont="1" applyFill="1" applyAlignment="1" applyProtection="1">
      <alignment vertical="center" wrapText="1"/>
      <protection locked="0"/>
    </xf>
    <xf numFmtId="0" fontId="54" fillId="6" borderId="0" xfId="0" applyFont="1" applyFill="1" applyAlignment="1">
      <alignment vertical="center" wrapText="1"/>
    </xf>
    <xf numFmtId="0" fontId="50" fillId="6" borderId="0" xfId="0" applyFont="1" applyFill="1" applyAlignment="1">
      <alignment vertical="center" wrapText="1"/>
    </xf>
    <xf numFmtId="0" fontId="75" fillId="0" borderId="0" xfId="0" applyFont="1" applyFill="1" applyAlignment="1" applyProtection="1">
      <alignment vertical="center" wrapText="1"/>
      <protection locked="0"/>
    </xf>
    <xf numFmtId="0" fontId="38" fillId="2" borderId="32" xfId="0" applyFont="1" applyFill="1" applyBorder="1" applyAlignment="1" applyProtection="1">
      <alignment horizontal="center" vertical="center" wrapText="1"/>
    </xf>
    <xf numFmtId="0" fontId="31" fillId="2" borderId="22" xfId="0" applyFont="1" applyFill="1" applyBorder="1" applyProtection="1"/>
    <xf numFmtId="0" fontId="31" fillId="2" borderId="33" xfId="0" applyFont="1" applyFill="1" applyBorder="1" applyProtection="1"/>
    <xf numFmtId="169" fontId="31" fillId="2" borderId="33" xfId="0" applyNumberFormat="1" applyFont="1" applyFill="1" applyBorder="1" applyProtection="1"/>
    <xf numFmtId="0" fontId="42" fillId="2" borderId="33" xfId="0" applyFont="1" applyFill="1" applyBorder="1" applyProtection="1"/>
    <xf numFmtId="0" fontId="13" fillId="2" borderId="0" xfId="0" applyFont="1" applyFill="1" applyProtection="1"/>
    <xf numFmtId="0" fontId="38" fillId="2" borderId="33" xfId="0" applyFont="1" applyFill="1" applyBorder="1" applyProtection="1"/>
    <xf numFmtId="169" fontId="42" fillId="2" borderId="33" xfId="0" applyNumberFormat="1" applyFont="1" applyFill="1" applyBorder="1" applyProtection="1"/>
    <xf numFmtId="169" fontId="38" fillId="2" borderId="33" xfId="0" applyNumberFormat="1" applyFont="1" applyFill="1" applyBorder="1" applyProtection="1"/>
    <xf numFmtId="43" fontId="31" fillId="2" borderId="33" xfId="1" applyFont="1" applyFill="1" applyBorder="1" applyProtection="1"/>
    <xf numFmtId="0" fontId="38" fillId="2" borderId="32" xfId="0"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protection locked="0"/>
    </xf>
    <xf numFmtId="0" fontId="53" fillId="2" borderId="17" xfId="0" applyFont="1" applyFill="1" applyBorder="1" applyAlignment="1" applyProtection="1">
      <alignment horizontal="center" vertical="center" wrapText="1"/>
      <protection locked="0"/>
    </xf>
    <xf numFmtId="0" fontId="57" fillId="2" borderId="27" xfId="35" applyFont="1" applyFill="1" applyBorder="1" applyAlignment="1">
      <alignment horizontal="center" vertical="center" wrapText="1"/>
    </xf>
    <xf numFmtId="0" fontId="57" fillId="2" borderId="27" xfId="35" applyFont="1" applyFill="1" applyBorder="1" applyAlignment="1">
      <alignment horizontal="left" vertical="center" wrapText="1"/>
    </xf>
    <xf numFmtId="0" fontId="31" fillId="2" borderId="27" xfId="0" applyFont="1" applyFill="1" applyBorder="1" applyProtection="1"/>
    <xf numFmtId="0" fontId="57" fillId="2" borderId="33" xfId="35" applyFont="1" applyFill="1" applyBorder="1" applyAlignment="1">
      <alignment horizontal="center" vertical="center" wrapText="1"/>
    </xf>
    <xf numFmtId="0" fontId="57" fillId="2" borderId="33" xfId="35" applyFont="1" applyFill="1" applyBorder="1" applyAlignment="1">
      <alignment horizontal="left" vertical="center" wrapText="1"/>
    </xf>
    <xf numFmtId="0" fontId="56" fillId="2" borderId="33" xfId="35" quotePrefix="1" applyFont="1" applyFill="1" applyBorder="1" applyAlignment="1">
      <alignment horizontal="center" vertical="center" wrapText="1"/>
    </xf>
    <xf numFmtId="0" fontId="56" fillId="2" borderId="33" xfId="35" applyFont="1" applyFill="1" applyBorder="1" applyAlignment="1">
      <alignment vertical="center" wrapText="1"/>
    </xf>
    <xf numFmtId="166" fontId="56" fillId="2" borderId="33" xfId="30" applyFont="1" applyFill="1" applyBorder="1" applyAlignment="1">
      <alignment horizontal="center" vertical="center" wrapText="1"/>
    </xf>
    <xf numFmtId="0" fontId="53" fillId="2" borderId="33" xfId="35" quotePrefix="1" applyFont="1" applyFill="1" applyBorder="1" applyAlignment="1">
      <alignment horizontal="center" vertical="center" wrapText="1"/>
    </xf>
    <xf numFmtId="0" fontId="53" fillId="2" borderId="33" xfId="35" quotePrefix="1" applyFont="1" applyFill="1" applyBorder="1" applyAlignment="1">
      <alignment vertical="center" wrapText="1"/>
    </xf>
    <xf numFmtId="166" fontId="53" fillId="2" borderId="33" xfId="30" applyFont="1" applyFill="1" applyBorder="1" applyAlignment="1">
      <alignment horizontal="center" vertical="center" wrapText="1"/>
    </xf>
    <xf numFmtId="0" fontId="31" fillId="2" borderId="33" xfId="0" applyFont="1" applyFill="1" applyBorder="1" applyAlignment="1" applyProtection="1">
      <alignment horizontal="center"/>
    </xf>
    <xf numFmtId="0" fontId="31" fillId="2" borderId="33" xfId="0" applyFont="1" applyFill="1" applyBorder="1" applyAlignment="1" applyProtection="1">
      <alignment horizontal="right"/>
    </xf>
    <xf numFmtId="175" fontId="31" fillId="2" borderId="33" xfId="1" applyNumberFormat="1" applyFont="1" applyFill="1" applyBorder="1" applyProtection="1"/>
    <xf numFmtId="0" fontId="42" fillId="2" borderId="33" xfId="0" applyFont="1" applyFill="1" applyBorder="1" applyAlignment="1" applyProtection="1">
      <alignment horizontal="center"/>
    </xf>
    <xf numFmtId="0" fontId="42" fillId="2" borderId="33" xfId="0" applyFont="1" applyFill="1" applyBorder="1" applyAlignment="1" applyProtection="1">
      <alignment horizontal="right"/>
    </xf>
    <xf numFmtId="0" fontId="57" fillId="2" borderId="33" xfId="35" quotePrefix="1" applyFont="1" applyFill="1" applyBorder="1" applyAlignment="1">
      <alignment horizontal="center" vertical="center" wrapText="1"/>
    </xf>
    <xf numFmtId="0" fontId="57" fillId="2" borderId="33" xfId="35" applyFont="1" applyFill="1" applyBorder="1" applyAlignment="1">
      <alignment vertical="center" wrapText="1"/>
    </xf>
    <xf numFmtId="0" fontId="42" fillId="2" borderId="33" xfId="0" applyFont="1" applyFill="1" applyBorder="1" applyAlignment="1" applyProtection="1">
      <alignment horizontal="right" vertical="center"/>
    </xf>
    <xf numFmtId="0" fontId="57" fillId="2" borderId="33" xfId="35" quotePrefix="1" applyFont="1" applyFill="1" applyBorder="1" applyAlignment="1">
      <alignment vertical="center" wrapText="1"/>
    </xf>
    <xf numFmtId="166" fontId="57" fillId="2" borderId="33" xfId="30" applyFont="1" applyFill="1" applyBorder="1" applyAlignment="1">
      <alignment horizontal="center" vertical="center" wrapText="1"/>
    </xf>
    <xf numFmtId="0" fontId="38" fillId="2" borderId="33" xfId="0" applyFont="1" applyFill="1" applyBorder="1" applyAlignment="1" applyProtection="1"/>
    <xf numFmtId="0" fontId="38" fillId="2" borderId="33" xfId="0" applyFont="1" applyFill="1" applyBorder="1" applyAlignment="1" applyProtection="1">
      <alignment vertical="center"/>
    </xf>
    <xf numFmtId="176" fontId="38" fillId="2" borderId="33" xfId="1" applyNumberFormat="1" applyFont="1" applyFill="1" applyBorder="1" applyAlignment="1" applyProtection="1">
      <alignment horizontal="right"/>
    </xf>
    <xf numFmtId="176" fontId="38" fillId="2" borderId="33" xfId="27" applyNumberFormat="1" applyFont="1" applyFill="1" applyBorder="1" applyAlignment="1" applyProtection="1"/>
    <xf numFmtId="176" fontId="38" fillId="2" borderId="33" xfId="27" applyNumberFormat="1" applyFont="1" applyFill="1" applyBorder="1" applyAlignment="1" applyProtection="1">
      <alignment vertical="center"/>
    </xf>
    <xf numFmtId="43" fontId="38" fillId="2" borderId="33" xfId="1" applyFont="1" applyFill="1" applyBorder="1" applyProtection="1"/>
    <xf numFmtId="0" fontId="57" fillId="2" borderId="33" xfId="35" applyFont="1" applyFill="1" applyBorder="1" applyAlignment="1">
      <alignment horizontal="justify" vertical="center" wrapText="1"/>
    </xf>
    <xf numFmtId="43" fontId="38" fillId="2" borderId="33" xfId="27" applyFont="1" applyFill="1" applyBorder="1" applyAlignment="1" applyProtection="1"/>
    <xf numFmtId="43" fontId="38" fillId="2" borderId="33" xfId="27" applyFont="1" applyFill="1" applyBorder="1" applyAlignment="1" applyProtection="1">
      <alignment vertical="center"/>
    </xf>
    <xf numFmtId="176" fontId="38" fillId="2" borderId="33" xfId="1" applyNumberFormat="1" applyFont="1" applyFill="1" applyBorder="1" applyProtection="1"/>
    <xf numFmtId="0" fontId="53" fillId="2" borderId="33" xfId="35" applyFont="1" applyFill="1" applyBorder="1" applyAlignment="1">
      <alignment horizontal="justify" vertical="center" wrapText="1"/>
    </xf>
    <xf numFmtId="176" fontId="31" fillId="2" borderId="33" xfId="1" applyNumberFormat="1" applyFont="1" applyFill="1" applyBorder="1" applyProtection="1"/>
    <xf numFmtId="167" fontId="57" fillId="2" borderId="33" xfId="22" quotePrefix="1" applyNumberFormat="1" applyFont="1" applyFill="1" applyBorder="1" applyAlignment="1" applyProtection="1">
      <alignment horizontal="center" vertical="center" wrapText="1"/>
    </xf>
    <xf numFmtId="0" fontId="53" fillId="2" borderId="33" xfId="35" applyFont="1" applyFill="1" applyBorder="1" applyAlignment="1">
      <alignment horizontal="center" vertical="center" wrapText="1"/>
    </xf>
    <xf numFmtId="0" fontId="57" fillId="2" borderId="33" xfId="36" quotePrefix="1" applyFont="1" applyFill="1" applyBorder="1" applyAlignment="1" applyProtection="1">
      <alignment horizontal="center" vertical="center" wrapText="1"/>
    </xf>
    <xf numFmtId="0" fontId="57" fillId="2" borderId="33" xfId="22" applyFont="1" applyFill="1" applyBorder="1" applyAlignment="1" applyProtection="1">
      <alignment vertical="center" wrapText="1"/>
    </xf>
    <xf numFmtId="176" fontId="57" fillId="2" borderId="33" xfId="30" applyNumberFormat="1" applyFont="1" applyFill="1" applyBorder="1" applyAlignment="1">
      <alignment horizontal="center" vertical="center" wrapText="1"/>
    </xf>
    <xf numFmtId="3" fontId="38" fillId="2" borderId="33" xfId="0" applyNumberFormat="1" applyFont="1" applyFill="1" applyBorder="1" applyProtection="1"/>
    <xf numFmtId="43" fontId="38" fillId="0" borderId="33" xfId="27" applyFont="1" applyFill="1" applyBorder="1" applyProtection="1"/>
    <xf numFmtId="0" fontId="53" fillId="2" borderId="33" xfId="36" quotePrefix="1" applyFont="1" applyFill="1" applyBorder="1" applyAlignment="1" applyProtection="1">
      <alignment horizontal="center" vertical="center" wrapText="1"/>
    </xf>
    <xf numFmtId="0" fontId="53" fillId="2" borderId="33" xfId="36" applyFont="1" applyFill="1" applyBorder="1" applyAlignment="1" applyProtection="1">
      <alignment horizontal="left" vertical="center" wrapText="1"/>
    </xf>
    <xf numFmtId="176" fontId="53" fillId="2" borderId="33" xfId="30" applyNumberFormat="1" applyFont="1" applyFill="1" applyBorder="1" applyAlignment="1">
      <alignment horizontal="center" vertical="center" wrapText="1"/>
    </xf>
    <xf numFmtId="43" fontId="31" fillId="2" borderId="33" xfId="1" applyFont="1" applyFill="1" applyBorder="1" applyAlignment="1" applyProtection="1"/>
    <xf numFmtId="43" fontId="31" fillId="0" borderId="33" xfId="1" applyFont="1" applyFill="1" applyBorder="1" applyProtection="1"/>
    <xf numFmtId="43" fontId="31" fillId="0" borderId="33" xfId="27" applyFont="1" applyFill="1" applyBorder="1" applyProtection="1"/>
    <xf numFmtId="167" fontId="57" fillId="2" borderId="33" xfId="22" applyNumberFormat="1" applyFont="1" applyFill="1" applyBorder="1" applyAlignment="1" applyProtection="1">
      <alignment horizontal="center" vertical="center" wrapText="1"/>
    </xf>
    <xf numFmtId="0" fontId="59" fillId="2" borderId="33" xfId="36" quotePrefix="1" applyFont="1" applyFill="1" applyBorder="1" applyAlignment="1" applyProtection="1">
      <alignment horizontal="center" vertical="center" wrapText="1"/>
    </xf>
    <xf numFmtId="0" fontId="59" fillId="2" borderId="33" xfId="22" applyFont="1" applyFill="1" applyBorder="1" applyAlignment="1" applyProtection="1">
      <alignment vertical="center" wrapText="1"/>
    </xf>
    <xf numFmtId="176" fontId="59" fillId="2" borderId="33" xfId="30" applyNumberFormat="1" applyFont="1" applyFill="1" applyBorder="1" applyAlignment="1">
      <alignment horizontal="center" vertical="center" wrapText="1"/>
    </xf>
    <xf numFmtId="43" fontId="39" fillId="2" borderId="33" xfId="1" applyFont="1" applyFill="1" applyBorder="1" applyProtection="1"/>
    <xf numFmtId="43" fontId="39" fillId="0" borderId="33" xfId="27" applyFont="1" applyFill="1" applyBorder="1" applyProtection="1"/>
    <xf numFmtId="0" fontId="53" fillId="2" borderId="33" xfId="22" applyFont="1" applyFill="1" applyBorder="1" applyAlignment="1" applyProtection="1">
      <alignment vertical="center" wrapText="1"/>
    </xf>
    <xf numFmtId="0" fontId="31" fillId="2" borderId="33" xfId="0" applyFont="1" applyFill="1" applyBorder="1" applyAlignment="1" applyProtection="1"/>
    <xf numFmtId="43" fontId="31" fillId="6" borderId="33" xfId="27" applyFont="1" applyFill="1" applyBorder="1" applyProtection="1"/>
    <xf numFmtId="167" fontId="59" fillId="2" borderId="33" xfId="22" quotePrefix="1" applyNumberFormat="1" applyFont="1" applyFill="1" applyBorder="1" applyAlignment="1" applyProtection="1">
      <alignment horizontal="center" vertical="center" wrapText="1"/>
    </xf>
    <xf numFmtId="175" fontId="53" fillId="6" borderId="0" xfId="1" applyNumberFormat="1" applyFont="1" applyFill="1" applyBorder="1" applyAlignment="1" applyProtection="1">
      <alignment horizontal="center" vertical="center" wrapText="1"/>
      <protection locked="0"/>
    </xf>
    <xf numFmtId="170" fontId="59" fillId="6" borderId="0" xfId="0" applyNumberFormat="1" applyFont="1" applyFill="1" applyBorder="1" applyAlignment="1" applyProtection="1">
      <alignment horizontal="right" vertical="center" wrapText="1"/>
      <protection locked="0"/>
    </xf>
    <xf numFmtId="166" fontId="59" fillId="6" borderId="0" xfId="15" applyNumberFormat="1" applyFont="1" applyFill="1" applyBorder="1" applyAlignment="1" applyProtection="1">
      <alignment horizontal="center" vertical="center" wrapText="1"/>
      <protection locked="0"/>
    </xf>
    <xf numFmtId="171" fontId="56" fillId="6" borderId="0" xfId="15" applyNumberFormat="1" applyFont="1" applyFill="1" applyBorder="1" applyAlignment="1" applyProtection="1">
      <alignment horizontal="center" vertical="center" wrapText="1"/>
      <protection locked="0"/>
    </xf>
    <xf numFmtId="166" fontId="57" fillId="2" borderId="0" xfId="0" applyNumberFormat="1" applyFont="1" applyFill="1" applyBorder="1" applyAlignment="1" applyProtection="1">
      <alignment vertical="center" wrapText="1"/>
    </xf>
    <xf numFmtId="170" fontId="57" fillId="2" borderId="0" xfId="0" applyNumberFormat="1" applyFont="1" applyFill="1" applyBorder="1" applyAlignment="1" applyProtection="1">
      <alignment horizontal="right" vertical="center" wrapText="1"/>
      <protection locked="0"/>
    </xf>
    <xf numFmtId="43" fontId="53" fillId="0" borderId="0" xfId="15" applyNumberFormat="1" applyFont="1" applyFill="1" applyBorder="1" applyAlignment="1" applyProtection="1">
      <alignment horizontal="center" vertical="center" wrapText="1"/>
      <protection locked="0"/>
    </xf>
    <xf numFmtId="170" fontId="59" fillId="2" borderId="0" xfId="0" applyNumberFormat="1" applyFont="1" applyFill="1" applyBorder="1" applyAlignment="1" applyProtection="1">
      <alignment horizontal="right" vertical="center" wrapText="1"/>
      <protection locked="0"/>
    </xf>
    <xf numFmtId="176" fontId="56" fillId="6" borderId="0" xfId="1" applyNumberFormat="1" applyFont="1" applyFill="1" applyBorder="1" applyAlignment="1" applyProtection="1">
      <alignment horizontal="center" vertical="center" wrapText="1"/>
      <protection locked="0"/>
    </xf>
    <xf numFmtId="43" fontId="53" fillId="6" borderId="0" xfId="1" applyNumberFormat="1" applyFont="1" applyFill="1" applyBorder="1" applyAlignment="1" applyProtection="1">
      <alignment horizontal="center" vertical="center" wrapText="1"/>
      <protection locked="0"/>
    </xf>
    <xf numFmtId="175" fontId="59" fillId="6" borderId="0" xfId="15" applyNumberFormat="1" applyFont="1" applyFill="1" applyBorder="1" applyAlignment="1" applyProtection="1">
      <alignment horizontal="center" vertical="center" wrapText="1"/>
      <protection locked="0"/>
    </xf>
    <xf numFmtId="176" fontId="59" fillId="6" borderId="0" xfId="1" applyNumberFormat="1" applyFont="1" applyFill="1" applyBorder="1" applyAlignment="1" applyProtection="1">
      <alignment horizontal="center" vertical="center" wrapText="1"/>
      <protection locked="0"/>
    </xf>
    <xf numFmtId="175" fontId="53" fillId="2" borderId="0" xfId="1" applyNumberFormat="1" applyFont="1" applyFill="1" applyBorder="1" applyAlignment="1" applyProtection="1">
      <alignment horizontal="center" vertical="center" wrapText="1"/>
      <protection locked="0"/>
    </xf>
    <xf numFmtId="175" fontId="53" fillId="6" borderId="1" xfId="27" applyNumberFormat="1" applyFont="1" applyFill="1" applyBorder="1" applyAlignment="1" applyProtection="1">
      <alignment horizontal="center" vertical="center" wrapText="1"/>
      <protection locked="0"/>
    </xf>
    <xf numFmtId="176" fontId="53" fillId="6" borderId="1" xfId="27" applyNumberFormat="1" applyFont="1" applyFill="1" applyBorder="1" applyAlignment="1" applyProtection="1">
      <alignment horizontal="center" vertical="center" wrapText="1"/>
      <protection locked="0"/>
    </xf>
    <xf numFmtId="175" fontId="56" fillId="6" borderId="1" xfId="27" applyNumberFormat="1" applyFont="1" applyFill="1" applyBorder="1" applyAlignment="1" applyProtection="1">
      <alignment horizontal="center" vertical="center" wrapText="1"/>
      <protection locked="0"/>
    </xf>
    <xf numFmtId="0" fontId="38" fillId="2" borderId="33" xfId="0" applyFont="1" applyFill="1" applyBorder="1" applyAlignment="1" applyProtection="1">
      <alignment horizontal="right" vertical="center"/>
    </xf>
    <xf numFmtId="176" fontId="38" fillId="2" borderId="33" xfId="27" applyNumberFormat="1" applyFont="1" applyFill="1" applyBorder="1" applyAlignment="1" applyProtection="1">
      <alignment horizontal="right" vertical="center"/>
    </xf>
    <xf numFmtId="175" fontId="38" fillId="2" borderId="33" xfId="27" applyNumberFormat="1" applyFont="1" applyFill="1" applyBorder="1" applyAlignment="1" applyProtection="1">
      <alignment horizontal="right" vertical="center"/>
    </xf>
    <xf numFmtId="43" fontId="38" fillId="2" borderId="33" xfId="27" applyFont="1" applyFill="1" applyBorder="1" applyAlignment="1" applyProtection="1">
      <alignment horizontal="right" vertical="center"/>
    </xf>
    <xf numFmtId="0" fontId="31" fillId="2" borderId="33" xfId="0" applyFont="1" applyFill="1" applyBorder="1" applyAlignment="1" applyProtection="1">
      <alignment horizontal="right" vertical="center"/>
    </xf>
    <xf numFmtId="43" fontId="31" fillId="2" borderId="33" xfId="27" applyFont="1" applyFill="1" applyBorder="1" applyAlignment="1" applyProtection="1">
      <alignment horizontal="right" vertical="center"/>
    </xf>
    <xf numFmtId="176" fontId="31" fillId="2" borderId="33" xfId="27" applyNumberFormat="1" applyFont="1" applyFill="1" applyBorder="1" applyAlignment="1" applyProtection="1">
      <alignment horizontal="right" vertical="center"/>
    </xf>
    <xf numFmtId="43" fontId="53" fillId="0" borderId="33" xfId="1" applyFont="1" applyFill="1" applyBorder="1" applyProtection="1"/>
    <xf numFmtId="175" fontId="53" fillId="0" borderId="33" xfId="1" applyNumberFormat="1" applyFont="1" applyFill="1" applyBorder="1" applyProtection="1"/>
    <xf numFmtId="176" fontId="53" fillId="0" borderId="33" xfId="1" applyNumberFormat="1" applyFont="1" applyFill="1" applyBorder="1" applyProtection="1"/>
    <xf numFmtId="176" fontId="38" fillId="0" borderId="33" xfId="27" applyNumberFormat="1" applyFont="1" applyFill="1" applyBorder="1" applyProtection="1"/>
    <xf numFmtId="176" fontId="53" fillId="0" borderId="33" xfId="1" applyNumberFormat="1" applyFont="1" applyFill="1" applyBorder="1" applyAlignment="1" applyProtection="1">
      <alignment horizontal="right" vertical="center"/>
    </xf>
    <xf numFmtId="43" fontId="39" fillId="2" borderId="33" xfId="27" applyFont="1" applyFill="1" applyBorder="1" applyProtection="1"/>
    <xf numFmtId="3" fontId="52" fillId="2" borderId="0" xfId="0" applyNumberFormat="1" applyFont="1" applyFill="1" applyBorder="1" applyAlignment="1">
      <alignment horizontal="center" vertical="center" wrapText="1"/>
    </xf>
    <xf numFmtId="176" fontId="53" fillId="6" borderId="4" xfId="27" applyNumberFormat="1" applyFont="1" applyFill="1" applyBorder="1" applyAlignment="1" applyProtection="1">
      <alignment horizontal="center" vertical="center" wrapText="1"/>
      <protection locked="0"/>
    </xf>
    <xf numFmtId="0" fontId="13" fillId="2" borderId="0" xfId="0" applyFont="1" applyFill="1" applyAlignment="1" applyProtection="1">
      <alignment horizontal="center" vertical="center"/>
    </xf>
    <xf numFmtId="0" fontId="27" fillId="2" borderId="0" xfId="0" applyFont="1" applyFill="1" applyAlignment="1" applyProtection="1">
      <alignment horizontal="center" vertical="center"/>
    </xf>
    <xf numFmtId="0" fontId="26" fillId="2" borderId="0" xfId="0" applyFont="1" applyFill="1" applyProtection="1"/>
    <xf numFmtId="0" fontId="105" fillId="2" borderId="0" xfId="0" applyFont="1" applyFill="1" applyProtection="1"/>
    <xf numFmtId="0" fontId="31" fillId="2" borderId="30" xfId="0" applyFont="1" applyFill="1" applyBorder="1" applyProtection="1"/>
    <xf numFmtId="0" fontId="87" fillId="2" borderId="0" xfId="0" applyFont="1" applyFill="1" applyProtection="1"/>
    <xf numFmtId="0" fontId="65" fillId="2" borderId="33" xfId="0" applyFont="1" applyFill="1" applyBorder="1" applyAlignment="1" applyProtection="1"/>
    <xf numFmtId="0" fontId="65" fillId="2" borderId="33" xfId="0" applyFont="1" applyFill="1" applyBorder="1" applyProtection="1"/>
    <xf numFmtId="43" fontId="65" fillId="2" borderId="33" xfId="1" applyFont="1" applyFill="1" applyBorder="1" applyProtection="1"/>
    <xf numFmtId="175" fontId="65" fillId="2" borderId="33" xfId="1" applyNumberFormat="1" applyFont="1" applyFill="1" applyBorder="1" applyProtection="1"/>
    <xf numFmtId="0" fontId="65" fillId="2" borderId="68" xfId="0" applyFont="1" applyFill="1" applyBorder="1" applyProtection="1"/>
    <xf numFmtId="0" fontId="65" fillId="2" borderId="28" xfId="0" applyFont="1" applyFill="1" applyBorder="1" applyProtection="1"/>
    <xf numFmtId="0" fontId="26" fillId="2" borderId="33" xfId="0" applyFont="1" applyFill="1" applyBorder="1" applyProtection="1"/>
    <xf numFmtId="0" fontId="87" fillId="2" borderId="33" xfId="0" applyFont="1" applyFill="1" applyBorder="1" applyProtection="1"/>
    <xf numFmtId="0" fontId="105" fillId="2" borderId="33" xfId="0" applyFont="1" applyFill="1" applyBorder="1" applyProtection="1"/>
    <xf numFmtId="0" fontId="26" fillId="2" borderId="0" xfId="0" applyFont="1" applyFill="1" applyAlignment="1" applyProtection="1">
      <alignment horizontal="center" vertical="center"/>
    </xf>
    <xf numFmtId="43" fontId="11" fillId="2" borderId="0" xfId="0" applyNumberFormat="1" applyFont="1" applyFill="1" applyAlignment="1" applyProtection="1">
      <alignment horizontal="center" vertical="center"/>
    </xf>
    <xf numFmtId="0" fontId="105" fillId="2" borderId="0" xfId="0" applyFont="1" applyFill="1" applyAlignment="1" applyProtection="1">
      <alignment horizontal="center" vertical="center"/>
    </xf>
    <xf numFmtId="1" fontId="105" fillId="2" borderId="0" xfId="0" applyNumberFormat="1" applyFont="1" applyFill="1" applyAlignment="1" applyProtection="1">
      <alignment horizontal="center" vertical="center"/>
    </xf>
    <xf numFmtId="1" fontId="26" fillId="2" borderId="0" xfId="0" applyNumberFormat="1" applyFont="1" applyFill="1" applyAlignment="1" applyProtection="1">
      <alignment horizontal="center" vertical="center"/>
    </xf>
    <xf numFmtId="0" fontId="87" fillId="2" borderId="0" xfId="0" applyFont="1" applyFill="1" applyAlignment="1" applyProtection="1">
      <alignment horizontal="center" vertical="center"/>
    </xf>
    <xf numFmtId="0" fontId="57" fillId="2" borderId="4" xfId="0" applyFont="1" applyFill="1" applyBorder="1" applyAlignment="1" applyProtection="1">
      <alignment horizontal="center" vertical="center" wrapText="1"/>
      <protection locked="0"/>
    </xf>
    <xf numFmtId="176" fontId="39" fillId="2" borderId="33" xfId="27" applyNumberFormat="1" applyFont="1" applyFill="1" applyBorder="1" applyProtection="1"/>
    <xf numFmtId="1" fontId="53" fillId="2" borderId="0" xfId="0" applyNumberFormat="1" applyFont="1" applyFill="1" applyAlignment="1" applyProtection="1">
      <alignment horizontal="center" vertical="center"/>
    </xf>
    <xf numFmtId="0" fontId="59" fillId="2" borderId="33" xfId="0" applyFont="1" applyFill="1" applyBorder="1" applyAlignment="1" applyProtection="1">
      <alignment horizontal="center" vertical="center"/>
    </xf>
    <xf numFmtId="170" fontId="59" fillId="2" borderId="33" xfId="12" applyNumberFormat="1" applyFont="1" applyFill="1" applyBorder="1" applyAlignment="1" applyProtection="1">
      <alignment horizontal="center" vertical="center" wrapText="1"/>
    </xf>
    <xf numFmtId="0" fontId="53" fillId="2" borderId="33" xfId="0" applyFont="1" applyFill="1" applyBorder="1" applyAlignment="1" applyProtection="1">
      <alignment horizontal="center" vertical="center"/>
    </xf>
    <xf numFmtId="0" fontId="53" fillId="2" borderId="33" xfId="0" applyFont="1" applyFill="1" applyBorder="1" applyProtection="1"/>
    <xf numFmtId="0" fontId="59" fillId="2" borderId="33" xfId="0" applyFont="1" applyFill="1" applyBorder="1" applyProtection="1"/>
    <xf numFmtId="0" fontId="57" fillId="2" borderId="33" xfId="0" applyFont="1" applyFill="1" applyBorder="1" applyAlignment="1" applyProtection="1">
      <alignment horizontal="center" vertical="center"/>
    </xf>
    <xf numFmtId="0" fontId="57" fillId="2" borderId="33" xfId="0" applyFont="1" applyFill="1" applyBorder="1" applyProtection="1"/>
    <xf numFmtId="43" fontId="11" fillId="2" borderId="0" xfId="1" applyFont="1" applyFill="1" applyAlignment="1" applyProtection="1">
      <alignment horizontal="center" vertical="center"/>
    </xf>
    <xf numFmtId="43" fontId="31" fillId="2" borderId="33" xfId="27" applyFont="1" applyFill="1" applyBorder="1" applyAlignment="1" applyProtection="1"/>
    <xf numFmtId="43" fontId="31" fillId="2" borderId="33" xfId="27" applyFont="1" applyFill="1" applyBorder="1" applyAlignment="1" applyProtection="1">
      <alignment vertical="center"/>
    </xf>
    <xf numFmtId="176" fontId="53" fillId="2" borderId="33" xfId="1" applyNumberFormat="1" applyFont="1" applyFill="1" applyBorder="1" applyProtection="1"/>
    <xf numFmtId="176" fontId="53" fillId="2" borderId="33" xfId="27" applyNumberFormat="1" applyFont="1" applyFill="1" applyBorder="1" applyAlignment="1" applyProtection="1">
      <alignment horizontal="right" vertical="center"/>
    </xf>
    <xf numFmtId="43" fontId="53" fillId="2" borderId="33" xfId="1" applyFont="1" applyFill="1" applyBorder="1" applyProtection="1"/>
    <xf numFmtId="175" fontId="53" fillId="2" borderId="33" xfId="1" applyNumberFormat="1" applyFont="1" applyFill="1" applyBorder="1" applyProtection="1"/>
    <xf numFmtId="169" fontId="53" fillId="2" borderId="33" xfId="0" applyNumberFormat="1" applyFont="1" applyFill="1" applyBorder="1" applyProtection="1"/>
    <xf numFmtId="0" fontId="82" fillId="2" borderId="22"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0" xfId="0" applyFont="1" applyFill="1" applyProtection="1"/>
    <xf numFmtId="176" fontId="38" fillId="2" borderId="33" xfId="1" applyNumberFormat="1" applyFont="1" applyFill="1" applyBorder="1" applyAlignment="1" applyProtection="1"/>
    <xf numFmtId="176" fontId="38" fillId="2" borderId="33" xfId="1" applyNumberFormat="1" applyFont="1" applyFill="1" applyBorder="1" applyAlignment="1" applyProtection="1">
      <alignment vertical="center"/>
    </xf>
    <xf numFmtId="176" fontId="38" fillId="2" borderId="33" xfId="1" applyNumberFormat="1" applyFont="1" applyFill="1" applyBorder="1" applyAlignment="1" applyProtection="1">
      <alignment horizontal="right" vertical="center"/>
    </xf>
    <xf numFmtId="0" fontId="52" fillId="2" borderId="0" xfId="0" applyFont="1" applyFill="1" applyAlignment="1" applyProtection="1">
      <alignment horizontal="center" vertical="center"/>
    </xf>
    <xf numFmtId="0" fontId="54" fillId="0" borderId="0" xfId="0" quotePrefix="1" applyFont="1" applyFill="1" applyBorder="1" applyAlignment="1">
      <alignment horizontal="center" vertical="center" wrapText="1"/>
    </xf>
    <xf numFmtId="0" fontId="54" fillId="0" borderId="0" xfId="0" applyNumberFormat="1" applyFont="1" applyFill="1" applyBorder="1" applyAlignment="1">
      <alignment horizontal="left" vertical="center" wrapText="1"/>
    </xf>
    <xf numFmtId="171" fontId="52" fillId="2" borderId="0" xfId="0" applyNumberFormat="1" applyFont="1" applyFill="1" applyBorder="1" applyAlignment="1">
      <alignment horizontal="center" vertical="center" wrapText="1"/>
    </xf>
    <xf numFmtId="0" fontId="50" fillId="6" borderId="0" xfId="0" applyFont="1" applyFill="1" applyAlignment="1">
      <alignment horizontal="left" vertical="center" wrapText="1"/>
    </xf>
    <xf numFmtId="0" fontId="0" fillId="2" borderId="0" xfId="0" applyFill="1" applyAlignment="1" applyProtection="1">
      <alignment horizontal="center" vertical="center" wrapText="1"/>
    </xf>
    <xf numFmtId="0" fontId="11" fillId="2" borderId="0" xfId="0" applyFont="1" applyFill="1" applyAlignment="1" applyProtection="1">
      <alignment horizontal="center" vertical="center" wrapText="1"/>
    </xf>
    <xf numFmtId="0" fontId="28" fillId="2" borderId="0" xfId="0" applyFont="1" applyFill="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167" fontId="50" fillId="2" borderId="0" xfId="0" applyNumberFormat="1" applyFont="1" applyFill="1" applyAlignment="1" applyProtection="1">
      <alignment horizontal="center" vertical="center" wrapText="1"/>
      <protection locked="0"/>
    </xf>
    <xf numFmtId="176" fontId="50" fillId="2" borderId="0" xfId="1" applyNumberFormat="1" applyFont="1" applyFill="1" applyAlignment="1" applyProtection="1">
      <alignment horizontal="right" vertical="center" wrapText="1"/>
      <protection locked="0"/>
    </xf>
    <xf numFmtId="0" fontId="73" fillId="2" borderId="0" xfId="0" applyFont="1" applyFill="1" applyAlignment="1" applyProtection="1">
      <alignment horizontal="center" vertical="center" wrapText="1"/>
    </xf>
    <xf numFmtId="0" fontId="83" fillId="2" borderId="0" xfId="0" applyFont="1" applyFill="1" applyAlignment="1" applyProtection="1">
      <alignment horizontal="left" vertical="center" wrapText="1"/>
    </xf>
    <xf numFmtId="0" fontId="94" fillId="2" borderId="0" xfId="0" applyFont="1" applyFill="1" applyAlignment="1" applyProtection="1">
      <alignment horizontal="center" vertical="center" wrapText="1"/>
    </xf>
    <xf numFmtId="0" fontId="67" fillId="2" borderId="0" xfId="0" applyFont="1" applyFill="1" applyAlignment="1" applyProtection="1">
      <alignment horizontal="left" vertical="center" wrapText="1"/>
    </xf>
    <xf numFmtId="0" fontId="93" fillId="2" borderId="0" xfId="0" applyFont="1" applyFill="1" applyAlignment="1" applyProtection="1">
      <alignment horizontal="center" vertical="center" wrapText="1"/>
    </xf>
    <xf numFmtId="0" fontId="54" fillId="2" borderId="0" xfId="0" applyFont="1" applyFill="1" applyAlignment="1" applyProtection="1">
      <alignment horizontal="right" vertical="center" wrapText="1"/>
    </xf>
    <xf numFmtId="0" fontId="54" fillId="2" borderId="0" xfId="0" applyFont="1" applyFill="1" applyAlignment="1" applyProtection="1">
      <alignment vertical="center" wrapText="1"/>
    </xf>
    <xf numFmtId="0" fontId="48" fillId="4" borderId="14" xfId="0" applyFont="1" applyFill="1" applyBorder="1" applyAlignment="1" applyProtection="1">
      <alignment horizontal="center" vertical="center" wrapText="1"/>
      <protection locked="0"/>
    </xf>
    <xf numFmtId="0" fontId="48" fillId="4" borderId="4" xfId="0" applyFont="1" applyFill="1" applyBorder="1" applyAlignment="1" applyProtection="1">
      <alignment vertical="center" wrapText="1"/>
      <protection locked="0"/>
    </xf>
    <xf numFmtId="0" fontId="50" fillId="4" borderId="6" xfId="0" applyFont="1" applyFill="1" applyBorder="1" applyAlignment="1" applyProtection="1">
      <alignment horizontal="center" vertical="center" wrapText="1"/>
      <protection locked="0"/>
    </xf>
    <xf numFmtId="0" fontId="50" fillId="4" borderId="1" xfId="0" applyFont="1" applyFill="1" applyBorder="1" applyAlignment="1" applyProtection="1">
      <alignment vertical="center" wrapText="1"/>
      <protection locked="0"/>
    </xf>
    <xf numFmtId="0" fontId="50" fillId="4" borderId="10" xfId="0" applyFont="1" applyFill="1" applyBorder="1" applyAlignment="1" applyProtection="1">
      <alignment horizontal="center" vertical="center" wrapText="1"/>
      <protection locked="0"/>
    </xf>
    <xf numFmtId="0" fontId="50" fillId="4" borderId="11" xfId="0" applyFont="1" applyFill="1" applyBorder="1" applyAlignment="1" applyProtection="1">
      <alignment vertical="center" wrapText="1"/>
      <protection locked="0"/>
    </xf>
    <xf numFmtId="0" fontId="49" fillId="2" borderId="0" xfId="0" applyFont="1" applyFill="1" applyAlignment="1" applyProtection="1">
      <alignment vertical="center" wrapText="1"/>
    </xf>
    <xf numFmtId="3" fontId="51" fillId="2" borderId="16" xfId="0" applyNumberFormat="1" applyFont="1" applyFill="1" applyBorder="1" applyAlignment="1" applyProtection="1">
      <alignment horizontal="left" vertical="center" wrapText="1"/>
      <protection locked="0"/>
    </xf>
    <xf numFmtId="0" fontId="47" fillId="2" borderId="0" xfId="0" applyFont="1" applyFill="1" applyAlignment="1" applyProtection="1">
      <alignment horizontal="left" vertical="center" wrapText="1"/>
    </xf>
    <xf numFmtId="0" fontId="85" fillId="2" borderId="0" xfId="0" applyFont="1" applyFill="1" applyAlignment="1" applyProtection="1">
      <alignment horizontal="left" vertical="center" wrapText="1"/>
    </xf>
    <xf numFmtId="0" fontId="54" fillId="2" borderId="0" xfId="0" applyFont="1" applyFill="1" applyAlignment="1" applyProtection="1">
      <alignment vertical="center" wrapText="1"/>
      <protection locked="0"/>
    </xf>
    <xf numFmtId="0" fontId="11" fillId="2" borderId="0" xfId="0" applyFont="1" applyFill="1" applyAlignment="1" applyProtection="1">
      <alignment vertical="center" wrapText="1"/>
      <protection locked="0"/>
    </xf>
    <xf numFmtId="0" fontId="11" fillId="2" borderId="0" xfId="0" applyFont="1" applyFill="1" applyAlignment="1" applyProtection="1">
      <alignment horizontal="center" vertical="center" wrapText="1"/>
      <protection locked="0"/>
    </xf>
    <xf numFmtId="0" fontId="11" fillId="2" borderId="0" xfId="0" applyFont="1" applyFill="1" applyBorder="1" applyAlignment="1" applyProtection="1">
      <alignment vertical="center" wrapText="1"/>
      <protection locked="0"/>
    </xf>
    <xf numFmtId="171" fontId="54" fillId="2" borderId="0" xfId="0" applyNumberFormat="1" applyFont="1" applyFill="1" applyAlignment="1" applyProtection="1">
      <alignment horizontal="right" vertical="center" wrapText="1"/>
      <protection locked="0"/>
    </xf>
    <xf numFmtId="43" fontId="54" fillId="2" borderId="0" xfId="1" applyFont="1" applyFill="1" applyAlignment="1" applyProtection="1">
      <alignment vertical="center" wrapText="1"/>
      <protection locked="0"/>
    </xf>
    <xf numFmtId="0" fontId="0" fillId="2" borderId="0" xfId="0" applyFill="1" applyAlignment="1" applyProtection="1">
      <alignment vertical="center" wrapText="1"/>
    </xf>
    <xf numFmtId="0" fontId="0" fillId="2" borderId="0" xfId="0" applyFill="1" applyBorder="1" applyAlignment="1" applyProtection="1">
      <alignment vertical="center" wrapText="1"/>
    </xf>
    <xf numFmtId="0" fontId="28" fillId="2" borderId="0" xfId="0" applyFont="1" applyFill="1" applyAlignment="1" applyProtection="1">
      <alignment vertical="center" wrapText="1"/>
      <protection locked="0"/>
    </xf>
    <xf numFmtId="0" fontId="28" fillId="2" borderId="0" xfId="0" applyFont="1" applyFill="1" applyBorder="1" applyAlignment="1" applyProtection="1">
      <alignment vertical="center" wrapText="1"/>
      <protection locked="0"/>
    </xf>
    <xf numFmtId="0" fontId="52" fillId="2" borderId="0" xfId="0" applyFont="1" applyFill="1" applyAlignment="1" applyProtection="1">
      <alignment vertical="center" wrapText="1"/>
      <protection locked="0"/>
    </xf>
    <xf numFmtId="0" fontId="27" fillId="2" borderId="0" xfId="0" applyFont="1" applyFill="1" applyAlignment="1" applyProtection="1">
      <alignment vertical="center" wrapText="1"/>
      <protection locked="0"/>
    </xf>
    <xf numFmtId="0" fontId="27" fillId="2" borderId="0" xfId="0" applyFont="1" applyFill="1" applyAlignment="1" applyProtection="1">
      <alignment horizontal="center" vertical="center" wrapText="1"/>
      <protection locked="0"/>
    </xf>
    <xf numFmtId="0" fontId="27" fillId="2" borderId="0" xfId="0" applyFont="1" applyFill="1" applyBorder="1" applyAlignment="1" applyProtection="1">
      <alignment vertical="center" wrapText="1"/>
      <protection locked="0"/>
    </xf>
    <xf numFmtId="166" fontId="47" fillId="2" borderId="0" xfId="0" applyNumberFormat="1" applyFont="1" applyFill="1" applyAlignment="1" applyProtection="1">
      <alignment vertical="center" wrapText="1"/>
      <protection locked="0"/>
    </xf>
    <xf numFmtId="0" fontId="0" fillId="2" borderId="0" xfId="0" applyFill="1" applyAlignment="1" applyProtection="1">
      <alignment horizontal="center" vertical="center" wrapText="1"/>
      <protection locked="0"/>
    </xf>
    <xf numFmtId="0" fontId="0" fillId="2" borderId="0" xfId="0" applyFill="1" applyBorder="1" applyAlignment="1" applyProtection="1">
      <alignment vertical="center" wrapText="1"/>
      <protection locked="0"/>
    </xf>
    <xf numFmtId="166" fontId="52" fillId="2" borderId="0" xfId="0" applyNumberFormat="1" applyFont="1" applyFill="1" applyAlignment="1" applyProtection="1">
      <alignment horizontal="right" vertical="center" wrapText="1"/>
      <protection locked="0"/>
    </xf>
    <xf numFmtId="166" fontId="81" fillId="2" borderId="0" xfId="0" applyNumberFormat="1" applyFont="1" applyFill="1" applyAlignment="1" applyProtection="1">
      <alignment vertical="center" wrapText="1"/>
      <protection locked="0"/>
    </xf>
    <xf numFmtId="0" fontId="81" fillId="2" borderId="0" xfId="0" applyFont="1" applyFill="1" applyAlignment="1" applyProtection="1">
      <alignment vertical="center" wrapText="1"/>
      <protection locked="0"/>
    </xf>
    <xf numFmtId="0" fontId="3" fillId="2" borderId="0" xfId="0" applyFont="1" applyFill="1" applyAlignment="1" applyProtection="1">
      <alignment horizontal="center" vertical="center" wrapText="1"/>
      <protection locked="0"/>
    </xf>
    <xf numFmtId="0" fontId="3" fillId="2" borderId="0" xfId="0" applyFont="1" applyFill="1" applyBorder="1" applyAlignment="1" applyProtection="1">
      <alignment vertical="center" wrapText="1"/>
      <protection locked="0"/>
    </xf>
    <xf numFmtId="166" fontId="54" fillId="2" borderId="0" xfId="0" applyNumberFormat="1" applyFont="1" applyFill="1" applyAlignment="1" applyProtection="1">
      <alignment vertical="center" wrapText="1"/>
      <protection locked="0"/>
    </xf>
    <xf numFmtId="43" fontId="52" fillId="2" borderId="0" xfId="0" applyNumberFormat="1" applyFont="1" applyFill="1" applyAlignment="1" applyProtection="1">
      <alignment vertical="center" wrapText="1"/>
      <protection locked="0"/>
    </xf>
    <xf numFmtId="166" fontId="52" fillId="2" borderId="0" xfId="0" applyNumberFormat="1" applyFont="1" applyFill="1" applyAlignment="1" applyProtection="1">
      <alignment vertical="center" wrapText="1"/>
      <protection locked="0"/>
    </xf>
    <xf numFmtId="166" fontId="27" fillId="2" borderId="0" xfId="0" applyNumberFormat="1" applyFont="1" applyFill="1" applyAlignment="1" applyProtection="1">
      <alignment vertical="center" wrapText="1"/>
      <protection locked="0"/>
    </xf>
    <xf numFmtId="3" fontId="27" fillId="2" borderId="0" xfId="0" applyNumberFormat="1" applyFont="1" applyFill="1" applyAlignment="1" applyProtection="1">
      <alignment horizontal="center" vertical="center" wrapText="1"/>
      <protection locked="0"/>
    </xf>
    <xf numFmtId="178" fontId="11" fillId="2" borderId="0" xfId="0" applyNumberFormat="1" applyFont="1" applyFill="1" applyAlignment="1" applyProtection="1">
      <alignment vertical="center" wrapText="1"/>
      <protection locked="0"/>
    </xf>
    <xf numFmtId="183" fontId="11" fillId="2" borderId="0" xfId="0" applyNumberFormat="1" applyFont="1" applyFill="1" applyAlignment="1" applyProtection="1">
      <alignment horizontal="center" vertical="center" wrapText="1"/>
      <protection locked="0"/>
    </xf>
    <xf numFmtId="3" fontId="54" fillId="2" borderId="0" xfId="0" applyNumberFormat="1" applyFont="1" applyFill="1" applyAlignment="1" applyProtection="1">
      <alignment horizontal="right" vertical="center" wrapText="1"/>
      <protection locked="0"/>
    </xf>
    <xf numFmtId="0" fontId="54" fillId="0" borderId="0" xfId="0" applyFont="1" applyFill="1" applyAlignment="1" applyProtection="1">
      <alignment vertical="center" wrapText="1"/>
      <protection locked="0"/>
    </xf>
    <xf numFmtId="175" fontId="54" fillId="0" borderId="0" xfId="1" applyNumberFormat="1" applyFont="1" applyFill="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178" fontId="54" fillId="2" borderId="0" xfId="0" applyNumberFormat="1" applyFont="1" applyFill="1" applyAlignment="1" applyProtection="1">
      <alignmen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Border="1" applyAlignment="1" applyProtection="1">
      <alignment vertical="center" wrapText="1"/>
      <protection locked="0"/>
    </xf>
    <xf numFmtId="0" fontId="46" fillId="2" borderId="0" xfId="0" applyFont="1" applyFill="1" applyAlignment="1" applyProtection="1">
      <alignment vertical="center" wrapText="1"/>
    </xf>
    <xf numFmtId="166" fontId="46" fillId="2" borderId="0" xfId="0" applyNumberFormat="1" applyFont="1" applyFill="1" applyAlignment="1" applyProtection="1">
      <alignment vertical="center" wrapText="1"/>
    </xf>
    <xf numFmtId="0" fontId="46" fillId="2" borderId="0" xfId="0" applyFont="1" applyFill="1" applyAlignment="1" applyProtection="1">
      <alignment horizontal="center" vertical="center" wrapText="1"/>
    </xf>
    <xf numFmtId="0" fontId="46" fillId="2" borderId="0" xfId="0" applyFont="1" applyFill="1" applyBorder="1" applyAlignment="1" applyProtection="1">
      <alignment vertical="center" wrapText="1"/>
    </xf>
    <xf numFmtId="0" fontId="47" fillId="2" borderId="0" xfId="0" applyFont="1" applyFill="1" applyAlignment="1" applyProtection="1">
      <alignment vertical="center" wrapText="1"/>
    </xf>
    <xf numFmtId="0" fontId="47" fillId="2" borderId="0" xfId="0" applyFont="1" applyFill="1" applyAlignment="1" applyProtection="1">
      <alignment horizontal="center" vertical="center" wrapText="1"/>
    </xf>
    <xf numFmtId="0" fontId="47" fillId="2" borderId="0" xfId="0" applyFont="1" applyFill="1" applyBorder="1" applyAlignment="1" applyProtection="1">
      <alignment vertical="center" wrapText="1"/>
    </xf>
    <xf numFmtId="0" fontId="54" fillId="4" borderId="0" xfId="0" applyFont="1" applyFill="1" applyAlignment="1" applyProtection="1">
      <alignment vertical="center" wrapText="1"/>
      <protection locked="0"/>
    </xf>
    <xf numFmtId="0" fontId="11" fillId="4" borderId="0" xfId="0" applyFont="1" applyFill="1" applyAlignment="1" applyProtection="1">
      <alignment vertical="center" wrapText="1"/>
      <protection locked="0"/>
    </xf>
    <xf numFmtId="0" fontId="11" fillId="4" borderId="0" xfId="0" applyFont="1" applyFill="1" applyAlignment="1" applyProtection="1">
      <alignment horizontal="center" vertical="center" wrapText="1"/>
      <protection locked="0"/>
    </xf>
    <xf numFmtId="0" fontId="11" fillId="4" borderId="0" xfId="0" applyFont="1" applyFill="1" applyBorder="1" applyAlignment="1" applyProtection="1">
      <alignment vertical="center" wrapText="1"/>
      <protection locked="0"/>
    </xf>
    <xf numFmtId="1" fontId="11" fillId="4" borderId="0" xfId="0" applyNumberFormat="1" applyFont="1" applyFill="1" applyAlignment="1" applyProtection="1">
      <alignment horizontal="center" vertical="center" wrapText="1"/>
      <protection locked="0"/>
    </xf>
    <xf numFmtId="169" fontId="47" fillId="2" borderId="0" xfId="0" applyNumberFormat="1" applyFont="1" applyFill="1" applyAlignment="1" applyProtection="1">
      <alignment horizontal="center" vertical="center" wrapText="1"/>
    </xf>
    <xf numFmtId="166" fontId="0" fillId="2" borderId="0" xfId="0" applyNumberFormat="1" applyFill="1" applyAlignment="1" applyProtection="1">
      <alignment vertical="center" wrapText="1"/>
    </xf>
    <xf numFmtId="175" fontId="0" fillId="2" borderId="0" xfId="1" applyNumberFormat="1" applyFont="1" applyFill="1" applyAlignment="1" applyProtection="1">
      <alignment horizontal="center" vertical="center" wrapText="1"/>
    </xf>
    <xf numFmtId="166" fontId="0" fillId="2" borderId="0" xfId="0" applyNumberFormat="1" applyFill="1" applyBorder="1" applyAlignment="1" applyProtection="1">
      <alignment vertical="center" wrapText="1"/>
    </xf>
    <xf numFmtId="0" fontId="97" fillId="2" borderId="0" xfId="0" applyFont="1" applyFill="1" applyAlignment="1" applyProtection="1">
      <alignment vertical="center" wrapText="1"/>
      <protection locked="0"/>
    </xf>
    <xf numFmtId="0" fontId="97" fillId="2" borderId="0" xfId="0" applyFont="1" applyFill="1" applyAlignment="1" applyProtection="1">
      <alignment horizontal="center" vertical="center" wrapText="1"/>
      <protection locked="0"/>
    </xf>
    <xf numFmtId="0" fontId="97" fillId="2" borderId="0" xfId="0" applyFont="1" applyFill="1" applyBorder="1" applyAlignment="1" applyProtection="1">
      <alignment vertical="center" wrapText="1"/>
      <protection locked="0"/>
    </xf>
    <xf numFmtId="1" fontId="0" fillId="2" borderId="0" xfId="0" applyNumberFormat="1" applyFill="1" applyAlignment="1" applyProtection="1">
      <alignment horizontal="center" vertical="center" wrapText="1"/>
    </xf>
    <xf numFmtId="43" fontId="47" fillId="2" borderId="0" xfId="1" applyFont="1" applyFill="1" applyBorder="1" applyAlignment="1" applyProtection="1">
      <alignment vertical="center" wrapText="1"/>
    </xf>
    <xf numFmtId="0" fontId="51" fillId="2" borderId="0" xfId="0" applyFont="1" applyFill="1" applyAlignment="1" applyProtection="1">
      <alignment vertical="center" wrapText="1"/>
      <protection locked="0"/>
    </xf>
    <xf numFmtId="0" fontId="98" fillId="2" borderId="0" xfId="0" applyFont="1" applyFill="1" applyAlignment="1" applyProtection="1">
      <alignment vertical="center" wrapText="1"/>
    </xf>
    <xf numFmtId="4" fontId="98" fillId="2" borderId="0" xfId="0" applyNumberFormat="1" applyFont="1" applyFill="1" applyAlignment="1" applyProtection="1">
      <alignment horizontal="center" vertical="center" wrapText="1"/>
    </xf>
    <xf numFmtId="166" fontId="98" fillId="2" borderId="0" xfId="0" applyNumberFormat="1" applyFont="1" applyFill="1" applyBorder="1" applyAlignment="1" applyProtection="1">
      <alignment vertical="center" wrapText="1"/>
    </xf>
    <xf numFmtId="0" fontId="98" fillId="2" borderId="0" xfId="0" applyFont="1" applyFill="1" applyBorder="1" applyAlignment="1" applyProtection="1">
      <alignment vertical="center" wrapText="1"/>
    </xf>
    <xf numFmtId="0" fontId="96" fillId="2" borderId="0" xfId="0" applyFont="1" applyFill="1" applyAlignment="1" applyProtection="1">
      <alignment vertical="center" wrapText="1"/>
      <protection locked="0"/>
    </xf>
    <xf numFmtId="0" fontId="96" fillId="2" borderId="0" xfId="0" applyFont="1" applyFill="1" applyAlignment="1" applyProtection="1">
      <alignment horizontal="center" vertical="center" wrapText="1"/>
      <protection locked="0"/>
    </xf>
    <xf numFmtId="0" fontId="96" fillId="2" borderId="0" xfId="0" applyFont="1" applyFill="1" applyBorder="1" applyAlignment="1" applyProtection="1">
      <alignment vertical="center" wrapText="1"/>
      <protection locked="0"/>
    </xf>
    <xf numFmtId="171" fontId="96" fillId="2" borderId="0" xfId="0" applyNumberFormat="1" applyFont="1" applyFill="1" applyAlignment="1" applyProtection="1">
      <alignment vertical="center" wrapText="1"/>
      <protection locked="0"/>
    </xf>
    <xf numFmtId="43" fontId="96" fillId="2" borderId="0" xfId="1" applyFont="1" applyFill="1" applyAlignment="1" applyProtection="1">
      <alignment vertical="center" wrapText="1"/>
      <protection locked="0"/>
    </xf>
    <xf numFmtId="166" fontId="96" fillId="2" borderId="0" xfId="0" applyNumberFormat="1" applyFont="1" applyFill="1" applyAlignment="1" applyProtection="1">
      <alignment vertical="center" wrapText="1"/>
      <protection locked="0"/>
    </xf>
    <xf numFmtId="176" fontId="54" fillId="2" borderId="0" xfId="1" applyNumberFormat="1" applyFont="1" applyFill="1" applyAlignment="1" applyProtection="1">
      <alignment vertical="center" wrapText="1"/>
      <protection locked="0"/>
    </xf>
    <xf numFmtId="43" fontId="54" fillId="2" borderId="0" xfId="0" applyNumberFormat="1" applyFont="1" applyFill="1" applyAlignment="1" applyProtection="1">
      <alignment vertical="center" wrapText="1"/>
      <protection locked="0"/>
    </xf>
    <xf numFmtId="2" fontId="54" fillId="2" borderId="0" xfId="0" applyNumberFormat="1" applyFont="1" applyFill="1" applyAlignment="1" applyProtection="1">
      <alignment horizontal="center" vertical="center" wrapText="1"/>
      <protection locked="0"/>
    </xf>
    <xf numFmtId="176" fontId="54" fillId="2" borderId="0" xfId="0" applyNumberFormat="1" applyFont="1" applyFill="1" applyAlignment="1" applyProtection="1">
      <alignment vertical="center" wrapText="1"/>
      <protection locked="0"/>
    </xf>
    <xf numFmtId="3" fontId="0" fillId="2" borderId="0" xfId="0" applyNumberFormat="1" applyFill="1" applyAlignment="1" applyProtection="1">
      <alignment vertical="center" wrapText="1"/>
    </xf>
    <xf numFmtId="3" fontId="0" fillId="2" borderId="0" xfId="0" applyNumberFormat="1" applyFill="1" applyBorder="1" applyAlignment="1" applyProtection="1">
      <alignment vertical="center" wrapText="1"/>
    </xf>
    <xf numFmtId="3" fontId="89" fillId="2" borderId="0" xfId="0" applyNumberFormat="1" applyFont="1" applyFill="1" applyAlignment="1" applyProtection="1">
      <alignment vertical="center" wrapText="1"/>
    </xf>
    <xf numFmtId="0" fontId="52" fillId="4" borderId="0" xfId="0" applyFont="1" applyFill="1" applyAlignment="1" applyProtection="1">
      <alignment vertical="center" wrapText="1"/>
      <protection locked="0"/>
    </xf>
    <xf numFmtId="0" fontId="27" fillId="4" borderId="0" xfId="0" applyFont="1" applyFill="1" applyAlignment="1" applyProtection="1">
      <alignment vertical="center" wrapText="1"/>
      <protection locked="0"/>
    </xf>
    <xf numFmtId="0" fontId="11" fillId="4" borderId="0" xfId="0" applyFont="1" applyFill="1" applyBorder="1" applyAlignment="1" applyProtection="1">
      <alignment horizontal="center" vertical="center" wrapText="1"/>
      <protection locked="0"/>
    </xf>
    <xf numFmtId="0" fontId="27" fillId="4" borderId="0" xfId="0" applyFont="1" applyFill="1" applyBorder="1" applyAlignment="1" applyProtection="1">
      <alignment vertical="center" wrapText="1"/>
      <protection locked="0"/>
    </xf>
    <xf numFmtId="166" fontId="11" fillId="4" borderId="0" xfId="0" applyNumberFormat="1" applyFont="1" applyFill="1" applyBorder="1" applyAlignment="1" applyProtection="1">
      <alignment horizontal="center" vertical="center" wrapText="1"/>
      <protection locked="0"/>
    </xf>
    <xf numFmtId="1" fontId="11" fillId="4" borderId="0" xfId="0" applyNumberFormat="1" applyFont="1" applyFill="1" applyBorder="1" applyAlignment="1" applyProtection="1">
      <alignment horizontal="center" vertical="center" wrapText="1"/>
      <protection locked="0"/>
    </xf>
    <xf numFmtId="0" fontId="50" fillId="7" borderId="0" xfId="0" applyFont="1" applyFill="1" applyAlignment="1" applyProtection="1">
      <alignmen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vertical="center" wrapText="1"/>
      <protection locked="0"/>
    </xf>
    <xf numFmtId="0" fontId="50" fillId="7" borderId="0" xfId="0" applyFont="1" applyFill="1" applyAlignment="1" applyProtection="1">
      <alignment horizontal="center" vertical="center" wrapText="1"/>
      <protection locked="0"/>
    </xf>
    <xf numFmtId="0" fontId="50" fillId="6" borderId="0" xfId="0" applyFont="1" applyFill="1" applyAlignment="1" applyProtection="1">
      <alignment vertical="center" wrapText="1"/>
      <protection locked="0"/>
    </xf>
    <xf numFmtId="0" fontId="79" fillId="6" borderId="0" xfId="0" applyFont="1" applyFill="1" applyAlignment="1" applyProtection="1">
      <alignment vertical="center" wrapText="1"/>
    </xf>
    <xf numFmtId="0" fontId="79" fillId="6" borderId="0" xfId="0" applyFont="1" applyFill="1" applyAlignment="1" applyProtection="1">
      <alignment horizontal="center" vertical="center" wrapText="1"/>
    </xf>
    <xf numFmtId="0" fontId="82" fillId="2" borderId="0" xfId="0" applyFont="1" applyFill="1" applyAlignment="1" applyProtection="1">
      <alignment vertical="center" wrapText="1"/>
      <protection locked="0"/>
    </xf>
    <xf numFmtId="0" fontId="50" fillId="2" borderId="0" xfId="0" applyFont="1" applyFill="1" applyAlignment="1" applyProtection="1">
      <alignment horizontal="right" vertical="center" wrapText="1"/>
      <protection locked="0"/>
    </xf>
    <xf numFmtId="0" fontId="54" fillId="2" borderId="0" xfId="0" applyFont="1" applyFill="1" applyAlignment="1" applyProtection="1">
      <alignment horizontal="right" vertical="center" wrapText="1"/>
      <protection locked="0"/>
    </xf>
    <xf numFmtId="3" fontId="15" fillId="2" borderId="0" xfId="0" applyNumberFormat="1" applyFont="1" applyFill="1" applyAlignment="1" applyProtection="1">
      <alignment vertical="center" wrapText="1"/>
    </xf>
    <xf numFmtId="3" fontId="33" fillId="2" borderId="0" xfId="0" applyNumberFormat="1" applyFont="1" applyFill="1" applyAlignment="1" applyProtection="1">
      <alignment vertical="center" wrapText="1"/>
    </xf>
    <xf numFmtId="0" fontId="50" fillId="2" borderId="0" xfId="0" applyFont="1" applyFill="1" applyAlignment="1" applyProtection="1">
      <alignment vertical="center" wrapText="1"/>
    </xf>
    <xf numFmtId="0" fontId="28" fillId="2" borderId="0" xfId="0" applyFont="1" applyFill="1" applyAlignment="1" applyProtection="1">
      <alignment vertical="center" wrapText="1"/>
    </xf>
    <xf numFmtId="175" fontId="54" fillId="2" borderId="0" xfId="1" applyNumberFormat="1" applyFont="1" applyFill="1" applyAlignment="1" applyProtection="1">
      <alignment vertical="center" wrapText="1"/>
    </xf>
    <xf numFmtId="0" fontId="27" fillId="2" borderId="0" xfId="0" applyFont="1" applyFill="1" applyAlignment="1" applyProtection="1">
      <alignment vertical="center" wrapText="1"/>
    </xf>
    <xf numFmtId="175" fontId="52" fillId="2" borderId="0" xfId="1" applyNumberFormat="1" applyFont="1" applyFill="1" applyAlignment="1" applyProtection="1">
      <alignment vertical="center" wrapText="1"/>
    </xf>
    <xf numFmtId="0" fontId="3" fillId="2" borderId="0" xfId="0" applyFont="1" applyFill="1" applyAlignment="1" applyProtection="1">
      <alignment vertical="center" wrapText="1"/>
    </xf>
    <xf numFmtId="0" fontId="7" fillId="2" borderId="0" xfId="0" applyFont="1" applyFill="1" applyAlignment="1" applyProtection="1">
      <alignment horizontal="center" vertical="center" wrapText="1"/>
    </xf>
    <xf numFmtId="0" fontId="7" fillId="2" borderId="0" xfId="0" applyFont="1" applyFill="1" applyAlignment="1" applyProtection="1">
      <alignment vertical="center" wrapText="1"/>
    </xf>
    <xf numFmtId="0" fontId="8" fillId="2" borderId="0" xfId="0" applyFont="1" applyFill="1" applyAlignment="1" applyProtection="1">
      <alignment vertical="center" wrapText="1"/>
    </xf>
    <xf numFmtId="3" fontId="54" fillId="2" borderId="0" xfId="0" applyNumberFormat="1" applyFont="1" applyFill="1" applyAlignment="1" applyProtection="1">
      <alignment vertical="center" wrapText="1"/>
    </xf>
    <xf numFmtId="3" fontId="54" fillId="0" borderId="0" xfId="0" applyNumberFormat="1" applyFont="1" applyFill="1" applyAlignment="1" applyProtection="1">
      <alignment vertical="center" wrapText="1"/>
    </xf>
    <xf numFmtId="175" fontId="52" fillId="2" borderId="0" xfId="1" applyNumberFormat="1" applyFont="1" applyFill="1" applyBorder="1" applyAlignment="1" applyProtection="1">
      <alignment vertical="center" wrapText="1"/>
    </xf>
    <xf numFmtId="0" fontId="52" fillId="2" borderId="0" xfId="0" applyFont="1" applyFill="1" applyAlignment="1" applyProtection="1">
      <alignment vertical="center" wrapText="1"/>
    </xf>
    <xf numFmtId="3" fontId="83" fillId="2" borderId="0" xfId="0" applyNumberFormat="1" applyFont="1" applyFill="1" applyAlignment="1" applyProtection="1">
      <alignment vertical="center" wrapText="1"/>
    </xf>
    <xf numFmtId="0" fontId="47" fillId="2" borderId="0" xfId="0" applyFont="1" applyFill="1" applyAlignment="1" applyProtection="1">
      <alignment horizontal="center" vertical="center" wrapText="1"/>
      <protection locked="0"/>
    </xf>
    <xf numFmtId="166" fontId="52" fillId="2" borderId="0" xfId="0" applyNumberFormat="1" applyFont="1" applyFill="1" applyAlignment="1" applyProtection="1">
      <alignment horizontal="center" vertical="center" wrapText="1"/>
      <protection locked="0"/>
    </xf>
    <xf numFmtId="43" fontId="52" fillId="2" borderId="0" xfId="1" applyFont="1" applyFill="1" applyAlignment="1" applyProtection="1">
      <alignment vertical="center" wrapText="1"/>
    </xf>
    <xf numFmtId="3" fontId="52" fillId="2" borderId="0" xfId="0" applyNumberFormat="1" applyFont="1" applyFill="1" applyAlignment="1" applyProtection="1">
      <alignment vertical="center" wrapText="1"/>
    </xf>
    <xf numFmtId="3" fontId="27" fillId="2" borderId="0" xfId="0" applyNumberFormat="1" applyFont="1" applyFill="1" applyAlignment="1" applyProtection="1">
      <alignment vertical="center" wrapText="1"/>
    </xf>
    <xf numFmtId="3" fontId="112" fillId="2" borderId="0" xfId="0" applyNumberFormat="1" applyFont="1" applyFill="1" applyAlignment="1" applyProtection="1">
      <alignment vertical="center" wrapText="1"/>
    </xf>
    <xf numFmtId="3" fontId="14" fillId="2" borderId="0" xfId="0" applyNumberFormat="1" applyFont="1" applyFill="1" applyAlignment="1" applyProtection="1">
      <alignment vertical="center" wrapText="1"/>
    </xf>
    <xf numFmtId="43" fontId="54" fillId="2" borderId="0" xfId="1" applyFont="1" applyFill="1" applyAlignment="1" applyProtection="1">
      <alignment vertical="center" wrapText="1"/>
    </xf>
    <xf numFmtId="175" fontId="52" fillId="2" borderId="0" xfId="1" applyNumberFormat="1" applyFont="1" applyFill="1" applyAlignment="1" applyProtection="1">
      <alignment horizontal="center" vertical="center" wrapText="1"/>
    </xf>
    <xf numFmtId="175" fontId="54" fillId="2" borderId="0" xfId="1" applyNumberFormat="1" applyFont="1" applyFill="1" applyAlignment="1" applyProtection="1">
      <alignment horizontal="center" vertical="center" wrapText="1"/>
    </xf>
    <xf numFmtId="176" fontId="54" fillId="2" borderId="0" xfId="1" applyNumberFormat="1" applyFont="1" applyFill="1" applyAlignment="1" applyProtection="1">
      <alignment vertical="center" wrapText="1"/>
    </xf>
    <xf numFmtId="173" fontId="50" fillId="2" borderId="1" xfId="0" applyNumberFormat="1" applyFont="1" applyFill="1" applyBorder="1" applyAlignment="1" applyProtection="1">
      <alignment horizontal="right" vertical="center" wrapText="1"/>
      <protection locked="0"/>
    </xf>
    <xf numFmtId="166" fontId="52" fillId="2" borderId="0" xfId="0" applyNumberFormat="1" applyFont="1" applyFill="1" applyAlignment="1" applyProtection="1">
      <alignment vertical="center" wrapText="1"/>
    </xf>
    <xf numFmtId="171" fontId="54" fillId="2" borderId="0" xfId="0" applyNumberFormat="1" applyFont="1" applyFill="1" applyAlignment="1" applyProtection="1">
      <alignment vertical="center" wrapText="1"/>
      <protection locked="0"/>
    </xf>
    <xf numFmtId="3" fontId="48" fillId="2" borderId="0" xfId="0" applyNumberFormat="1" applyFont="1" applyFill="1" applyAlignment="1" applyProtection="1">
      <alignment vertical="center" wrapText="1"/>
    </xf>
    <xf numFmtId="175" fontId="48" fillId="2" borderId="0" xfId="1" applyNumberFormat="1" applyFont="1" applyFill="1" applyAlignment="1" applyProtection="1">
      <alignment vertical="center" wrapText="1"/>
    </xf>
    <xf numFmtId="3" fontId="118" fillId="2" borderId="0" xfId="0" applyNumberFormat="1" applyFont="1" applyFill="1" applyAlignment="1" applyProtection="1">
      <alignment vertical="center" wrapText="1"/>
    </xf>
    <xf numFmtId="3" fontId="36" fillId="2" borderId="0" xfId="0" applyNumberFormat="1" applyFont="1" applyFill="1" applyAlignment="1" applyProtection="1">
      <alignment vertical="center" wrapText="1"/>
    </xf>
    <xf numFmtId="175" fontId="50" fillId="2" borderId="0" xfId="1" applyNumberFormat="1" applyFont="1" applyFill="1" applyAlignment="1" applyProtection="1">
      <alignment vertical="center" wrapText="1"/>
    </xf>
    <xf numFmtId="3" fontId="50" fillId="2" borderId="0" xfId="0" applyNumberFormat="1" applyFont="1" applyFill="1" applyAlignment="1" applyProtection="1">
      <alignment vertical="center" wrapText="1"/>
    </xf>
    <xf numFmtId="3" fontId="117" fillId="2" borderId="0" xfId="0" applyNumberFormat="1" applyFont="1" applyFill="1" applyAlignment="1" applyProtection="1">
      <alignment vertical="center" wrapText="1"/>
    </xf>
    <xf numFmtId="0" fontId="85" fillId="2" borderId="0" xfId="0" applyFont="1" applyFill="1" applyAlignment="1" applyProtection="1">
      <alignment vertical="center" wrapText="1"/>
    </xf>
    <xf numFmtId="0" fontId="79" fillId="2" borderId="0" xfId="0" applyFont="1" applyFill="1" applyAlignment="1" applyProtection="1">
      <alignment vertical="center" wrapText="1"/>
    </xf>
    <xf numFmtId="0" fontId="86" fillId="2" borderId="0" xfId="0" applyFont="1" applyFill="1" applyAlignment="1" applyProtection="1">
      <alignment vertical="center" wrapText="1"/>
    </xf>
    <xf numFmtId="0" fontId="4" fillId="2" borderId="0" xfId="0" applyFont="1" applyFill="1" applyAlignment="1" applyProtection="1">
      <alignment vertical="center" wrapText="1"/>
    </xf>
    <xf numFmtId="43" fontId="11" fillId="2" borderId="0" xfId="1" applyFont="1" applyFill="1" applyAlignment="1" applyProtection="1">
      <alignment vertical="center" wrapText="1"/>
      <protection locked="0"/>
    </xf>
    <xf numFmtId="0" fontId="47" fillId="2" borderId="36" xfId="0" applyFont="1" applyFill="1" applyBorder="1" applyAlignment="1" applyProtection="1">
      <alignment vertical="center" wrapText="1"/>
    </xf>
    <xf numFmtId="0" fontId="0" fillId="2" borderId="36" xfId="0" applyFill="1" applyBorder="1" applyAlignment="1" applyProtection="1">
      <alignment vertical="center" wrapText="1"/>
    </xf>
    <xf numFmtId="3" fontId="111" fillId="2" borderId="0" xfId="0" applyNumberFormat="1" applyFont="1" applyFill="1" applyAlignment="1" applyProtection="1">
      <alignment vertical="center" wrapText="1"/>
    </xf>
    <xf numFmtId="3" fontId="22" fillId="2" borderId="0" xfId="0" applyNumberFormat="1" applyFont="1" applyFill="1" applyAlignment="1" applyProtection="1">
      <alignment vertical="center" wrapText="1"/>
    </xf>
    <xf numFmtId="43" fontId="112" fillId="2" borderId="0" xfId="0" applyNumberFormat="1" applyFont="1" applyFill="1" applyAlignment="1" applyProtection="1">
      <alignment vertical="center" wrapText="1"/>
    </xf>
    <xf numFmtId="0" fontId="113" fillId="2" borderId="0" xfId="0" applyFont="1" applyFill="1" applyAlignment="1" applyProtection="1">
      <alignment vertical="center" wrapText="1"/>
    </xf>
    <xf numFmtId="0" fontId="112" fillId="2" borderId="0" xfId="0" applyFont="1" applyFill="1" applyAlignment="1" applyProtection="1">
      <alignment vertical="center" wrapText="1"/>
    </xf>
    <xf numFmtId="0" fontId="14" fillId="2" borderId="0" xfId="0" applyFont="1" applyFill="1" applyAlignment="1" applyProtection="1">
      <alignment vertical="center" wrapText="1"/>
    </xf>
    <xf numFmtId="0" fontId="83" fillId="2" borderId="0" xfId="0" applyFont="1" applyFill="1" applyAlignment="1" applyProtection="1">
      <alignment vertical="center" wrapText="1"/>
    </xf>
    <xf numFmtId="0" fontId="15" fillId="2" borderId="0" xfId="0" applyFont="1" applyFill="1" applyAlignment="1" applyProtection="1">
      <alignment vertical="center" wrapText="1"/>
    </xf>
    <xf numFmtId="0" fontId="30" fillId="2" borderId="0" xfId="0" applyFont="1" applyFill="1" applyAlignment="1" applyProtection="1">
      <alignment vertical="center" wrapText="1"/>
    </xf>
    <xf numFmtId="0" fontId="114" fillId="2" borderId="0" xfId="0" applyFont="1" applyFill="1" applyAlignment="1" applyProtection="1">
      <alignment vertical="center" wrapText="1"/>
    </xf>
    <xf numFmtId="0" fontId="24" fillId="2" borderId="0" xfId="0" applyFont="1" applyFill="1" applyAlignment="1" applyProtection="1">
      <alignment vertical="center" wrapText="1"/>
    </xf>
    <xf numFmtId="0" fontId="115" fillId="2" borderId="0" xfId="0" applyFont="1" applyFill="1" applyAlignment="1" applyProtection="1">
      <alignment vertical="center" wrapText="1"/>
    </xf>
    <xf numFmtId="0" fontId="23" fillId="2" borderId="0" xfId="0" applyFont="1" applyFill="1" applyAlignment="1" applyProtection="1">
      <alignment vertical="center" wrapText="1"/>
    </xf>
    <xf numFmtId="0" fontId="112" fillId="6" borderId="0" xfId="0" applyFont="1" applyFill="1" applyAlignment="1" applyProtection="1">
      <alignment vertical="center" wrapText="1"/>
    </xf>
    <xf numFmtId="0" fontId="14" fillId="6" borderId="0" xfId="0" applyFont="1" applyFill="1" applyAlignment="1" applyProtection="1">
      <alignment vertical="center" wrapText="1"/>
    </xf>
    <xf numFmtId="0" fontId="115" fillId="6" borderId="0" xfId="0" applyFont="1" applyFill="1" applyAlignment="1" applyProtection="1">
      <alignment vertical="center" wrapText="1"/>
    </xf>
    <xf numFmtId="0" fontId="23" fillId="6" borderId="0" xfId="0" applyFont="1" applyFill="1" applyAlignment="1" applyProtection="1">
      <alignment vertical="center" wrapText="1"/>
    </xf>
    <xf numFmtId="0" fontId="83" fillId="6" borderId="0" xfId="0" applyFont="1" applyFill="1" applyAlignment="1" applyProtection="1">
      <alignment vertical="center" wrapText="1"/>
    </xf>
    <xf numFmtId="0" fontId="15" fillId="6" borderId="0" xfId="0" applyFont="1" applyFill="1" applyAlignment="1" applyProtection="1">
      <alignment vertical="center" wrapText="1"/>
    </xf>
    <xf numFmtId="0" fontId="114" fillId="6" borderId="0" xfId="0" applyFont="1" applyFill="1" applyAlignment="1" applyProtection="1">
      <alignment vertical="center" wrapText="1"/>
    </xf>
    <xf numFmtId="0" fontId="24" fillId="6" borderId="0" xfId="0" applyFont="1" applyFill="1" applyAlignment="1" applyProtection="1">
      <alignment vertical="center" wrapText="1"/>
    </xf>
    <xf numFmtId="0" fontId="83" fillId="7" borderId="0" xfId="0" applyFont="1" applyFill="1" applyAlignment="1" applyProtection="1">
      <alignment vertical="center" wrapText="1"/>
    </xf>
    <xf numFmtId="0" fontId="15" fillId="7" borderId="0" xfId="0" applyFont="1" applyFill="1" applyAlignment="1" applyProtection="1">
      <alignment vertical="center" wrapText="1"/>
    </xf>
    <xf numFmtId="3" fontId="78" fillId="2" borderId="16" xfId="0" applyNumberFormat="1" applyFont="1" applyFill="1" applyBorder="1" applyAlignment="1" applyProtection="1">
      <alignment horizontal="center" vertical="center" wrapText="1"/>
      <protection locked="0"/>
    </xf>
    <xf numFmtId="171" fontId="51" fillId="2" borderId="5" xfId="0" applyNumberFormat="1" applyFont="1" applyFill="1" applyBorder="1" applyAlignment="1" applyProtection="1">
      <alignment horizontal="center" vertical="center" wrapText="1"/>
      <protection locked="0"/>
    </xf>
    <xf numFmtId="0" fontId="84" fillId="2" borderId="0" xfId="0" applyFont="1" applyFill="1" applyAlignment="1" applyProtection="1">
      <alignment vertical="center" wrapText="1"/>
    </xf>
    <xf numFmtId="43" fontId="11" fillId="2" borderId="0" xfId="1" applyFont="1" applyFill="1" applyAlignment="1" applyProtection="1">
      <alignment vertical="center" wrapText="1"/>
    </xf>
    <xf numFmtId="175" fontId="50" fillId="2" borderId="0" xfId="1"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175" fontId="51" fillId="2" borderId="0" xfId="1" applyNumberFormat="1" applyFont="1" applyFill="1" applyAlignment="1" applyProtection="1">
      <alignment horizontal="center" vertical="center" wrapText="1"/>
      <protection locked="0"/>
    </xf>
    <xf numFmtId="171" fontId="68" fillId="2" borderId="0" xfId="0" applyNumberFormat="1" applyFont="1" applyFill="1" applyAlignment="1" applyProtection="1">
      <alignment horizontal="right" vertical="center" wrapText="1"/>
      <protection locked="0"/>
    </xf>
    <xf numFmtId="1" fontId="54" fillId="2" borderId="0" xfId="0" applyNumberFormat="1" applyFont="1" applyFill="1" applyAlignment="1" applyProtection="1">
      <alignment vertical="center" wrapText="1"/>
      <protection locked="0"/>
    </xf>
    <xf numFmtId="43" fontId="67" fillId="2" borderId="0" xfId="1" applyFont="1" applyFill="1" applyAlignment="1" applyProtection="1">
      <alignment vertical="center" wrapText="1"/>
      <protection locked="0"/>
    </xf>
    <xf numFmtId="3" fontId="67" fillId="2" borderId="0" xfId="0" applyNumberFormat="1" applyFont="1" applyFill="1" applyAlignment="1" applyProtection="1">
      <alignment vertical="center" wrapText="1"/>
      <protection locked="0"/>
    </xf>
    <xf numFmtId="176" fontId="55" fillId="0" borderId="0" xfId="1" applyNumberFormat="1" applyFont="1" applyFill="1" applyAlignment="1" applyProtection="1">
      <alignment vertical="center" wrapText="1"/>
      <protection locked="0"/>
    </xf>
    <xf numFmtId="1" fontId="55" fillId="0" borderId="0" xfId="0" applyNumberFormat="1" applyFont="1" applyFill="1" applyAlignment="1" applyProtection="1">
      <alignment vertical="center" wrapText="1"/>
      <protection locked="0"/>
    </xf>
    <xf numFmtId="0" fontId="85" fillId="2" borderId="0" xfId="0" applyFont="1" applyFill="1" applyAlignment="1" applyProtection="1">
      <alignment vertical="center" wrapText="1"/>
      <protection locked="0"/>
    </xf>
    <xf numFmtId="0" fontId="86" fillId="2" borderId="0" xfId="0" applyFont="1" applyFill="1" applyAlignment="1" applyProtection="1">
      <alignment vertical="center" wrapText="1"/>
      <protection locked="0"/>
    </xf>
    <xf numFmtId="170" fontId="53" fillId="6" borderId="0" xfId="23" applyNumberFormat="1" applyFont="1" applyFill="1" applyBorder="1" applyAlignment="1">
      <alignment horizontal="right" vertical="center" wrapText="1"/>
    </xf>
    <xf numFmtId="171" fontId="50" fillId="2" borderId="0" xfId="0" applyNumberFormat="1" applyFont="1" applyFill="1" applyBorder="1" applyAlignment="1">
      <alignment horizontal="right" vertical="center" wrapText="1"/>
    </xf>
    <xf numFmtId="171" fontId="50" fillId="2" borderId="0" xfId="27" applyNumberFormat="1" applyFont="1" applyFill="1" applyBorder="1" applyAlignment="1">
      <alignment vertical="center" wrapText="1"/>
    </xf>
    <xf numFmtId="0" fontId="55" fillId="2" borderId="0" xfId="0" applyFont="1" applyFill="1" applyAlignment="1" applyProtection="1">
      <alignment horizontal="right" vertical="center" wrapText="1"/>
    </xf>
    <xf numFmtId="0" fontId="55" fillId="2" borderId="0" xfId="0" applyFont="1" applyFill="1" applyAlignment="1" applyProtection="1">
      <alignment vertical="center" wrapText="1"/>
    </xf>
    <xf numFmtId="0" fontId="52" fillId="2" borderId="0" xfId="0" applyFont="1" applyFill="1" applyAlignment="1" applyProtection="1">
      <alignment horizontal="right" vertical="center" wrapText="1"/>
    </xf>
    <xf numFmtId="0" fontId="49" fillId="2" borderId="4" xfId="0" applyFont="1" applyFill="1" applyBorder="1" applyAlignment="1" applyProtection="1">
      <alignment horizontal="center" vertical="center" wrapText="1"/>
      <protection locked="0"/>
    </xf>
    <xf numFmtId="166" fontId="50" fillId="2" borderId="15" xfId="0" applyNumberFormat="1" applyFont="1" applyFill="1" applyBorder="1" applyAlignment="1" applyProtection="1">
      <alignment vertical="center" wrapText="1"/>
      <protection locked="0"/>
    </xf>
    <xf numFmtId="166" fontId="50" fillId="2" borderId="3" xfId="0" applyNumberFormat="1"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protection locked="0"/>
    </xf>
    <xf numFmtId="166" fontId="50" fillId="2" borderId="9" xfId="0" applyNumberFormat="1" applyFont="1" applyFill="1" applyBorder="1" applyAlignment="1" applyProtection="1">
      <alignment vertical="center" wrapText="1"/>
      <protection locked="0"/>
    </xf>
    <xf numFmtId="0" fontId="49" fillId="2" borderId="11" xfId="0" applyFont="1" applyFill="1" applyBorder="1" applyAlignment="1" applyProtection="1">
      <alignment horizontal="center" vertical="center" wrapText="1"/>
      <protection locked="0"/>
    </xf>
    <xf numFmtId="0" fontId="75" fillId="2" borderId="0" xfId="0" applyFont="1" applyFill="1" applyAlignment="1" applyProtection="1">
      <alignment vertical="center" wrapText="1"/>
    </xf>
    <xf numFmtId="1" fontId="11" fillId="2" borderId="0" xfId="0" applyNumberFormat="1" applyFont="1" applyFill="1" applyAlignment="1" applyProtection="1">
      <alignment vertical="center" wrapText="1"/>
    </xf>
    <xf numFmtId="1" fontId="0" fillId="2" borderId="0" xfId="0" applyNumberFormat="1" applyFill="1" applyAlignment="1" applyProtection="1">
      <alignment vertical="center" wrapText="1"/>
    </xf>
    <xf numFmtId="170" fontId="73" fillId="2" borderId="0" xfId="0" applyNumberFormat="1" applyFont="1" applyFill="1" applyAlignment="1" applyProtection="1">
      <alignment horizontal="right" vertical="center" wrapText="1"/>
      <protection locked="0"/>
    </xf>
    <xf numFmtId="0" fontId="52" fillId="3" borderId="14" xfId="0" applyFont="1" applyFill="1" applyBorder="1" applyAlignment="1" applyProtection="1">
      <alignment horizontal="center" vertical="center" wrapText="1"/>
      <protection locked="0"/>
    </xf>
    <xf numFmtId="0" fontId="52" fillId="3" borderId="4" xfId="0" applyFont="1" applyFill="1" applyBorder="1" applyAlignment="1" applyProtection="1">
      <alignment vertical="center" wrapText="1"/>
      <protection locked="0"/>
    </xf>
    <xf numFmtId="0" fontId="82" fillId="3" borderId="4" xfId="0" applyFont="1" applyFill="1" applyBorder="1" applyAlignment="1" applyProtection="1">
      <alignment horizontal="center" vertical="center" wrapText="1"/>
      <protection locked="0"/>
    </xf>
    <xf numFmtId="3" fontId="76" fillId="3" borderId="4" xfId="0" applyNumberFormat="1" applyFont="1" applyFill="1" applyBorder="1" applyAlignment="1" applyProtection="1">
      <alignment vertical="center" wrapText="1"/>
      <protection locked="0"/>
    </xf>
    <xf numFmtId="0" fontId="54" fillId="3" borderId="6" xfId="0" applyFont="1" applyFill="1" applyBorder="1" applyAlignment="1" applyProtection="1">
      <alignment horizontal="center" vertical="center" wrapText="1"/>
      <protection locked="0"/>
    </xf>
    <xf numFmtId="0" fontId="54" fillId="3" borderId="1" xfId="0" applyFont="1" applyFill="1" applyBorder="1" applyAlignment="1" applyProtection="1">
      <alignment vertical="center" wrapText="1"/>
      <protection locked="0"/>
    </xf>
    <xf numFmtId="0" fontId="82" fillId="3" borderId="1" xfId="0" applyFont="1" applyFill="1" applyBorder="1" applyAlignment="1" applyProtection="1">
      <alignment horizontal="center" vertical="center" wrapText="1"/>
      <protection locked="0"/>
    </xf>
    <xf numFmtId="3" fontId="76" fillId="3" borderId="1" xfId="0" applyNumberFormat="1" applyFont="1" applyFill="1" applyBorder="1" applyAlignment="1" applyProtection="1">
      <alignment vertical="center" wrapText="1"/>
      <protection locked="0"/>
    </xf>
    <xf numFmtId="4" fontId="76" fillId="3" borderId="1" xfId="0" applyNumberFormat="1" applyFont="1" applyFill="1" applyBorder="1" applyAlignment="1" applyProtection="1">
      <alignment vertical="center" wrapText="1"/>
      <protection locked="0"/>
    </xf>
    <xf numFmtId="0" fontId="55" fillId="3" borderId="6" xfId="0" applyFont="1" applyFill="1" applyBorder="1" applyAlignment="1" applyProtection="1">
      <alignment horizontal="center" vertical="center" wrapText="1"/>
      <protection locked="0"/>
    </xf>
    <xf numFmtId="0" fontId="55" fillId="3" borderId="1" xfId="0" applyFont="1" applyFill="1" applyBorder="1" applyAlignment="1" applyProtection="1">
      <alignment vertical="center" wrapText="1"/>
      <protection locked="0"/>
    </xf>
    <xf numFmtId="0" fontId="92" fillId="3" borderId="1" xfId="0" applyFont="1" applyFill="1" applyBorder="1" applyAlignment="1" applyProtection="1">
      <alignment horizontal="center" vertical="center" wrapText="1"/>
      <protection locked="0"/>
    </xf>
    <xf numFmtId="3" fontId="77" fillId="3" borderId="1" xfId="0" applyNumberFormat="1" applyFont="1" applyFill="1" applyBorder="1" applyAlignment="1" applyProtection="1">
      <alignment vertical="center" wrapText="1"/>
      <protection locked="0"/>
    </xf>
    <xf numFmtId="0" fontId="76" fillId="2" borderId="24" xfId="0" applyFont="1" applyFill="1" applyBorder="1" applyAlignment="1" applyProtection="1">
      <alignment horizontal="center" vertical="center" wrapText="1"/>
    </xf>
    <xf numFmtId="0" fontId="76" fillId="2" borderId="17" xfId="0" applyFont="1" applyFill="1" applyBorder="1" applyAlignment="1" applyProtection="1">
      <alignment vertical="center" wrapText="1"/>
    </xf>
    <xf numFmtId="0" fontId="109" fillId="2" borderId="17" xfId="0" applyFont="1" applyFill="1" applyBorder="1" applyAlignment="1" applyProtection="1">
      <alignment horizontal="center" vertical="center" wrapText="1"/>
    </xf>
    <xf numFmtId="0" fontId="76" fillId="2" borderId="8" xfId="0" applyFont="1" applyFill="1" applyBorder="1" applyAlignment="1" applyProtection="1">
      <alignment vertical="center" wrapText="1"/>
    </xf>
    <xf numFmtId="0" fontId="81" fillId="2" borderId="0" xfId="0" applyFont="1" applyFill="1" applyAlignment="1" applyProtection="1">
      <alignment vertical="center" wrapText="1"/>
    </xf>
    <xf numFmtId="1" fontId="11" fillId="2" borderId="0" xfId="0" applyNumberFormat="1" applyFont="1" applyFill="1" applyAlignment="1" applyProtection="1">
      <alignment horizontal="right" vertical="center" wrapText="1"/>
    </xf>
    <xf numFmtId="43" fontId="55" fillId="2" borderId="0" xfId="1" applyFont="1" applyFill="1" applyAlignment="1" applyProtection="1">
      <alignment vertical="center" wrapText="1"/>
    </xf>
    <xf numFmtId="1" fontId="55" fillId="2" borderId="0" xfId="0" applyNumberFormat="1" applyFont="1" applyFill="1" applyAlignment="1" applyProtection="1">
      <alignment vertical="center" wrapText="1"/>
    </xf>
    <xf numFmtId="1" fontId="54" fillId="2" borderId="0" xfId="0" applyNumberFormat="1" applyFont="1" applyFill="1" applyAlignment="1" applyProtection="1">
      <alignment vertical="center" wrapText="1"/>
    </xf>
    <xf numFmtId="1" fontId="55" fillId="2" borderId="0" xfId="0" applyNumberFormat="1" applyFont="1" applyFill="1" applyAlignment="1" applyProtection="1">
      <alignment horizontal="center" vertical="center" wrapText="1"/>
    </xf>
    <xf numFmtId="43" fontId="54" fillId="2" borderId="0" xfId="1" applyNumberFormat="1" applyFont="1" applyFill="1" applyAlignment="1" applyProtection="1">
      <alignment horizontal="center" vertical="center" wrapText="1"/>
    </xf>
    <xf numFmtId="170" fontId="50" fillId="6" borderId="0" xfId="0" applyNumberFormat="1" applyFont="1" applyFill="1" applyAlignment="1" applyProtection="1">
      <alignment vertical="center" wrapText="1"/>
    </xf>
    <xf numFmtId="1" fontId="50" fillId="6" borderId="0" xfId="0" applyNumberFormat="1" applyFont="1" applyFill="1" applyAlignment="1" applyProtection="1">
      <alignment vertical="center" wrapText="1"/>
    </xf>
    <xf numFmtId="43" fontId="54" fillId="6" borderId="0" xfId="1" applyFont="1" applyFill="1" applyAlignment="1" applyProtection="1">
      <alignment vertical="center" wrapText="1"/>
    </xf>
    <xf numFmtId="43" fontId="55" fillId="6" borderId="0" xfId="1" applyFont="1" applyFill="1" applyAlignment="1" applyProtection="1">
      <alignment vertical="center" wrapText="1"/>
    </xf>
    <xf numFmtId="43" fontId="51" fillId="6" borderId="0" xfId="1" applyFont="1" applyFill="1" applyAlignment="1" applyProtection="1">
      <alignment vertical="center" wrapText="1"/>
    </xf>
    <xf numFmtId="0" fontId="50" fillId="6" borderId="0" xfId="0" applyFont="1" applyFill="1" applyAlignment="1" applyProtection="1">
      <alignment horizontal="center" vertical="center" wrapText="1"/>
    </xf>
    <xf numFmtId="1" fontId="53" fillId="2" borderId="2" xfId="0" applyNumberFormat="1" applyFont="1" applyFill="1" applyBorder="1" applyAlignment="1" applyProtection="1">
      <alignment vertical="center" wrapText="1"/>
    </xf>
    <xf numFmtId="1" fontId="54" fillId="2" borderId="0" xfId="0" applyNumberFormat="1" applyFont="1" applyFill="1" applyAlignment="1" applyProtection="1">
      <alignment horizontal="right" vertical="center" wrapText="1"/>
    </xf>
    <xf numFmtId="1" fontId="50" fillId="2" borderId="0" xfId="0" applyNumberFormat="1" applyFont="1" applyFill="1" applyAlignment="1" applyProtection="1">
      <alignment horizontal="right" vertical="center" wrapText="1"/>
    </xf>
    <xf numFmtId="1" fontId="50" fillId="2" borderId="0" xfId="0" applyNumberFormat="1" applyFont="1" applyFill="1" applyAlignment="1" applyProtection="1">
      <alignment vertical="center" wrapText="1"/>
    </xf>
    <xf numFmtId="0" fontId="19" fillId="2" borderId="0" xfId="0" applyFont="1" applyFill="1" applyAlignment="1" applyProtection="1">
      <alignment vertical="center" wrapText="1"/>
    </xf>
    <xf numFmtId="0" fontId="41" fillId="2" borderId="0" xfId="0" applyFont="1" applyFill="1" applyAlignment="1" applyProtection="1">
      <alignment vertical="center" wrapText="1"/>
    </xf>
    <xf numFmtId="0" fontId="29" fillId="2" borderId="0" xfId="0" applyFont="1" applyFill="1" applyAlignment="1" applyProtection="1">
      <alignment vertical="center" wrapText="1"/>
    </xf>
    <xf numFmtId="0" fontId="20" fillId="2" borderId="0" xfId="0" applyFont="1" applyFill="1" applyAlignment="1" applyProtection="1">
      <alignment vertical="center" wrapText="1"/>
    </xf>
    <xf numFmtId="0" fontId="99" fillId="2" borderId="0" xfId="0" applyFont="1" applyFill="1" applyAlignment="1" applyProtection="1">
      <alignment vertical="center" wrapText="1"/>
    </xf>
    <xf numFmtId="0" fontId="20" fillId="0" borderId="0" xfId="0" applyFont="1" applyFill="1" applyAlignment="1" applyProtection="1">
      <alignment vertical="center" wrapText="1"/>
    </xf>
    <xf numFmtId="0" fontId="0" fillId="0" borderId="0" xfId="0" applyFill="1" applyAlignment="1" applyProtection="1">
      <alignment vertical="center" wrapText="1"/>
    </xf>
    <xf numFmtId="0" fontId="16" fillId="0" borderId="0" xfId="0" applyFont="1" applyFill="1" applyAlignment="1" applyProtection="1">
      <alignment vertical="center" wrapText="1"/>
    </xf>
    <xf numFmtId="0" fontId="18" fillId="2" borderId="0" xfId="0" applyFont="1" applyFill="1" applyAlignment="1" applyProtection="1">
      <alignment horizontal="center" vertical="center" wrapText="1"/>
    </xf>
    <xf numFmtId="0" fontId="16" fillId="2" borderId="0" xfId="0" applyFont="1" applyFill="1" applyAlignment="1" applyProtection="1">
      <alignment vertical="center" wrapText="1"/>
    </xf>
    <xf numFmtId="0" fontId="73" fillId="2" borderId="0" xfId="0" applyFont="1" applyFill="1" applyAlignment="1" applyProtection="1">
      <alignment vertical="center" wrapText="1"/>
    </xf>
    <xf numFmtId="0" fontId="67" fillId="2" borderId="0" xfId="0" applyFont="1" applyFill="1" applyAlignment="1" applyProtection="1">
      <alignment vertical="center" wrapText="1"/>
    </xf>
    <xf numFmtId="0" fontId="93" fillId="2" borderId="0" xfId="0" applyFont="1" applyFill="1" applyAlignment="1" applyProtection="1">
      <alignment vertical="center" wrapText="1"/>
    </xf>
    <xf numFmtId="0" fontId="17" fillId="2" borderId="0" xfId="0" applyFont="1" applyFill="1" applyAlignment="1" applyProtection="1">
      <alignment vertical="center" wrapText="1"/>
    </xf>
    <xf numFmtId="0" fontId="21" fillId="2" borderId="0" xfId="0" applyFont="1" applyFill="1" applyAlignment="1" applyProtection="1">
      <alignment vertical="center" wrapText="1"/>
    </xf>
    <xf numFmtId="0" fontId="102" fillId="2" borderId="0" xfId="0" applyFont="1" applyFill="1" applyAlignment="1" applyProtection="1">
      <alignment vertical="center" wrapText="1"/>
    </xf>
    <xf numFmtId="0" fontId="103" fillId="2" borderId="0" xfId="0" applyFont="1" applyFill="1" applyAlignment="1" applyProtection="1">
      <alignment vertical="center" wrapText="1"/>
    </xf>
    <xf numFmtId="170" fontId="67" fillId="2" borderId="0" xfId="0" applyNumberFormat="1" applyFont="1" applyFill="1" applyAlignment="1" applyProtection="1">
      <alignment vertical="center" wrapText="1"/>
    </xf>
    <xf numFmtId="43" fontId="67" fillId="2" borderId="0" xfId="1" applyFont="1" applyFill="1" applyAlignment="1" applyProtection="1">
      <alignment vertical="center" wrapText="1"/>
    </xf>
    <xf numFmtId="43" fontId="67" fillId="6" borderId="0" xfId="1" applyFont="1" applyFill="1" applyAlignment="1" applyProtection="1">
      <alignment vertical="center" wrapText="1"/>
    </xf>
    <xf numFmtId="170" fontId="67" fillId="6" borderId="0" xfId="0" applyNumberFormat="1" applyFont="1" applyFill="1" applyAlignment="1" applyProtection="1">
      <alignment vertical="center" wrapText="1"/>
    </xf>
    <xf numFmtId="170" fontId="67" fillId="0" borderId="0" xfId="0" applyNumberFormat="1" applyFont="1" applyFill="1" applyAlignment="1" applyProtection="1">
      <alignment vertical="center" wrapText="1"/>
    </xf>
    <xf numFmtId="43" fontId="67" fillId="0" borderId="0" xfId="1" applyFont="1" applyFill="1" applyAlignment="1" applyProtection="1">
      <alignment vertical="center" wrapText="1"/>
    </xf>
    <xf numFmtId="0" fontId="67" fillId="0" borderId="0" xfId="0" applyFont="1" applyFill="1" applyAlignment="1" applyProtection="1">
      <alignment vertical="center" wrapText="1"/>
    </xf>
    <xf numFmtId="170" fontId="103" fillId="2" borderId="0" xfId="0" applyNumberFormat="1" applyFont="1" applyFill="1" applyAlignment="1" applyProtection="1">
      <alignment vertical="center" wrapText="1"/>
    </xf>
    <xf numFmtId="170" fontId="67" fillId="2" borderId="0" xfId="0" applyNumberFormat="1" applyFont="1" applyFill="1" applyBorder="1" applyAlignment="1" applyProtection="1">
      <alignment vertical="center" wrapText="1"/>
    </xf>
    <xf numFmtId="170" fontId="66" fillId="6" borderId="0" xfId="0" applyNumberFormat="1" applyFont="1" applyFill="1" applyAlignment="1" applyProtection="1">
      <alignment vertical="center" wrapText="1"/>
    </xf>
    <xf numFmtId="43" fontId="66" fillId="6" borderId="0" xfId="1" applyFont="1" applyFill="1" applyAlignment="1" applyProtection="1">
      <alignment vertical="center" wrapText="1"/>
    </xf>
    <xf numFmtId="0" fontId="66" fillId="2" borderId="0" xfId="0" applyFont="1" applyFill="1" applyAlignment="1" applyProtection="1">
      <alignment vertical="center" wrapText="1"/>
    </xf>
    <xf numFmtId="0" fontId="79" fillId="2" borderId="0" xfId="0" applyFont="1" applyFill="1" applyAlignment="1" applyProtection="1">
      <alignment horizontal="center" vertical="center" wrapText="1"/>
    </xf>
    <xf numFmtId="1" fontId="46" fillId="2" borderId="0" xfId="0" applyNumberFormat="1" applyFont="1" applyFill="1" applyAlignment="1" applyProtection="1">
      <alignment vertical="center" wrapText="1"/>
    </xf>
    <xf numFmtId="1" fontId="47" fillId="2" borderId="0" xfId="0" applyNumberFormat="1" applyFont="1" applyFill="1" applyAlignment="1" applyProtection="1">
      <alignment vertical="center" wrapText="1"/>
    </xf>
    <xf numFmtId="1" fontId="102" fillId="2" borderId="0" xfId="0" applyNumberFormat="1" applyFont="1" applyFill="1" applyAlignment="1" applyProtection="1">
      <alignment vertical="center" wrapText="1"/>
    </xf>
    <xf numFmtId="176" fontId="47" fillId="2" borderId="0" xfId="1" applyNumberFormat="1" applyFont="1" applyFill="1" applyAlignment="1" applyProtection="1">
      <alignment vertical="center" wrapText="1"/>
    </xf>
    <xf numFmtId="176" fontId="47" fillId="6" borderId="0" xfId="1" applyNumberFormat="1" applyFont="1" applyFill="1" applyAlignment="1" applyProtection="1">
      <alignment vertical="center" wrapText="1"/>
    </xf>
    <xf numFmtId="1" fontId="47" fillId="6" borderId="0" xfId="0" applyNumberFormat="1" applyFont="1" applyFill="1" applyAlignment="1" applyProtection="1">
      <alignment vertical="center" wrapText="1"/>
    </xf>
    <xf numFmtId="1" fontId="75" fillId="2" borderId="0" xfId="0" applyNumberFormat="1" applyFont="1" applyFill="1" applyAlignment="1" applyProtection="1">
      <alignment vertical="center" wrapText="1"/>
    </xf>
    <xf numFmtId="170" fontId="47" fillId="2" borderId="0" xfId="0" applyNumberFormat="1" applyFont="1" applyFill="1" applyAlignment="1" applyProtection="1">
      <alignment vertical="center" wrapText="1"/>
    </xf>
    <xf numFmtId="1" fontId="50" fillId="2" borderId="0" xfId="0" applyNumberFormat="1" applyFont="1" applyFill="1" applyBorder="1" applyAlignment="1" applyProtection="1">
      <alignment vertical="center" wrapText="1"/>
    </xf>
    <xf numFmtId="0" fontId="79" fillId="2" borderId="0" xfId="0" applyFont="1" applyFill="1" applyBorder="1" applyAlignment="1" applyProtection="1">
      <alignment horizontal="left" vertical="center" wrapText="1"/>
    </xf>
    <xf numFmtId="1" fontId="50" fillId="2" borderId="0" xfId="0" applyNumberFormat="1" applyFont="1" applyFill="1" applyBorder="1" applyAlignment="1" applyProtection="1">
      <alignment horizontal="center" vertical="center" wrapText="1"/>
    </xf>
    <xf numFmtId="173" fontId="50" fillId="2" borderId="0" xfId="0" applyNumberFormat="1" applyFont="1" applyFill="1" applyBorder="1" applyAlignment="1" applyProtection="1">
      <alignment horizontal="right" vertical="center" wrapText="1"/>
    </xf>
    <xf numFmtId="1" fontId="79" fillId="2" borderId="0" xfId="0" applyNumberFormat="1" applyFont="1" applyFill="1" applyAlignment="1" applyProtection="1">
      <alignment vertical="center" wrapText="1"/>
    </xf>
    <xf numFmtId="184" fontId="0" fillId="2" borderId="0" xfId="39" applyNumberFormat="1" applyFont="1" applyFill="1" applyAlignment="1" applyProtection="1">
      <alignment vertical="center" wrapText="1"/>
    </xf>
    <xf numFmtId="4" fontId="113" fillId="2" borderId="0" xfId="0" applyNumberFormat="1" applyFont="1" applyFill="1" applyAlignment="1" applyProtection="1">
      <alignment vertical="center" wrapText="1"/>
    </xf>
    <xf numFmtId="4" fontId="83" fillId="2" borderId="0" xfId="0" applyNumberFormat="1" applyFont="1" applyFill="1" applyAlignment="1" applyProtection="1">
      <alignment vertical="center" wrapText="1"/>
    </xf>
    <xf numFmtId="169" fontId="83" fillId="2" borderId="0" xfId="0" applyNumberFormat="1" applyFont="1" applyFill="1" applyAlignment="1" applyProtection="1">
      <alignment vertical="center" wrapText="1"/>
    </xf>
    <xf numFmtId="0" fontId="40" fillId="0" borderId="0" xfId="0" applyFont="1" applyFill="1" applyBorder="1" applyAlignment="1" applyProtection="1">
      <alignment vertical="center" wrapText="1"/>
      <protection locked="0"/>
    </xf>
    <xf numFmtId="0" fontId="0" fillId="2" borderId="0" xfId="0" applyFill="1" applyAlignment="1" applyProtection="1">
      <alignment horizontal="center" vertical="center" wrapText="1"/>
    </xf>
    <xf numFmtId="176" fontId="53" fillId="6" borderId="5" xfId="27" applyNumberFormat="1" applyFont="1" applyFill="1" applyBorder="1" applyAlignment="1" applyProtection="1">
      <alignment horizontal="center" vertical="center" wrapText="1"/>
      <protection locked="0"/>
    </xf>
    <xf numFmtId="175" fontId="56" fillId="6" borderId="5" xfId="27" applyNumberFormat="1" applyFont="1" applyFill="1" applyBorder="1" applyAlignment="1" applyProtection="1">
      <alignment horizontal="center" vertical="center" wrapText="1"/>
      <protection locked="0"/>
    </xf>
    <xf numFmtId="175" fontId="53" fillId="6" borderId="5" xfId="27" applyNumberFormat="1" applyFont="1" applyFill="1" applyBorder="1" applyAlignment="1" applyProtection="1">
      <alignment horizontal="center" vertical="center" wrapText="1"/>
      <protection locked="0"/>
    </xf>
    <xf numFmtId="3" fontId="48" fillId="0" borderId="70" xfId="0" applyNumberFormat="1" applyFont="1" applyFill="1" applyBorder="1" applyAlignment="1" applyProtection="1">
      <alignment horizontal="center" vertical="center" wrapText="1"/>
      <protection locked="0"/>
    </xf>
    <xf numFmtId="0" fontId="53" fillId="0" borderId="70" xfId="0" applyFont="1" applyFill="1" applyBorder="1" applyAlignment="1" applyProtection="1">
      <alignment horizontal="center" vertical="center" wrapText="1"/>
      <protection locked="0"/>
    </xf>
    <xf numFmtId="2" fontId="48" fillId="2" borderId="70" xfId="0" applyNumberFormat="1" applyFont="1" applyFill="1" applyBorder="1" applyAlignment="1" applyProtection="1">
      <alignment vertical="center" wrapText="1"/>
      <protection locked="0"/>
    </xf>
    <xf numFmtId="2" fontId="50" fillId="4" borderId="70" xfId="0" applyNumberFormat="1" applyFont="1" applyFill="1" applyBorder="1" applyAlignment="1" applyProtection="1">
      <alignment vertical="center" wrapText="1"/>
      <protection locked="0"/>
    </xf>
    <xf numFmtId="4" fontId="79" fillId="2" borderId="0" xfId="0" applyNumberFormat="1" applyFont="1" applyFill="1" applyAlignment="1" applyProtection="1">
      <alignment horizontal="center" vertical="center" wrapText="1"/>
    </xf>
    <xf numFmtId="166" fontId="79" fillId="2" borderId="0" xfId="0" applyNumberFormat="1" applyFont="1" applyFill="1" applyBorder="1" applyAlignment="1" applyProtection="1">
      <alignment vertical="center" wrapText="1"/>
    </xf>
    <xf numFmtId="0" fontId="79" fillId="2" borderId="0" xfId="0" applyFont="1" applyFill="1" applyBorder="1" applyAlignment="1" applyProtection="1">
      <alignment vertical="center" wrapText="1"/>
    </xf>
    <xf numFmtId="0" fontId="56" fillId="2" borderId="0" xfId="0" applyFont="1" applyFill="1" applyAlignment="1" applyProtection="1">
      <alignment vertical="center" wrapText="1"/>
    </xf>
    <xf numFmtId="0" fontId="53" fillId="6" borderId="5" xfId="0" applyFont="1" applyFill="1" applyBorder="1" applyAlignment="1" applyProtection="1">
      <alignment vertical="center" wrapText="1"/>
    </xf>
    <xf numFmtId="0" fontId="53" fillId="6" borderId="4" xfId="0" applyFont="1" applyFill="1" applyBorder="1" applyAlignment="1" applyProtection="1">
      <alignment vertical="center" wrapText="1"/>
    </xf>
    <xf numFmtId="0" fontId="53" fillId="6" borderId="1" xfId="0" applyFont="1" applyFill="1" applyBorder="1" applyAlignment="1" applyProtection="1">
      <alignment vertical="center" wrapText="1"/>
    </xf>
    <xf numFmtId="0" fontId="53" fillId="6" borderId="16" xfId="0" applyFont="1" applyFill="1" applyBorder="1" applyAlignment="1" applyProtection="1">
      <alignment vertical="center" wrapText="1"/>
    </xf>
    <xf numFmtId="0" fontId="53" fillId="6" borderId="17" xfId="0" applyFont="1" applyFill="1" applyBorder="1" applyAlignment="1" applyProtection="1">
      <alignment vertical="center" wrapText="1"/>
    </xf>
    <xf numFmtId="0" fontId="53" fillId="2" borderId="0" xfId="0" applyFont="1" applyFill="1" applyAlignment="1" applyProtection="1">
      <alignment vertical="center" wrapText="1"/>
    </xf>
    <xf numFmtId="0" fontId="53" fillId="0" borderId="0" xfId="0" applyFont="1" applyFill="1" applyBorder="1" applyAlignment="1" applyProtection="1">
      <alignment vertical="center" wrapText="1"/>
      <protection locked="0"/>
    </xf>
    <xf numFmtId="0" fontId="54" fillId="2" borderId="0" xfId="0" applyFont="1" applyFill="1" applyAlignment="1" applyProtection="1">
      <alignment horizontal="center" vertical="center" wrapText="1"/>
    </xf>
    <xf numFmtId="164" fontId="54" fillId="2" borderId="0" xfId="39" applyFont="1" applyFill="1" applyAlignment="1" applyProtection="1">
      <alignment horizontal="right" vertical="center" wrapText="1"/>
      <protection locked="0"/>
    </xf>
    <xf numFmtId="3" fontId="124" fillId="2" borderId="0" xfId="0" applyNumberFormat="1" applyFont="1" applyFill="1" applyAlignment="1" applyProtection="1">
      <alignment horizontal="center" vertical="center" wrapText="1"/>
    </xf>
    <xf numFmtId="166" fontId="52" fillId="2" borderId="0" xfId="0" applyNumberFormat="1" applyFont="1" applyFill="1" applyAlignment="1" applyProtection="1">
      <alignment horizontal="center" vertical="center" wrapText="1"/>
    </xf>
    <xf numFmtId="0" fontId="5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0" fontId="74" fillId="2" borderId="0" xfId="0" applyFont="1" applyFill="1" applyAlignment="1" applyProtection="1">
      <alignment horizontal="center" vertical="center" wrapText="1"/>
    </xf>
    <xf numFmtId="0" fontId="52" fillId="6" borderId="0" xfId="0" applyFont="1" applyFill="1" applyAlignment="1" applyProtection="1">
      <alignment horizontal="center" vertical="center" wrapText="1"/>
    </xf>
    <xf numFmtId="0" fontId="74" fillId="6" borderId="0" xfId="0" applyFont="1" applyFill="1" applyAlignment="1" applyProtection="1">
      <alignment horizontal="center" vertical="center" wrapText="1"/>
    </xf>
    <xf numFmtId="0" fontId="54" fillId="6" borderId="0" xfId="0" applyFont="1" applyFill="1" applyAlignment="1" applyProtection="1">
      <alignment horizontal="center" vertical="center" wrapText="1"/>
    </xf>
    <xf numFmtId="0" fontId="55" fillId="6" borderId="0" xfId="0" applyFont="1" applyFill="1" applyAlignment="1" applyProtection="1">
      <alignment horizontal="center" vertical="center" wrapText="1"/>
    </xf>
    <xf numFmtId="0" fontId="54" fillId="7" borderId="0" xfId="0" applyFont="1" applyFill="1" applyAlignment="1" applyProtection="1">
      <alignment horizontal="center" vertical="center" wrapText="1"/>
    </xf>
    <xf numFmtId="0" fontId="11" fillId="2" borderId="70" xfId="0" applyFont="1" applyFill="1" applyBorder="1" applyAlignment="1" applyProtection="1">
      <alignment horizontal="center" vertical="center" wrapText="1"/>
    </xf>
    <xf numFmtId="0" fontId="27" fillId="2" borderId="70" xfId="0" applyFont="1" applyFill="1" applyBorder="1" applyAlignment="1" applyProtection="1">
      <alignment horizontal="center" vertical="center" wrapText="1"/>
    </xf>
    <xf numFmtId="0" fontId="11" fillId="2" borderId="70" xfId="0" applyFont="1" applyFill="1" applyBorder="1" applyAlignment="1" applyProtection="1">
      <alignment horizontal="left" vertical="center" wrapText="1"/>
    </xf>
    <xf numFmtId="0" fontId="11" fillId="2" borderId="70" xfId="0" applyFont="1" applyFill="1" applyBorder="1" applyAlignment="1" applyProtection="1">
      <alignment horizontal="right" vertical="center" wrapText="1"/>
    </xf>
    <xf numFmtId="0" fontId="11" fillId="2" borderId="70" xfId="0" applyFont="1" applyFill="1" applyBorder="1" applyAlignment="1" applyProtection="1">
      <alignment vertical="center" wrapText="1"/>
    </xf>
    <xf numFmtId="0" fontId="11" fillId="2" borderId="70" xfId="0" applyFont="1" applyFill="1" applyBorder="1" applyAlignment="1" applyProtection="1">
      <alignment horizontal="right" vertical="center"/>
    </xf>
    <xf numFmtId="164" fontId="11" fillId="2" borderId="70" xfId="39" applyFont="1" applyFill="1" applyBorder="1" applyAlignment="1" applyProtection="1">
      <alignment horizontal="right" vertical="center" wrapText="1"/>
    </xf>
    <xf numFmtId="186" fontId="11" fillId="2" borderId="70" xfId="39" applyNumberFormat="1" applyFont="1" applyFill="1" applyBorder="1" applyAlignment="1" applyProtection="1">
      <alignment horizontal="right" vertical="center" wrapText="1"/>
    </xf>
    <xf numFmtId="184" fontId="11" fillId="2" borderId="70" xfId="39" applyNumberFormat="1" applyFont="1" applyFill="1" applyBorder="1" applyAlignment="1" applyProtection="1">
      <alignment horizontal="right" vertical="center" wrapText="1"/>
    </xf>
    <xf numFmtId="164" fontId="11" fillId="2" borderId="70" xfId="39" applyFont="1" applyFill="1" applyBorder="1" applyAlignment="1" applyProtection="1">
      <alignment horizontal="right" vertical="center"/>
    </xf>
    <xf numFmtId="184" fontId="11" fillId="2" borderId="70" xfId="39" applyNumberFormat="1" applyFont="1" applyFill="1" applyBorder="1" applyAlignment="1" applyProtection="1">
      <alignment horizontal="right" vertical="center"/>
    </xf>
    <xf numFmtId="0" fontId="11" fillId="2" borderId="70" xfId="0" quotePrefix="1" applyFont="1" applyFill="1" applyBorder="1" applyAlignment="1" applyProtection="1">
      <alignment horizontal="left" vertical="center" wrapText="1"/>
    </xf>
    <xf numFmtId="0" fontId="0" fillId="2" borderId="70" xfId="0" applyFill="1" applyBorder="1" applyProtection="1"/>
    <xf numFmtId="164" fontId="11" fillId="2" borderId="70" xfId="39" applyNumberFormat="1" applyFont="1" applyFill="1" applyBorder="1" applyAlignment="1" applyProtection="1">
      <alignment horizontal="right" vertical="center"/>
    </xf>
    <xf numFmtId="0" fontId="0" fillId="2" borderId="71" xfId="0" applyFill="1" applyBorder="1" applyProtection="1"/>
    <xf numFmtId="164" fontId="11" fillId="2" borderId="70" xfId="39" applyNumberFormat="1" applyFont="1" applyFill="1" applyBorder="1" applyAlignment="1" applyProtection="1">
      <alignment horizontal="right" vertical="center" wrapText="1"/>
    </xf>
    <xf numFmtId="3" fontId="11" fillId="2" borderId="70" xfId="0" applyNumberFormat="1" applyFont="1" applyFill="1" applyBorder="1" applyAlignment="1" applyProtection="1">
      <alignment horizontal="right" vertical="center" wrapText="1"/>
    </xf>
    <xf numFmtId="173" fontId="11" fillId="2" borderId="70" xfId="0" applyNumberFormat="1" applyFont="1" applyFill="1" applyBorder="1" applyAlignment="1" applyProtection="1">
      <alignment horizontal="right" vertical="center" wrapText="1"/>
    </xf>
    <xf numFmtId="0" fontId="27" fillId="2" borderId="70" xfId="0" quotePrefix="1" applyFont="1" applyFill="1" applyBorder="1" applyAlignment="1" applyProtection="1">
      <alignment horizontal="left" vertical="center" wrapText="1"/>
    </xf>
    <xf numFmtId="184" fontId="27" fillId="2" borderId="70" xfId="39" applyNumberFormat="1" applyFont="1" applyFill="1" applyBorder="1" applyAlignment="1" applyProtection="1">
      <alignment horizontal="right" vertical="center" wrapText="1"/>
    </xf>
    <xf numFmtId="0" fontId="27" fillId="2" borderId="70" xfId="0" applyFont="1" applyFill="1" applyBorder="1" applyAlignment="1" applyProtection="1">
      <alignment horizontal="right" vertical="center" wrapText="1"/>
    </xf>
    <xf numFmtId="184" fontId="27" fillId="2" borderId="70" xfId="39" applyNumberFormat="1" applyFont="1" applyFill="1" applyBorder="1" applyAlignment="1" applyProtection="1">
      <alignment horizontal="right" vertical="center"/>
    </xf>
    <xf numFmtId="0" fontId="27" fillId="2" borderId="64" xfId="0" applyFont="1" applyFill="1" applyBorder="1" applyAlignment="1" applyProtection="1">
      <alignment horizontal="center" vertical="center" wrapText="1"/>
    </xf>
    <xf numFmtId="0" fontId="119" fillId="2" borderId="0" xfId="0" applyFont="1" applyFill="1" applyProtection="1"/>
    <xf numFmtId="0" fontId="27" fillId="2" borderId="64" xfId="0" applyFont="1" applyFill="1" applyBorder="1" applyAlignment="1" applyProtection="1">
      <alignment horizontal="center" vertical="center"/>
    </xf>
    <xf numFmtId="176" fontId="54" fillId="0" borderId="0" xfId="1" applyNumberFormat="1" applyFont="1" applyFill="1" applyAlignment="1" applyProtection="1">
      <alignment vertical="center" wrapText="1"/>
      <protection locked="0"/>
    </xf>
    <xf numFmtId="0" fontId="27" fillId="2" borderId="70" xfId="0" applyFont="1" applyFill="1" applyBorder="1" applyAlignment="1" applyProtection="1">
      <alignment horizontal="left" vertical="center" wrapText="1"/>
    </xf>
    <xf numFmtId="0" fontId="27" fillId="2" borderId="70" xfId="0" applyFont="1" applyFill="1" applyBorder="1" applyAlignment="1" applyProtection="1">
      <alignment horizontal="right" vertical="center"/>
    </xf>
    <xf numFmtId="0" fontId="119" fillId="2" borderId="70" xfId="0" applyFont="1" applyFill="1" applyBorder="1" applyProtection="1"/>
    <xf numFmtId="0" fontId="0" fillId="2" borderId="70" xfId="0" applyFont="1" applyFill="1" applyBorder="1" applyProtection="1"/>
    <xf numFmtId="184" fontId="11" fillId="2" borderId="70" xfId="0" applyNumberFormat="1" applyFont="1" applyFill="1" applyBorder="1" applyAlignment="1" applyProtection="1">
      <alignment horizontal="right" vertical="center"/>
    </xf>
    <xf numFmtId="184" fontId="119" fillId="2" borderId="0" xfId="39" applyNumberFormat="1" applyFont="1" applyFill="1" applyProtection="1"/>
    <xf numFmtId="1" fontId="11" fillId="2" borderId="70" xfId="0" applyNumberFormat="1" applyFont="1" applyFill="1" applyBorder="1" applyAlignment="1" applyProtection="1">
      <alignment horizontal="right" vertical="center" wrapText="1"/>
    </xf>
    <xf numFmtId="186" fontId="11" fillId="2" borderId="70" xfId="0" applyNumberFormat="1" applyFont="1" applyFill="1" applyBorder="1" applyAlignment="1" applyProtection="1">
      <alignment horizontal="right" vertical="center"/>
    </xf>
    <xf numFmtId="164" fontId="11" fillId="2" borderId="70" xfId="0" applyNumberFormat="1" applyFont="1" applyFill="1" applyBorder="1" applyAlignment="1" applyProtection="1">
      <alignment horizontal="right" vertical="center"/>
    </xf>
    <xf numFmtId="164" fontId="27" fillId="2" borderId="70" xfId="0" applyNumberFormat="1" applyFont="1" applyFill="1" applyBorder="1" applyAlignment="1" applyProtection="1">
      <alignment horizontal="right" vertical="center"/>
    </xf>
    <xf numFmtId="169" fontId="11" fillId="2" borderId="70" xfId="0" applyNumberFormat="1" applyFont="1" applyFill="1" applyBorder="1" applyAlignment="1" applyProtection="1">
      <alignment horizontal="right" vertical="center" wrapText="1"/>
    </xf>
    <xf numFmtId="186" fontId="11" fillId="2" borderId="70" xfId="0" applyNumberFormat="1" applyFont="1" applyFill="1" applyBorder="1" applyAlignment="1" applyProtection="1">
      <alignment horizontal="right" vertical="center" wrapText="1"/>
    </xf>
    <xf numFmtId="169" fontId="27" fillId="2" borderId="70" xfId="0" applyNumberFormat="1" applyFont="1" applyFill="1" applyBorder="1" applyAlignment="1" applyProtection="1">
      <alignment horizontal="right" vertical="center" wrapText="1"/>
    </xf>
    <xf numFmtId="184" fontId="27" fillId="2" borderId="70" xfId="0" applyNumberFormat="1" applyFont="1" applyFill="1" applyBorder="1" applyAlignment="1" applyProtection="1">
      <alignment horizontal="right" vertical="center"/>
    </xf>
    <xf numFmtId="1" fontId="11" fillId="2" borderId="70" xfId="0" applyNumberFormat="1" applyFont="1" applyFill="1" applyBorder="1" applyAlignment="1" applyProtection="1">
      <alignment horizontal="right" vertical="center"/>
    </xf>
    <xf numFmtId="164" fontId="11" fillId="2" borderId="70" xfId="0" applyNumberFormat="1" applyFont="1" applyFill="1" applyBorder="1" applyAlignment="1" applyProtection="1">
      <alignment horizontal="right" vertical="center" wrapText="1"/>
    </xf>
    <xf numFmtId="3" fontId="55" fillId="2" borderId="0" xfId="0" applyNumberFormat="1" applyFont="1" applyFill="1" applyAlignment="1" applyProtection="1">
      <alignment vertical="center" wrapText="1"/>
    </xf>
    <xf numFmtId="176" fontId="106" fillId="2" borderId="0" xfId="1" applyNumberFormat="1" applyFont="1" applyFill="1" applyAlignment="1" applyProtection="1">
      <alignment horizontal="center" vertical="center" wrapText="1"/>
    </xf>
    <xf numFmtId="43" fontId="73" fillId="2" borderId="0" xfId="1" applyNumberFormat="1" applyFont="1" applyFill="1" applyAlignment="1" applyProtection="1">
      <alignment horizontal="center" vertical="center" wrapText="1"/>
    </xf>
    <xf numFmtId="184" fontId="0" fillId="2" borderId="0" xfId="39" applyNumberFormat="1" applyFont="1" applyFill="1" applyProtection="1"/>
    <xf numFmtId="4" fontId="0" fillId="2" borderId="0" xfId="0" applyNumberFormat="1" applyFill="1" applyProtection="1"/>
    <xf numFmtId="0" fontId="3" fillId="2" borderId="0" xfId="0" applyFont="1" applyFill="1" applyAlignment="1" applyProtection="1">
      <alignment horizontal="center" vertical="center" wrapText="1"/>
    </xf>
    <xf numFmtId="0" fontId="3" fillId="2" borderId="0" xfId="0" applyFont="1" applyFill="1" applyBorder="1" applyAlignment="1" applyProtection="1">
      <alignment vertical="center" wrapText="1"/>
    </xf>
    <xf numFmtId="0" fontId="80" fillId="2" borderId="0" xfId="0" applyFont="1" applyFill="1" applyAlignment="1" applyProtection="1">
      <alignment vertical="center" wrapText="1"/>
    </xf>
    <xf numFmtId="170" fontId="54" fillId="2" borderId="0" xfId="0" applyNumberFormat="1" applyFont="1" applyFill="1" applyBorder="1" applyAlignment="1" applyProtection="1">
      <alignment vertical="center" wrapText="1"/>
      <protection locked="0"/>
    </xf>
    <xf numFmtId="43" fontId="103" fillId="2" borderId="0" xfId="1" applyFont="1" applyFill="1" applyAlignment="1" applyProtection="1">
      <alignment vertical="center" wrapText="1"/>
    </xf>
    <xf numFmtId="43" fontId="73" fillId="2" borderId="0" xfId="1" applyFont="1" applyFill="1" applyAlignment="1" applyProtection="1">
      <alignment horizontal="center" vertical="center" wrapText="1"/>
    </xf>
    <xf numFmtId="176" fontId="73" fillId="2" borderId="0" xfId="1" applyNumberFormat="1" applyFont="1" applyFill="1" applyAlignment="1" applyProtection="1">
      <alignment horizontal="center" vertical="center" wrapText="1"/>
    </xf>
    <xf numFmtId="0" fontId="54" fillId="10" borderId="0" xfId="0" applyFont="1" applyFill="1" applyAlignment="1" applyProtection="1">
      <alignment vertical="center" wrapText="1"/>
      <protection locked="0"/>
    </xf>
    <xf numFmtId="0" fontId="11" fillId="10" borderId="0" xfId="0" applyFont="1" applyFill="1" applyAlignment="1" applyProtection="1">
      <alignment vertical="center" wrapText="1"/>
      <protection locked="0"/>
    </xf>
    <xf numFmtId="0" fontId="11" fillId="10" borderId="0" xfId="0" applyFont="1" applyFill="1" applyAlignment="1" applyProtection="1">
      <alignment horizontal="center" vertical="center" wrapText="1"/>
      <protection locked="0"/>
    </xf>
    <xf numFmtId="0" fontId="54" fillId="10" borderId="0" xfId="0" quotePrefix="1" applyFont="1" applyFill="1" applyBorder="1" applyAlignment="1">
      <alignment horizontal="center" vertical="center" wrapText="1"/>
    </xf>
    <xf numFmtId="0" fontId="54" fillId="10" borderId="0" xfId="0" applyNumberFormat="1" applyFont="1" applyFill="1" applyBorder="1" applyAlignment="1">
      <alignment horizontal="left" vertical="center" wrapText="1"/>
    </xf>
    <xf numFmtId="0" fontId="11" fillId="10" borderId="0" xfId="0" applyFont="1" applyFill="1" applyBorder="1" applyAlignment="1" applyProtection="1">
      <alignment vertical="center" wrapText="1"/>
      <protection locked="0"/>
    </xf>
    <xf numFmtId="0" fontId="54" fillId="3" borderId="0" xfId="0" applyFont="1" applyFill="1" applyAlignment="1" applyProtection="1">
      <alignment vertical="center" wrapText="1"/>
      <protection locked="0"/>
    </xf>
    <xf numFmtId="3" fontId="54" fillId="3" borderId="0" xfId="0" applyNumberFormat="1" applyFont="1" applyFill="1" applyAlignment="1" applyProtection="1">
      <alignment horizontal="center" vertical="center" wrapText="1"/>
      <protection locked="0"/>
    </xf>
    <xf numFmtId="0" fontId="54" fillId="9" borderId="0" xfId="0" quotePrefix="1" applyFont="1" applyFill="1" applyBorder="1" applyAlignment="1">
      <alignment horizontal="center" vertical="center" wrapText="1"/>
    </xf>
    <xf numFmtId="0" fontId="54" fillId="9" borderId="0" xfId="0" applyNumberFormat="1" applyFont="1" applyFill="1" applyBorder="1" applyAlignment="1">
      <alignment horizontal="left" vertical="center" wrapText="1"/>
    </xf>
    <xf numFmtId="0" fontId="54" fillId="3" borderId="0" xfId="0" applyFont="1" applyFill="1" applyBorder="1" applyAlignment="1" applyProtection="1">
      <alignment vertical="center" wrapText="1"/>
      <protection locked="0"/>
    </xf>
    <xf numFmtId="0" fontId="54" fillId="11" borderId="0" xfId="0" applyFont="1" applyFill="1" applyAlignment="1" applyProtection="1">
      <alignment vertical="center" wrapText="1"/>
      <protection locked="0"/>
    </xf>
    <xf numFmtId="0" fontId="47" fillId="11" borderId="0" xfId="0" applyFont="1" applyFill="1" applyAlignment="1" applyProtection="1">
      <alignment vertical="center" wrapText="1"/>
    </xf>
    <xf numFmtId="0" fontId="47" fillId="11" borderId="0" xfId="0" applyFont="1" applyFill="1" applyAlignment="1" applyProtection="1">
      <alignment horizontal="center" vertical="center" wrapText="1"/>
    </xf>
    <xf numFmtId="0" fontId="54" fillId="11" borderId="0" xfId="0" quotePrefix="1" applyFont="1" applyFill="1" applyBorder="1" applyAlignment="1">
      <alignment horizontal="center" vertical="center" wrapText="1"/>
    </xf>
    <xf numFmtId="0" fontId="54" fillId="11" borderId="0" xfId="0" applyNumberFormat="1" applyFont="1" applyFill="1" applyBorder="1" applyAlignment="1">
      <alignment horizontal="left" vertical="center" wrapText="1"/>
    </xf>
    <xf numFmtId="0" fontId="47" fillId="11" borderId="0" xfId="0" applyFont="1" applyFill="1" applyBorder="1" applyAlignment="1" applyProtection="1">
      <alignment vertical="center" wrapText="1"/>
    </xf>
    <xf numFmtId="167" fontId="57" fillId="2" borderId="1" xfId="0" applyNumberFormat="1" applyFont="1" applyFill="1" applyBorder="1" applyAlignment="1" applyProtection="1">
      <alignment horizontal="center" vertical="center" wrapText="1"/>
      <protection locked="0"/>
    </xf>
    <xf numFmtId="167" fontId="53" fillId="2" borderId="1" xfId="0" applyNumberFormat="1" applyFont="1" applyFill="1" applyBorder="1" applyAlignment="1" applyProtection="1">
      <alignment horizontal="center" vertical="center" wrapText="1"/>
      <protection locked="0"/>
    </xf>
    <xf numFmtId="167" fontId="56" fillId="2" borderId="1" xfId="0" applyNumberFormat="1" applyFont="1" applyFill="1" applyBorder="1" applyAlignment="1" applyProtection="1">
      <alignment horizontal="center" vertical="center" wrapText="1"/>
      <protection locked="0"/>
    </xf>
    <xf numFmtId="170" fontId="53" fillId="0" borderId="33" xfId="0" applyNumberFormat="1" applyFont="1" applyFill="1" applyBorder="1" applyAlignment="1" applyProtection="1">
      <alignment horizontal="right" vertical="center" wrapText="1"/>
      <protection locked="0"/>
    </xf>
    <xf numFmtId="0" fontId="53" fillId="2" borderId="1" xfId="0" applyFont="1" applyFill="1" applyBorder="1" applyAlignment="1" applyProtection="1">
      <alignment horizontal="left" vertical="center" wrapText="1"/>
      <protection locked="0"/>
    </xf>
    <xf numFmtId="0" fontId="67" fillId="0" borderId="0" xfId="0" applyFont="1" applyFill="1" applyAlignment="1" applyProtection="1">
      <alignment horizontal="center" vertical="center" wrapText="1"/>
    </xf>
    <xf numFmtId="176" fontId="67" fillId="2" borderId="0" xfId="1" applyNumberFormat="1" applyFont="1" applyFill="1" applyAlignment="1" applyProtection="1">
      <alignment vertical="center" wrapText="1"/>
    </xf>
    <xf numFmtId="0" fontId="67" fillId="2" borderId="0" xfId="0" applyFont="1" applyFill="1" applyAlignment="1" applyProtection="1">
      <alignment horizontal="center" vertical="center" wrapText="1"/>
    </xf>
    <xf numFmtId="166" fontId="67" fillId="4" borderId="0" xfId="0" applyNumberFormat="1" applyFont="1" applyFill="1" applyAlignment="1" applyProtection="1">
      <alignment vertical="center" wrapText="1"/>
    </xf>
    <xf numFmtId="0" fontId="67" fillId="4" borderId="0" xfId="0" applyFont="1" applyFill="1" applyAlignment="1" applyProtection="1">
      <alignment vertical="center" wrapText="1"/>
    </xf>
    <xf numFmtId="43" fontId="67" fillId="7" borderId="0" xfId="1" applyFont="1" applyFill="1" applyAlignment="1" applyProtection="1">
      <alignment vertical="center" wrapText="1"/>
    </xf>
    <xf numFmtId="169" fontId="3" fillId="2" borderId="0" xfId="0" applyNumberFormat="1" applyFont="1" applyFill="1" applyAlignment="1" applyProtection="1">
      <alignment horizontal="center" vertical="center" wrapText="1"/>
    </xf>
    <xf numFmtId="169" fontId="27" fillId="2" borderId="0" xfId="0" applyNumberFormat="1" applyFont="1" applyFill="1" applyAlignment="1" applyProtection="1">
      <alignment horizontal="right" vertical="center" wrapText="1"/>
    </xf>
    <xf numFmtId="166" fontId="125" fillId="2" borderId="0" xfId="0" applyNumberFormat="1" applyFont="1" applyFill="1" applyAlignment="1" applyProtection="1">
      <alignment horizontal="right" vertical="center" wrapText="1"/>
      <protection locked="0"/>
    </xf>
    <xf numFmtId="170" fontId="125" fillId="2" borderId="0" xfId="0" applyNumberFormat="1" applyFont="1" applyFill="1" applyAlignment="1" applyProtection="1">
      <alignment horizontal="right" vertical="center" wrapText="1"/>
      <protection locked="0"/>
    </xf>
    <xf numFmtId="171" fontId="125" fillId="2" borderId="0" xfId="0" applyNumberFormat="1" applyFont="1" applyFill="1" applyAlignment="1" applyProtection="1">
      <alignment horizontal="right" vertical="center" wrapText="1"/>
      <protection locked="0"/>
    </xf>
    <xf numFmtId="170" fontId="125" fillId="2" borderId="0" xfId="0" applyNumberFormat="1" applyFont="1" applyFill="1" applyAlignment="1" applyProtection="1">
      <alignment horizontal="center" vertical="center" wrapText="1"/>
      <protection locked="0"/>
    </xf>
    <xf numFmtId="166" fontId="129" fillId="2" borderId="0" xfId="0" applyNumberFormat="1" applyFont="1" applyFill="1" applyAlignment="1" applyProtection="1">
      <alignment horizontal="right" vertical="center" wrapText="1"/>
      <protection locked="0"/>
    </xf>
    <xf numFmtId="170" fontId="125" fillId="10" borderId="0" xfId="0" applyNumberFormat="1" applyFont="1" applyFill="1" applyAlignment="1" applyProtection="1">
      <alignment horizontal="right" vertical="center" wrapText="1"/>
      <protection locked="0"/>
    </xf>
    <xf numFmtId="166" fontId="125" fillId="11" borderId="0" xfId="0" applyNumberFormat="1" applyFont="1" applyFill="1" applyAlignment="1" applyProtection="1">
      <alignment horizontal="right" vertical="center" wrapText="1"/>
      <protection locked="0"/>
    </xf>
    <xf numFmtId="166" fontId="125" fillId="4" borderId="0" xfId="0" applyNumberFormat="1" applyFont="1" applyFill="1" applyAlignment="1" applyProtection="1">
      <alignment horizontal="right" vertical="center" wrapText="1"/>
      <protection locked="0"/>
    </xf>
    <xf numFmtId="166" fontId="125" fillId="3" borderId="0" xfId="0" applyNumberFormat="1" applyFont="1" applyFill="1" applyAlignment="1" applyProtection="1">
      <alignment horizontal="right" vertical="center" wrapText="1"/>
      <protection locked="0"/>
    </xf>
    <xf numFmtId="166" fontId="130" fillId="2" borderId="0" xfId="0" applyNumberFormat="1" applyFont="1" applyFill="1" applyAlignment="1" applyProtection="1">
      <alignment horizontal="right" vertical="center" wrapText="1"/>
      <protection locked="0"/>
    </xf>
    <xf numFmtId="166" fontId="126" fillId="6" borderId="0" xfId="0" applyNumberFormat="1" applyFont="1" applyFill="1" applyAlignment="1" applyProtection="1">
      <alignment horizontal="right" vertical="center" wrapText="1"/>
      <protection locked="0"/>
    </xf>
    <xf numFmtId="166" fontId="126" fillId="7" borderId="0" xfId="0" applyNumberFormat="1" applyFont="1" applyFill="1" applyAlignment="1" applyProtection="1">
      <alignment horizontal="right" vertical="center" wrapText="1"/>
      <protection locked="0"/>
    </xf>
    <xf numFmtId="43" fontId="67" fillId="4" borderId="0" xfId="1" applyFont="1" applyFill="1" applyAlignment="1" applyProtection="1">
      <alignment vertical="center" wrapText="1"/>
    </xf>
    <xf numFmtId="1" fontId="125" fillId="2" borderId="0" xfId="0" applyNumberFormat="1" applyFont="1" applyFill="1" applyAlignment="1" applyProtection="1">
      <alignment horizontal="right" vertical="center" wrapText="1"/>
    </xf>
    <xf numFmtId="1" fontId="128" fillId="2" borderId="0" xfId="0" applyNumberFormat="1" applyFont="1" applyFill="1" applyAlignment="1" applyProtection="1">
      <alignment vertical="center" wrapText="1"/>
    </xf>
    <xf numFmtId="1" fontId="132" fillId="2" borderId="0" xfId="0" applyNumberFormat="1" applyFont="1" applyFill="1" applyAlignment="1" applyProtection="1">
      <alignment vertical="center" wrapText="1"/>
    </xf>
    <xf numFmtId="1" fontId="132" fillId="2" borderId="0" xfId="0" applyNumberFormat="1" applyFont="1" applyFill="1" applyAlignment="1" applyProtection="1">
      <alignment vertical="center" wrapText="1"/>
      <protection locked="0"/>
    </xf>
    <xf numFmtId="1" fontId="125" fillId="2" borderId="0" xfId="0" applyNumberFormat="1" applyFont="1" applyFill="1" applyAlignment="1" applyProtection="1">
      <alignment horizontal="center" vertical="center" wrapText="1"/>
      <protection locked="0"/>
    </xf>
    <xf numFmtId="1" fontId="128" fillId="2" borderId="0" xfId="0" applyNumberFormat="1" applyFont="1" applyFill="1" applyAlignment="1" applyProtection="1">
      <alignment vertical="center" wrapText="1"/>
      <protection locked="0"/>
    </xf>
    <xf numFmtId="1" fontId="125" fillId="2" borderId="0" xfId="0" applyNumberFormat="1" applyFont="1" applyFill="1" applyAlignment="1" applyProtection="1">
      <alignment horizontal="right" vertical="center" wrapText="1"/>
      <protection locked="0"/>
    </xf>
    <xf numFmtId="167" fontId="127" fillId="2" borderId="0" xfId="0" applyNumberFormat="1" applyFont="1" applyFill="1" applyAlignment="1" applyProtection="1">
      <alignment horizontal="right" vertical="center" wrapText="1"/>
      <protection locked="0"/>
    </xf>
    <xf numFmtId="1" fontId="130" fillId="2" borderId="0" xfId="0" applyNumberFormat="1" applyFont="1" applyFill="1" applyAlignment="1" applyProtection="1">
      <alignment horizontal="right" vertical="center" wrapText="1"/>
      <protection locked="0"/>
    </xf>
    <xf numFmtId="43" fontId="50" fillId="2" borderId="27" xfId="27" applyFont="1" applyFill="1" applyBorder="1" applyAlignment="1" applyProtection="1">
      <alignment horizontal="right" vertical="center" wrapText="1"/>
      <protection locked="0"/>
    </xf>
    <xf numFmtId="167" fontId="126" fillId="2" borderId="0" xfId="0" applyNumberFormat="1" applyFont="1" applyFill="1" applyAlignment="1" applyProtection="1">
      <alignment horizontal="center" vertical="center" wrapText="1"/>
      <protection locked="0"/>
    </xf>
    <xf numFmtId="2" fontId="127" fillId="2" borderId="0" xfId="0" applyNumberFormat="1" applyFont="1" applyFill="1" applyBorder="1" applyAlignment="1" applyProtection="1">
      <alignment vertical="center" wrapText="1"/>
    </xf>
    <xf numFmtId="176" fontId="129" fillId="2" borderId="0" xfId="1" applyNumberFormat="1" applyFont="1" applyFill="1" applyAlignment="1" applyProtection="1">
      <alignment vertical="center" wrapText="1"/>
      <protection locked="0"/>
    </xf>
    <xf numFmtId="176" fontId="125" fillId="2" borderId="0" xfId="1" applyNumberFormat="1" applyFont="1" applyFill="1" applyAlignment="1" applyProtection="1">
      <alignment vertical="center" wrapText="1"/>
      <protection locked="0"/>
    </xf>
    <xf numFmtId="164" fontId="125" fillId="2" borderId="0" xfId="39" applyFont="1" applyFill="1" applyAlignment="1" applyProtection="1">
      <alignment vertical="center" wrapText="1"/>
      <protection locked="0"/>
    </xf>
    <xf numFmtId="171" fontId="125" fillId="0" borderId="0" xfId="0" applyNumberFormat="1" applyFont="1" applyFill="1" applyAlignment="1" applyProtection="1">
      <alignment horizontal="right" vertical="center" wrapText="1"/>
      <protection locked="0"/>
    </xf>
    <xf numFmtId="166" fontId="125" fillId="6" borderId="0" xfId="0" applyNumberFormat="1" applyFont="1" applyFill="1" applyAlignment="1" applyProtection="1">
      <alignment horizontal="right" vertical="center" wrapText="1"/>
      <protection locked="0"/>
    </xf>
    <xf numFmtId="171" fontId="125" fillId="4" borderId="0" xfId="0" applyNumberFormat="1" applyFont="1" applyFill="1" applyAlignment="1" applyProtection="1">
      <alignment horizontal="right" vertical="center" wrapText="1"/>
      <protection locked="0"/>
    </xf>
    <xf numFmtId="171" fontId="125" fillId="6" borderId="0" xfId="0" applyNumberFormat="1" applyFont="1" applyFill="1" applyAlignment="1" applyProtection="1">
      <alignment horizontal="right" vertical="center" wrapText="1"/>
      <protection locked="0"/>
    </xf>
    <xf numFmtId="166" fontId="131" fillId="6" borderId="0" xfId="0" applyNumberFormat="1" applyFont="1" applyFill="1" applyAlignment="1" applyProtection="1">
      <alignment horizontal="right" vertical="center" wrapText="1"/>
      <protection locked="0"/>
    </xf>
    <xf numFmtId="171" fontId="126" fillId="6" borderId="0" xfId="0" applyNumberFormat="1" applyFont="1" applyFill="1" applyAlignment="1" applyProtection="1">
      <alignment horizontal="right" vertical="center" wrapText="1"/>
      <protection locked="0"/>
    </xf>
    <xf numFmtId="171" fontId="125" fillId="7" borderId="0" xfId="0" applyNumberFormat="1" applyFont="1" applyFill="1" applyAlignment="1" applyProtection="1">
      <alignment horizontal="right" vertical="center" wrapText="1"/>
      <protection locked="0"/>
    </xf>
    <xf numFmtId="186" fontId="54" fillId="2" borderId="0" xfId="39" applyNumberFormat="1" applyFont="1" applyFill="1" applyAlignment="1" applyProtection="1">
      <alignment vertical="center" wrapText="1"/>
      <protection locked="0"/>
    </xf>
    <xf numFmtId="171" fontId="51" fillId="2" borderId="0" xfId="0" applyNumberFormat="1" applyFont="1" applyFill="1" applyBorder="1" applyAlignment="1" applyProtection="1">
      <alignment horizontal="center" vertical="center" wrapText="1"/>
      <protection locked="0"/>
    </xf>
    <xf numFmtId="0" fontId="16"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2" borderId="0" xfId="0" applyFont="1" applyFill="1" applyAlignment="1" applyProtection="1">
      <alignment horizontal="center" vertical="center" wrapText="1"/>
    </xf>
    <xf numFmtId="0" fontId="53" fillId="2" borderId="0" xfId="0" applyFont="1" applyFill="1" applyAlignment="1" applyProtection="1">
      <alignment horizontal="left" vertical="center" wrapText="1"/>
      <protection locked="0"/>
    </xf>
    <xf numFmtId="0" fontId="68" fillId="2" borderId="0" xfId="0" applyFont="1" applyFill="1" applyAlignment="1" applyProtection="1">
      <alignment vertical="center" wrapText="1"/>
      <protection locked="0"/>
    </xf>
    <xf numFmtId="0" fontId="122" fillId="2" borderId="0" xfId="0" applyFont="1" applyFill="1" applyAlignment="1" applyProtection="1">
      <alignment horizontal="center" vertical="center" wrapText="1"/>
      <protection locked="0"/>
    </xf>
    <xf numFmtId="166" fontId="133" fillId="2" borderId="0" xfId="0" applyNumberFormat="1" applyFont="1" applyFill="1" applyAlignment="1" applyProtection="1">
      <alignment vertical="center" wrapText="1"/>
      <protection locked="0"/>
    </xf>
    <xf numFmtId="166" fontId="134" fillId="2" borderId="0" xfId="0" applyNumberFormat="1" applyFont="1" applyFill="1" applyAlignment="1" applyProtection="1">
      <alignment vertical="center" wrapText="1"/>
      <protection locked="0"/>
    </xf>
    <xf numFmtId="166" fontId="135" fillId="2" borderId="0" xfId="0" applyNumberFormat="1" applyFont="1" applyFill="1" applyAlignment="1" applyProtection="1">
      <alignment vertical="center" wrapText="1"/>
      <protection locked="0"/>
    </xf>
    <xf numFmtId="186" fontId="68" fillId="2" borderId="0" xfId="39" applyNumberFormat="1" applyFont="1" applyFill="1" applyAlignment="1" applyProtection="1">
      <alignment horizontal="right" vertical="center" wrapText="1"/>
      <protection locked="0"/>
    </xf>
    <xf numFmtId="3" fontId="68" fillId="10" borderId="0" xfId="0" applyNumberFormat="1" applyFont="1" applyFill="1" applyAlignment="1" applyProtection="1">
      <alignment horizontal="right" vertical="center" wrapText="1"/>
      <protection locked="0"/>
    </xf>
    <xf numFmtId="166" fontId="68" fillId="0" borderId="0" xfId="0" applyNumberFormat="1" applyFont="1" applyFill="1" applyAlignment="1" applyProtection="1">
      <alignment horizontal="right" vertical="center" wrapText="1"/>
      <protection locked="0"/>
    </xf>
    <xf numFmtId="166" fontId="68" fillId="2" borderId="0" xfId="0" applyNumberFormat="1" applyFont="1" applyFill="1" applyAlignment="1" applyProtection="1">
      <alignment horizontal="right" vertical="center" wrapText="1"/>
      <protection locked="0"/>
    </xf>
    <xf numFmtId="166" fontId="68" fillId="6" borderId="0" xfId="0" applyNumberFormat="1" applyFont="1" applyFill="1" applyAlignment="1" applyProtection="1">
      <alignment horizontal="right" vertical="center" wrapText="1"/>
      <protection locked="0"/>
    </xf>
    <xf numFmtId="166" fontId="135" fillId="2" borderId="0" xfId="0" applyNumberFormat="1" applyFont="1" applyFill="1" applyAlignment="1" applyProtection="1">
      <alignment horizontal="right" vertical="center" wrapText="1"/>
      <protection locked="0"/>
    </xf>
    <xf numFmtId="166" fontId="68" fillId="11" borderId="0" xfId="0" applyNumberFormat="1" applyFont="1" applyFill="1" applyAlignment="1" applyProtection="1">
      <alignment horizontal="right" vertical="center" wrapText="1"/>
      <protection locked="0"/>
    </xf>
    <xf numFmtId="166" fontId="68" fillId="9" borderId="0" xfId="0" applyNumberFormat="1" applyFont="1" applyFill="1" applyAlignment="1" applyProtection="1">
      <alignment horizontal="right" vertical="center" wrapText="1"/>
      <protection locked="0"/>
    </xf>
    <xf numFmtId="166" fontId="69" fillId="2" borderId="0" xfId="0" applyNumberFormat="1" applyFont="1" applyFill="1" applyAlignment="1" applyProtection="1">
      <alignment horizontal="right" vertical="center" wrapText="1"/>
      <protection locked="0"/>
    </xf>
    <xf numFmtId="166" fontId="123" fillId="6" borderId="0" xfId="0" applyNumberFormat="1" applyFont="1" applyFill="1" applyAlignment="1" applyProtection="1">
      <alignment horizontal="right" vertical="center" wrapText="1"/>
      <protection locked="0"/>
    </xf>
    <xf numFmtId="166" fontId="122" fillId="6" borderId="0" xfId="0" applyNumberFormat="1" applyFont="1" applyFill="1" applyAlignment="1" applyProtection="1">
      <alignment horizontal="right" vertical="center" wrapText="1"/>
      <protection locked="0"/>
    </xf>
    <xf numFmtId="0" fontId="122" fillId="6" borderId="0" xfId="0" applyFont="1" applyFill="1" applyAlignment="1" applyProtection="1">
      <alignment vertical="center" wrapText="1"/>
      <protection locked="0"/>
    </xf>
    <xf numFmtId="166" fontId="26" fillId="2" borderId="0" xfId="0" applyNumberFormat="1" applyFont="1" applyFill="1" applyAlignment="1" applyProtection="1">
      <alignment horizontal="right" vertical="center" wrapText="1"/>
      <protection locked="0"/>
    </xf>
    <xf numFmtId="170" fontId="54" fillId="12" borderId="0" xfId="0" applyNumberFormat="1" applyFont="1" applyFill="1" applyAlignment="1" applyProtection="1">
      <alignment horizontal="right" vertical="center" wrapText="1"/>
      <protection locked="0"/>
    </xf>
    <xf numFmtId="188" fontId="55" fillId="2" borderId="0" xfId="0" applyNumberFormat="1" applyFont="1" applyFill="1" applyAlignment="1" applyProtection="1">
      <alignment vertical="center" wrapText="1"/>
    </xf>
    <xf numFmtId="166" fontId="47" fillId="2" borderId="0" xfId="0" applyNumberFormat="1" applyFont="1" applyFill="1" applyAlignment="1" applyProtection="1">
      <alignment vertical="center" wrapText="1"/>
    </xf>
    <xf numFmtId="186" fontId="47" fillId="2" borderId="0" xfId="39" applyNumberFormat="1" applyFont="1" applyFill="1" applyAlignment="1" applyProtection="1">
      <alignment vertical="center" wrapText="1"/>
    </xf>
    <xf numFmtId="164" fontId="55" fillId="2" borderId="0" xfId="39" applyFont="1" applyFill="1" applyAlignment="1" applyProtection="1">
      <alignment vertical="center" wrapText="1"/>
    </xf>
    <xf numFmtId="189" fontId="54" fillId="2" borderId="0" xfId="39" applyNumberFormat="1" applyFont="1" applyFill="1" applyAlignment="1" applyProtection="1">
      <alignment horizontal="right" vertical="center" wrapText="1"/>
    </xf>
    <xf numFmtId="170" fontId="54" fillId="2" borderId="0" xfId="0" applyNumberFormat="1" applyFont="1" applyFill="1" applyAlignment="1" applyProtection="1">
      <alignment vertical="center" wrapText="1"/>
    </xf>
    <xf numFmtId="186" fontId="54" fillId="2" borderId="0" xfId="39" applyNumberFormat="1" applyFont="1" applyFill="1" applyAlignment="1" applyProtection="1">
      <alignment vertical="center" wrapText="1"/>
    </xf>
    <xf numFmtId="170" fontId="98" fillId="2" borderId="0" xfId="0" applyNumberFormat="1" applyFont="1" applyFill="1" applyAlignment="1" applyProtection="1">
      <alignment vertical="center" wrapText="1"/>
    </xf>
    <xf numFmtId="3" fontId="64" fillId="3" borderId="4" xfId="0" applyNumberFormat="1" applyFont="1" applyFill="1" applyBorder="1" applyAlignment="1" applyProtection="1">
      <alignment vertical="center" wrapText="1"/>
      <protection locked="0"/>
    </xf>
    <xf numFmtId="4" fontId="64" fillId="3" borderId="1" xfId="0" applyNumberFormat="1" applyFont="1" applyFill="1" applyBorder="1" applyAlignment="1" applyProtection="1">
      <alignment vertical="center" wrapText="1"/>
      <protection locked="0"/>
    </xf>
    <xf numFmtId="3" fontId="64" fillId="3" borderId="1" xfId="0" applyNumberFormat="1" applyFont="1" applyFill="1" applyBorder="1" applyAlignment="1" applyProtection="1">
      <alignment vertical="center" wrapText="1"/>
      <protection locked="0"/>
    </xf>
    <xf numFmtId="3" fontId="136" fillId="3" borderId="1" xfId="0" applyNumberFormat="1" applyFont="1" applyFill="1" applyBorder="1" applyAlignment="1" applyProtection="1">
      <alignment vertical="center" wrapText="1"/>
      <protection locked="0"/>
    </xf>
    <xf numFmtId="0" fontId="64" fillId="2" borderId="8" xfId="0" applyFont="1" applyFill="1" applyBorder="1" applyAlignment="1" applyProtection="1">
      <alignment vertical="center" wrapText="1"/>
    </xf>
    <xf numFmtId="0" fontId="137" fillId="2" borderId="0" xfId="0" applyFont="1" applyFill="1" applyAlignment="1" applyProtection="1">
      <alignment vertical="center" wrapText="1"/>
    </xf>
    <xf numFmtId="0" fontId="137" fillId="2" borderId="0" xfId="0" applyFont="1" applyFill="1" applyAlignment="1" applyProtection="1">
      <alignment horizontal="center" vertical="center" wrapText="1"/>
    </xf>
    <xf numFmtId="0" fontId="103" fillId="2" borderId="0" xfId="0" applyFont="1" applyFill="1" applyAlignment="1" applyProtection="1">
      <alignment horizontal="center" vertical="center" wrapText="1"/>
    </xf>
    <xf numFmtId="166" fontId="54" fillId="4" borderId="0" xfId="0" applyNumberFormat="1" applyFont="1" applyFill="1" applyAlignment="1" applyProtection="1">
      <alignment vertical="center" wrapText="1"/>
      <protection locked="0"/>
    </xf>
    <xf numFmtId="0" fontId="27" fillId="2" borderId="0" xfId="0" applyFont="1" applyFill="1" applyAlignment="1" applyProtection="1">
      <alignment horizontal="center" vertical="center" wrapText="1"/>
      <protection locked="0"/>
    </xf>
    <xf numFmtId="3" fontId="48" fillId="2" borderId="70" xfId="0" applyNumberFormat="1" applyFont="1" applyFill="1" applyBorder="1" applyAlignment="1" applyProtection="1">
      <alignment horizontal="center" vertical="center" wrapText="1"/>
      <protection locked="0"/>
    </xf>
    <xf numFmtId="0" fontId="54" fillId="2" borderId="0" xfId="0" applyFont="1" applyFill="1" applyAlignment="1" applyProtection="1">
      <alignment horizontal="center" vertical="center" wrapText="1"/>
    </xf>
    <xf numFmtId="1" fontId="55" fillId="2" borderId="0" xfId="0" applyNumberFormat="1" applyFont="1" applyFill="1" applyAlignment="1" applyProtection="1">
      <alignment horizontal="center" vertical="center" wrapText="1"/>
      <protection locked="0"/>
    </xf>
    <xf numFmtId="175" fontId="57" fillId="2" borderId="70" xfId="1" applyNumberFormat="1" applyFont="1" applyFill="1" applyBorder="1" applyAlignment="1" applyProtection="1">
      <alignment horizontal="center" vertical="center" wrapText="1"/>
      <protection locked="0"/>
    </xf>
    <xf numFmtId="0" fontId="48" fillId="2" borderId="70" xfId="0" applyFont="1" applyFill="1" applyBorder="1" applyAlignment="1" applyProtection="1">
      <alignment horizontal="center" vertical="center" wrapText="1"/>
      <protection locked="0"/>
    </xf>
    <xf numFmtId="0" fontId="48" fillId="2" borderId="70" xfId="0" applyFont="1" applyFill="1" applyBorder="1" applyAlignment="1" applyProtection="1">
      <alignment vertical="center" wrapText="1"/>
      <protection locked="0"/>
    </xf>
    <xf numFmtId="167" fontId="48" fillId="2" borderId="70" xfId="0" applyNumberFormat="1" applyFont="1" applyFill="1" applyBorder="1" applyAlignment="1" applyProtection="1">
      <alignment horizontal="center" vertical="center" wrapText="1"/>
      <protection locked="0"/>
    </xf>
    <xf numFmtId="0" fontId="50" fillId="2" borderId="70" xfId="0" applyFont="1" applyFill="1" applyBorder="1" applyAlignment="1" applyProtection="1">
      <alignment horizontal="center" vertical="center" wrapText="1"/>
      <protection locked="0"/>
    </xf>
    <xf numFmtId="0" fontId="51" fillId="2" borderId="70" xfId="0" applyFont="1" applyFill="1" applyBorder="1" applyAlignment="1" applyProtection="1">
      <alignment vertical="center" wrapText="1"/>
      <protection locked="0"/>
    </xf>
    <xf numFmtId="0" fontId="50" fillId="2" borderId="70" xfId="0" applyFont="1" applyFill="1" applyBorder="1" applyAlignment="1" applyProtection="1">
      <alignment vertical="center" wrapText="1"/>
      <protection locked="0"/>
    </xf>
    <xf numFmtId="0" fontId="78" fillId="2" borderId="70" xfId="0" applyFont="1" applyFill="1" applyBorder="1" applyAlignment="1" applyProtection="1">
      <alignment horizontal="center" vertical="center" wrapText="1"/>
      <protection locked="0"/>
    </xf>
    <xf numFmtId="0" fontId="48" fillId="2" borderId="70" xfId="0" applyFont="1" applyFill="1" applyBorder="1" applyAlignment="1" applyProtection="1">
      <alignment horizontal="justify" vertical="center" wrapText="1"/>
      <protection locked="0"/>
    </xf>
    <xf numFmtId="171" fontId="48" fillId="2" borderId="70" xfId="0" applyNumberFormat="1" applyFont="1" applyFill="1" applyBorder="1" applyAlignment="1" applyProtection="1">
      <alignment vertical="center" wrapText="1"/>
      <protection locked="0"/>
    </xf>
    <xf numFmtId="175" fontId="48" fillId="0" borderId="70" xfId="1" applyNumberFormat="1" applyFont="1" applyFill="1" applyBorder="1" applyAlignment="1" applyProtection="1">
      <alignment horizontal="center" vertical="center" wrapText="1"/>
      <protection locked="0"/>
    </xf>
    <xf numFmtId="173" fontId="48" fillId="2" borderId="70" xfId="0" applyNumberFormat="1" applyFont="1" applyFill="1" applyBorder="1" applyAlignment="1" applyProtection="1">
      <alignment horizontal="right" vertical="center" wrapText="1"/>
      <protection locked="0"/>
    </xf>
    <xf numFmtId="173" fontId="48" fillId="6" borderId="70" xfId="0" applyNumberFormat="1" applyFont="1" applyFill="1" applyBorder="1" applyAlignment="1" applyProtection="1">
      <alignment horizontal="right" vertical="center" wrapText="1"/>
      <protection locked="0"/>
    </xf>
    <xf numFmtId="0" fontId="51" fillId="2" borderId="70" xfId="0" applyFont="1" applyFill="1" applyBorder="1" applyAlignment="1" applyProtection="1">
      <alignment horizontal="center" vertical="center" wrapText="1"/>
      <protection locked="0"/>
    </xf>
    <xf numFmtId="0" fontId="50" fillId="2" borderId="70" xfId="0" quotePrefix="1" applyFont="1" applyFill="1" applyBorder="1" applyAlignment="1" applyProtection="1">
      <alignment horizontal="justify" vertical="center" wrapText="1"/>
      <protection locked="0"/>
    </xf>
    <xf numFmtId="176" fontId="50" fillId="2" borderId="70" xfId="1" applyNumberFormat="1" applyFont="1" applyFill="1" applyBorder="1" applyAlignment="1" applyProtection="1">
      <alignment horizontal="right" vertical="center" wrapText="1"/>
      <protection locked="0"/>
    </xf>
    <xf numFmtId="175" fontId="50" fillId="0" borderId="70" xfId="1" applyNumberFormat="1" applyFont="1" applyFill="1" applyBorder="1" applyAlignment="1" applyProtection="1">
      <alignment horizontal="right" vertical="center" wrapText="1"/>
      <protection locked="0"/>
    </xf>
    <xf numFmtId="175" fontId="50" fillId="6" borderId="70" xfId="1" applyNumberFormat="1" applyFont="1" applyFill="1" applyBorder="1" applyAlignment="1" applyProtection="1">
      <alignment horizontal="right" vertical="center" wrapText="1"/>
      <protection locked="0"/>
    </xf>
    <xf numFmtId="175" fontId="50" fillId="0" borderId="70" xfId="1" applyNumberFormat="1" applyFont="1" applyFill="1" applyBorder="1" applyAlignment="1" applyProtection="1">
      <alignment horizontal="center" vertical="center" wrapText="1"/>
      <protection locked="0"/>
    </xf>
    <xf numFmtId="176" fontId="50" fillId="2" borderId="70" xfId="0" applyNumberFormat="1" applyFont="1" applyFill="1" applyBorder="1" applyAlignment="1" applyProtection="1">
      <alignment horizontal="center" vertical="center" wrapText="1"/>
      <protection locked="0"/>
    </xf>
    <xf numFmtId="0" fontId="50" fillId="10" borderId="70" xfId="0" applyFont="1" applyFill="1" applyBorder="1" applyAlignment="1" applyProtection="1">
      <alignment horizontal="center" vertical="center" wrapText="1"/>
      <protection locked="0"/>
    </xf>
    <xf numFmtId="0" fontId="50" fillId="10" borderId="70" xfId="0" quotePrefix="1" applyFont="1" applyFill="1" applyBorder="1" applyAlignment="1" applyProtection="1">
      <alignment horizontal="justify" vertical="center" wrapText="1"/>
      <protection locked="0"/>
    </xf>
    <xf numFmtId="186" fontId="50" fillId="10" borderId="70" xfId="39" applyNumberFormat="1" applyFont="1" applyFill="1" applyBorder="1" applyAlignment="1" applyProtection="1">
      <alignment horizontal="right" vertical="center" wrapText="1"/>
      <protection locked="0"/>
    </xf>
    <xf numFmtId="186" fontId="50" fillId="10" borderId="70" xfId="39" applyNumberFormat="1" applyFont="1" applyFill="1" applyBorder="1" applyAlignment="1" applyProtection="1">
      <alignment horizontal="center" vertical="center" wrapText="1"/>
      <protection locked="0"/>
    </xf>
    <xf numFmtId="0" fontId="50" fillId="0" borderId="70" xfId="0" applyFont="1" applyFill="1" applyBorder="1" applyAlignment="1" applyProtection="1">
      <alignment horizontal="center" vertical="center" wrapText="1"/>
      <protection locked="0"/>
    </xf>
    <xf numFmtId="0" fontId="50" fillId="0" borderId="70" xfId="0" quotePrefix="1" applyFont="1" applyFill="1" applyBorder="1" applyAlignment="1" applyProtection="1">
      <alignment horizontal="justify" vertical="center" wrapText="1"/>
      <protection locked="0"/>
    </xf>
    <xf numFmtId="176" fontId="50" fillId="0" borderId="70" xfId="1" applyNumberFormat="1" applyFont="1" applyFill="1" applyBorder="1" applyAlignment="1" applyProtection="1">
      <alignment horizontal="right" vertical="center" wrapText="1"/>
      <protection locked="0"/>
    </xf>
    <xf numFmtId="173" fontId="50" fillId="2" borderId="70" xfId="0" quotePrefix="1" applyNumberFormat="1" applyFont="1" applyFill="1" applyBorder="1" applyAlignment="1" applyProtection="1">
      <alignment horizontal="justify" vertical="center" wrapText="1"/>
      <protection locked="0"/>
    </xf>
    <xf numFmtId="173" fontId="50" fillId="2" borderId="70" xfId="0" applyNumberFormat="1" applyFont="1" applyFill="1" applyBorder="1" applyAlignment="1" applyProtection="1">
      <alignment horizontal="center" vertical="center" wrapText="1"/>
      <protection locked="0"/>
    </xf>
    <xf numFmtId="43" fontId="50" fillId="2" borderId="70" xfId="1" applyNumberFormat="1" applyFont="1" applyFill="1" applyBorder="1" applyAlignment="1" applyProtection="1">
      <alignment horizontal="right" vertical="center" wrapText="1"/>
      <protection locked="0"/>
    </xf>
    <xf numFmtId="3" fontId="50" fillId="2" borderId="70" xfId="0" applyNumberFormat="1" applyFont="1" applyFill="1" applyBorder="1" applyAlignment="1" applyProtection="1">
      <alignment horizontal="right" vertical="center" wrapText="1"/>
      <protection locked="0"/>
    </xf>
    <xf numFmtId="175" fontId="50" fillId="2" borderId="70" xfId="1" applyNumberFormat="1" applyFont="1" applyFill="1" applyBorder="1" applyAlignment="1" applyProtection="1">
      <alignment horizontal="right" vertical="center" wrapText="1"/>
      <protection locked="0"/>
    </xf>
    <xf numFmtId="173" fontId="48" fillId="2" borderId="70" xfId="0" applyNumberFormat="1" applyFont="1" applyFill="1" applyBorder="1" applyAlignment="1" applyProtection="1">
      <alignment horizontal="center" vertical="center" wrapText="1"/>
      <protection locked="0"/>
    </xf>
    <xf numFmtId="184" fontId="48" fillId="6" borderId="70" xfId="39" applyNumberFormat="1" applyFont="1" applyFill="1" applyBorder="1" applyAlignment="1" applyProtection="1">
      <alignment horizontal="right" vertical="center" wrapText="1"/>
      <protection locked="0"/>
    </xf>
    <xf numFmtId="185" fontId="48" fillId="6" borderId="70" xfId="0" applyNumberFormat="1" applyFont="1" applyFill="1" applyBorder="1" applyAlignment="1" applyProtection="1">
      <alignment horizontal="right" vertical="center" wrapText="1"/>
      <protection locked="0"/>
    </xf>
    <xf numFmtId="4" fontId="48" fillId="6" borderId="70" xfId="0" applyNumberFormat="1" applyFont="1" applyFill="1" applyBorder="1" applyAlignment="1" applyProtection="1">
      <alignment horizontal="right" vertical="center" wrapText="1"/>
      <protection locked="0"/>
    </xf>
    <xf numFmtId="43" fontId="48" fillId="6" borderId="70" xfId="1" applyFont="1" applyFill="1" applyBorder="1" applyAlignment="1" applyProtection="1">
      <alignment horizontal="right" vertical="center" wrapText="1"/>
      <protection locked="0"/>
    </xf>
    <xf numFmtId="173" fontId="50" fillId="2" borderId="70" xfId="0" applyNumberFormat="1" applyFont="1" applyFill="1" applyBorder="1" applyAlignment="1" applyProtection="1">
      <alignment horizontal="right" vertical="center" wrapText="1"/>
      <protection locked="0"/>
    </xf>
    <xf numFmtId="43" fontId="50" fillId="0" borderId="70" xfId="1" applyFont="1" applyFill="1" applyBorder="1" applyAlignment="1" applyProtection="1">
      <alignment horizontal="right" vertical="center" wrapText="1"/>
      <protection locked="0"/>
    </xf>
    <xf numFmtId="0" fontId="50" fillId="11" borderId="70" xfId="0" applyFont="1" applyFill="1" applyBorder="1" applyAlignment="1" applyProtection="1">
      <alignment horizontal="center" vertical="center" wrapText="1"/>
      <protection locked="0"/>
    </xf>
    <xf numFmtId="0" fontId="50" fillId="11" borderId="70" xfId="0" applyFont="1" applyFill="1" applyBorder="1" applyAlignment="1" applyProtection="1">
      <alignment horizontal="justify" vertical="center" wrapText="1"/>
      <protection locked="0"/>
    </xf>
    <xf numFmtId="3" fontId="50" fillId="11" borderId="70" xfId="0" applyNumberFormat="1" applyFont="1" applyFill="1" applyBorder="1" applyAlignment="1" applyProtection="1">
      <alignment horizontal="right" vertical="center" wrapText="1"/>
      <protection locked="0"/>
    </xf>
    <xf numFmtId="43" fontId="50" fillId="11" borderId="70" xfId="1" applyFont="1" applyFill="1" applyBorder="1" applyAlignment="1" applyProtection="1">
      <alignment horizontal="right" vertical="center" wrapText="1"/>
      <protection locked="0"/>
    </xf>
    <xf numFmtId="0" fontId="50" fillId="4" borderId="70" xfId="0" applyFont="1" applyFill="1" applyBorder="1" applyAlignment="1" applyProtection="1">
      <alignment horizontal="center" vertical="center" wrapText="1"/>
      <protection locked="0"/>
    </xf>
    <xf numFmtId="0" fontId="50" fillId="4" borderId="70" xfId="0" applyFont="1" applyFill="1" applyBorder="1" applyAlignment="1" applyProtection="1">
      <alignment horizontal="justify" vertical="center" wrapText="1"/>
      <protection locked="0"/>
    </xf>
    <xf numFmtId="0" fontId="50" fillId="3" borderId="70" xfId="0" applyFont="1" applyFill="1" applyBorder="1" applyAlignment="1" applyProtection="1">
      <alignment horizontal="center" vertical="center" wrapText="1"/>
      <protection locked="0"/>
    </xf>
    <xf numFmtId="0" fontId="50" fillId="3" borderId="70" xfId="0" quotePrefix="1" applyFont="1" applyFill="1" applyBorder="1" applyAlignment="1" applyProtection="1">
      <alignment horizontal="justify" vertical="center" wrapText="1"/>
      <protection locked="0"/>
    </xf>
    <xf numFmtId="3" fontId="50" fillId="9" borderId="70" xfId="0" applyNumberFormat="1" applyFont="1" applyFill="1" applyBorder="1" applyAlignment="1" applyProtection="1">
      <alignment horizontal="center" vertical="center" wrapText="1"/>
      <protection locked="0"/>
    </xf>
    <xf numFmtId="173" fontId="50" fillId="9" borderId="70" xfId="0" applyNumberFormat="1" applyFont="1" applyFill="1" applyBorder="1" applyAlignment="1" applyProtection="1">
      <alignment horizontal="right" vertical="center" wrapText="1"/>
      <protection locked="0"/>
    </xf>
    <xf numFmtId="173" fontId="50" fillId="4" borderId="70" xfId="0" applyNumberFormat="1" applyFont="1" applyFill="1" applyBorder="1" applyAlignment="1" applyProtection="1">
      <alignment horizontal="right" vertical="center" wrapText="1"/>
      <protection locked="0"/>
    </xf>
    <xf numFmtId="175" fontId="50" fillId="4" borderId="70" xfId="1" applyNumberFormat="1" applyFont="1" applyFill="1" applyBorder="1" applyAlignment="1" applyProtection="1">
      <alignment horizontal="right" vertical="center" wrapText="1"/>
      <protection locked="0"/>
    </xf>
    <xf numFmtId="173" fontId="50" fillId="0" borderId="70" xfId="0" applyNumberFormat="1" applyFont="1" applyFill="1" applyBorder="1" applyAlignment="1" applyProtection="1">
      <alignment horizontal="right" vertical="center" wrapText="1"/>
      <protection locked="0"/>
    </xf>
    <xf numFmtId="0" fontId="50" fillId="4" borderId="70" xfId="0" quotePrefix="1" applyFont="1" applyFill="1" applyBorder="1" applyAlignment="1" applyProtection="1">
      <alignment horizontal="justify" vertical="center" wrapText="1"/>
      <protection locked="0"/>
    </xf>
    <xf numFmtId="3" fontId="50" fillId="4" borderId="70" xfId="0" applyNumberFormat="1" applyFont="1" applyFill="1" applyBorder="1" applyAlignment="1" applyProtection="1">
      <alignment horizontal="right" vertical="center" wrapText="1"/>
      <protection locked="0"/>
    </xf>
    <xf numFmtId="164" fontId="50" fillId="0" borderId="70" xfId="39" applyFont="1" applyFill="1" applyBorder="1" applyAlignment="1" applyProtection="1">
      <alignment horizontal="right" vertical="center" wrapText="1"/>
      <protection locked="0"/>
    </xf>
    <xf numFmtId="3" fontId="50" fillId="0" borderId="70" xfId="0" applyNumberFormat="1" applyFont="1" applyFill="1" applyBorder="1" applyAlignment="1" applyProtection="1">
      <alignment horizontal="right" vertical="center" wrapText="1"/>
      <protection locked="0"/>
    </xf>
    <xf numFmtId="0" fontId="50" fillId="2" borderId="70" xfId="0" applyFont="1" applyFill="1" applyBorder="1" applyAlignment="1" applyProtection="1">
      <alignment horizontal="justify" vertical="center" wrapText="1"/>
      <protection locked="0"/>
    </xf>
    <xf numFmtId="164" fontId="50" fillId="6" borderId="70" xfId="39" applyFont="1" applyFill="1" applyBorder="1" applyAlignment="1" applyProtection="1">
      <alignment horizontal="right" vertical="center" wrapText="1"/>
      <protection locked="0"/>
    </xf>
    <xf numFmtId="186" fontId="50" fillId="6" borderId="70" xfId="39" applyNumberFormat="1" applyFont="1" applyFill="1" applyBorder="1" applyAlignment="1" applyProtection="1">
      <alignment horizontal="right" vertical="center" wrapText="1"/>
      <protection locked="0"/>
    </xf>
    <xf numFmtId="0" fontId="51" fillId="2" borderId="70" xfId="0" applyFont="1" applyFill="1" applyBorder="1" applyAlignment="1" applyProtection="1">
      <alignment horizontal="justify" vertical="center" wrapText="1"/>
      <protection locked="0"/>
    </xf>
    <xf numFmtId="166" fontId="51" fillId="6" borderId="70" xfId="0" applyNumberFormat="1" applyFont="1" applyFill="1" applyBorder="1" applyAlignment="1" applyProtection="1">
      <alignment horizontal="right" vertical="center" wrapText="1"/>
      <protection locked="0"/>
    </xf>
    <xf numFmtId="4" fontId="50" fillId="2" borderId="70" xfId="0" applyNumberFormat="1" applyFont="1" applyFill="1" applyBorder="1" applyAlignment="1" applyProtection="1">
      <alignment horizontal="right" vertical="center" wrapText="1"/>
      <protection locked="0"/>
    </xf>
    <xf numFmtId="0" fontId="50" fillId="2" borderId="70" xfId="0" quotePrefix="1" applyFont="1" applyFill="1" applyBorder="1" applyAlignment="1" applyProtection="1">
      <alignment horizontal="center" vertical="center" wrapText="1"/>
      <protection locked="0"/>
    </xf>
    <xf numFmtId="9" fontId="50" fillId="2" borderId="70" xfId="0" applyNumberFormat="1" applyFont="1" applyFill="1" applyBorder="1" applyAlignment="1" applyProtection="1">
      <alignment horizontal="center" vertical="center" wrapText="1"/>
      <protection locked="0"/>
    </xf>
    <xf numFmtId="4" fontId="50" fillId="6" borderId="70" xfId="0" applyNumberFormat="1" applyFont="1" applyFill="1" applyBorder="1" applyAlignment="1" applyProtection="1">
      <alignment horizontal="right" vertical="center" wrapText="1"/>
      <protection locked="0"/>
    </xf>
    <xf numFmtId="166" fontId="51" fillId="6" borderId="70" xfId="12" quotePrefix="1" applyNumberFormat="1" applyFont="1" applyFill="1" applyBorder="1" applyAlignment="1">
      <alignment horizontal="justify" vertical="center" wrapText="1"/>
    </xf>
    <xf numFmtId="0" fontId="51" fillId="6" borderId="70" xfId="0" applyFont="1" applyFill="1" applyBorder="1" applyAlignment="1">
      <alignment horizontal="center" vertical="center" wrapText="1"/>
    </xf>
    <xf numFmtId="184" fontId="51" fillId="6" borderId="70" xfId="39" applyNumberFormat="1" applyFont="1" applyFill="1" applyBorder="1" applyAlignment="1" applyProtection="1">
      <alignment horizontal="right" vertical="center" wrapText="1"/>
      <protection locked="0"/>
    </xf>
    <xf numFmtId="166" fontId="50" fillId="6" borderId="70" xfId="12" quotePrefix="1" applyNumberFormat="1" applyFont="1" applyFill="1" applyBorder="1" applyAlignment="1">
      <alignment horizontal="justify" vertical="center" wrapText="1"/>
    </xf>
    <xf numFmtId="0" fontId="50" fillId="6" borderId="70" xfId="0" applyFont="1" applyFill="1" applyBorder="1" applyAlignment="1">
      <alignment horizontal="center" vertical="center" wrapText="1"/>
    </xf>
    <xf numFmtId="170" fontId="50" fillId="2" borderId="70" xfId="0" applyNumberFormat="1" applyFont="1" applyFill="1" applyBorder="1" applyAlignment="1" applyProtection="1">
      <alignment horizontal="right" vertical="center" wrapText="1"/>
      <protection locked="0"/>
    </xf>
    <xf numFmtId="166" fontId="50" fillId="2" borderId="70" xfId="0" applyNumberFormat="1" applyFont="1" applyFill="1" applyBorder="1" applyAlignment="1" applyProtection="1">
      <alignment horizontal="right" vertical="center" wrapText="1"/>
      <protection locked="0"/>
    </xf>
    <xf numFmtId="166" fontId="50" fillId="6" borderId="70" xfId="0" applyNumberFormat="1" applyFont="1" applyFill="1" applyBorder="1" applyAlignment="1" applyProtection="1">
      <alignment horizontal="right" vertical="center" wrapText="1"/>
      <protection locked="0"/>
    </xf>
    <xf numFmtId="171" fontId="50" fillId="6" borderId="70" xfId="0" applyNumberFormat="1" applyFont="1" applyFill="1" applyBorder="1" applyAlignment="1" applyProtection="1">
      <alignment horizontal="right" vertical="center" wrapText="1"/>
      <protection locked="0"/>
    </xf>
    <xf numFmtId="3" fontId="50" fillId="6" borderId="70" xfId="0" applyNumberFormat="1" applyFont="1" applyFill="1" applyBorder="1" applyAlignment="1" applyProtection="1">
      <alignment horizontal="right" vertical="center" wrapText="1"/>
      <protection locked="0"/>
    </xf>
    <xf numFmtId="175" fontId="50" fillId="7" borderId="70" xfId="1" applyNumberFormat="1" applyFont="1" applyFill="1" applyBorder="1" applyAlignment="1" applyProtection="1">
      <alignment horizontal="right" vertical="center" wrapText="1"/>
      <protection locked="0"/>
    </xf>
    <xf numFmtId="176" fontId="50" fillId="7" borderId="70" xfId="1" applyNumberFormat="1" applyFont="1" applyFill="1" applyBorder="1" applyAlignment="1" applyProtection="1">
      <alignment horizontal="right" vertical="center" wrapText="1"/>
      <protection locked="0"/>
    </xf>
    <xf numFmtId="0" fontId="48" fillId="6" borderId="70" xfId="0" quotePrefix="1" applyFont="1" applyFill="1" applyBorder="1" applyAlignment="1">
      <alignment horizontal="center" vertical="center" wrapText="1"/>
    </xf>
    <xf numFmtId="0" fontId="48" fillId="6" borderId="70" xfId="0" applyNumberFormat="1" applyFont="1" applyFill="1" applyBorder="1" applyAlignment="1">
      <alignment horizontal="justify" vertical="center" wrapText="1"/>
    </xf>
    <xf numFmtId="0" fontId="48" fillId="6" borderId="70" xfId="0" applyFont="1" applyFill="1" applyBorder="1" applyAlignment="1">
      <alignment horizontal="center" vertical="center" wrapText="1"/>
    </xf>
    <xf numFmtId="166" fontId="50" fillId="7" borderId="70" xfId="0" applyNumberFormat="1" applyFont="1" applyFill="1" applyBorder="1" applyAlignment="1" applyProtection="1">
      <alignment horizontal="right" vertical="center" wrapText="1"/>
      <protection locked="0"/>
    </xf>
    <xf numFmtId="0" fontId="50" fillId="6" borderId="70" xfId="0" applyFont="1" applyFill="1" applyBorder="1" applyAlignment="1" applyProtection="1">
      <alignment horizontal="center" vertical="center" wrapText="1"/>
      <protection locked="0"/>
    </xf>
    <xf numFmtId="0" fontId="50" fillId="6" borderId="70" xfId="0" quotePrefix="1" applyFont="1" applyFill="1" applyBorder="1" applyAlignment="1">
      <alignment horizontal="center" vertical="center" wrapText="1"/>
    </xf>
    <xf numFmtId="0" fontId="50" fillId="6" borderId="70" xfId="0" applyNumberFormat="1" applyFont="1" applyFill="1" applyBorder="1" applyAlignment="1">
      <alignment horizontal="justify" vertical="center" wrapText="1"/>
    </xf>
    <xf numFmtId="170" fontId="50" fillId="7" borderId="70" xfId="0" applyNumberFormat="1" applyFont="1" applyFill="1" applyBorder="1" applyAlignment="1" applyProtection="1">
      <alignment horizontal="right" vertical="center" wrapText="1"/>
      <protection locked="0"/>
    </xf>
    <xf numFmtId="170" fontId="50" fillId="7" borderId="70" xfId="0" applyNumberFormat="1" applyFont="1" applyFill="1" applyBorder="1" applyAlignment="1" applyProtection="1">
      <alignment horizontal="center" vertical="center" wrapText="1"/>
      <protection locked="0"/>
    </xf>
    <xf numFmtId="186" fontId="50" fillId="7" borderId="70" xfId="39" applyNumberFormat="1" applyFont="1" applyFill="1" applyBorder="1" applyAlignment="1" applyProtection="1">
      <alignment horizontal="right" vertical="center" wrapText="1"/>
      <protection locked="0"/>
    </xf>
    <xf numFmtId="166" fontId="127" fillId="2" borderId="0" xfId="0" applyNumberFormat="1" applyFont="1" applyFill="1" applyAlignment="1" applyProtection="1">
      <alignment horizontal="right" vertical="center" wrapText="1"/>
      <protection locked="0"/>
    </xf>
    <xf numFmtId="0" fontId="138" fillId="2" borderId="0" xfId="0"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17" fillId="2" borderId="0" xfId="0" applyFont="1" applyFill="1" applyAlignment="1" applyProtection="1">
      <alignment vertical="center" wrapText="1"/>
      <protection locked="0"/>
    </xf>
    <xf numFmtId="0" fontId="17" fillId="2" borderId="0" xfId="0" applyFont="1" applyFill="1" applyAlignment="1" applyProtection="1">
      <alignment horizontal="center" vertical="center" wrapText="1"/>
      <protection locked="0"/>
    </xf>
    <xf numFmtId="0" fontId="57" fillId="2" borderId="70" xfId="0" applyFont="1" applyFill="1" applyBorder="1" applyAlignment="1" applyProtection="1">
      <alignment horizontal="justify" vertical="center" wrapText="1"/>
      <protection locked="0"/>
    </xf>
    <xf numFmtId="176" fontId="57" fillId="6" borderId="70" xfId="1" applyNumberFormat="1" applyFont="1" applyFill="1" applyBorder="1" applyAlignment="1" applyProtection="1">
      <alignment horizontal="right" vertical="center" wrapText="1"/>
      <protection locked="0"/>
    </xf>
    <xf numFmtId="176" fontId="53" fillId="6" borderId="70" xfId="1" applyNumberFormat="1" applyFont="1" applyFill="1" applyBorder="1" applyAlignment="1" applyProtection="1">
      <alignment horizontal="right" vertical="center" wrapText="1"/>
      <protection locked="0"/>
    </xf>
    <xf numFmtId="175" fontId="53" fillId="6" borderId="70" xfId="27" applyNumberFormat="1" applyFont="1" applyFill="1" applyBorder="1" applyAlignment="1" applyProtection="1">
      <alignment horizontal="right" vertical="center" wrapText="1"/>
      <protection locked="0"/>
    </xf>
    <xf numFmtId="170" fontId="57" fillId="2" borderId="70" xfId="0" applyNumberFormat="1" applyFont="1" applyFill="1" applyBorder="1" applyAlignment="1" applyProtection="1">
      <alignment horizontal="center" vertical="center" wrapText="1"/>
      <protection locked="0"/>
    </xf>
    <xf numFmtId="170" fontId="57" fillId="2" borderId="70" xfId="0" applyNumberFormat="1" applyFont="1" applyFill="1" applyBorder="1" applyAlignment="1" applyProtection="1">
      <alignment horizontal="right" vertical="center" wrapText="1"/>
      <protection locked="0"/>
    </xf>
    <xf numFmtId="171" fontId="57" fillId="2" borderId="70" xfId="0" applyNumberFormat="1" applyFont="1" applyFill="1" applyBorder="1" applyAlignment="1" applyProtection="1">
      <alignment horizontal="right" vertical="center" wrapText="1"/>
      <protection locked="0"/>
    </xf>
    <xf numFmtId="0" fontId="53" fillId="2" borderId="70" xfId="0" applyFont="1" applyFill="1" applyBorder="1" applyAlignment="1" applyProtection="1">
      <alignment horizontal="justify" vertical="center" wrapText="1"/>
      <protection locked="0"/>
    </xf>
    <xf numFmtId="175" fontId="53" fillId="6" borderId="70" xfId="1" applyNumberFormat="1" applyFont="1" applyFill="1" applyBorder="1" applyAlignment="1" applyProtection="1">
      <alignment horizontal="right" vertical="center" wrapText="1"/>
      <protection locked="0"/>
    </xf>
    <xf numFmtId="176" fontId="53" fillId="6" borderId="70" xfId="1" applyNumberFormat="1" applyFont="1" applyFill="1" applyBorder="1" applyAlignment="1">
      <alignment horizontal="right" vertical="center" wrapText="1"/>
    </xf>
    <xf numFmtId="176" fontId="53" fillId="6" borderId="70" xfId="27" applyNumberFormat="1" applyFont="1" applyFill="1" applyBorder="1" applyAlignment="1" applyProtection="1">
      <alignment horizontal="right" vertical="center" wrapText="1"/>
      <protection locked="0"/>
    </xf>
    <xf numFmtId="176" fontId="57" fillId="6" borderId="70" xfId="27" applyNumberFormat="1" applyFont="1" applyFill="1" applyBorder="1" applyAlignment="1" applyProtection="1">
      <alignment horizontal="right" vertical="center" wrapText="1"/>
      <protection locked="0"/>
    </xf>
    <xf numFmtId="164" fontId="53" fillId="6" borderId="70" xfId="39" applyFont="1" applyFill="1" applyBorder="1" applyAlignment="1" applyProtection="1">
      <alignment horizontal="right" vertical="center" wrapText="1"/>
      <protection locked="0"/>
    </xf>
    <xf numFmtId="176" fontId="53" fillId="2" borderId="70" xfId="1" applyNumberFormat="1" applyFont="1" applyFill="1" applyBorder="1" applyAlignment="1" applyProtection="1">
      <alignment horizontal="right" vertical="center" wrapText="1"/>
      <protection locked="0"/>
    </xf>
    <xf numFmtId="176" fontId="57" fillId="6" borderId="70" xfId="15" applyNumberFormat="1" applyFont="1" applyFill="1" applyBorder="1" applyAlignment="1" applyProtection="1">
      <alignment horizontal="right" vertical="center" wrapText="1"/>
      <protection locked="0"/>
    </xf>
    <xf numFmtId="176" fontId="53" fillId="6" borderId="70" xfId="15" applyNumberFormat="1" applyFont="1" applyFill="1" applyBorder="1" applyAlignment="1" applyProtection="1">
      <alignment horizontal="right" vertical="center" wrapText="1"/>
      <protection locked="0"/>
    </xf>
    <xf numFmtId="175" fontId="53" fillId="6" borderId="70" xfId="15" applyNumberFormat="1" applyFont="1" applyFill="1" applyBorder="1" applyAlignment="1" applyProtection="1">
      <alignment horizontal="right" vertical="center" wrapText="1"/>
      <protection locked="0"/>
    </xf>
    <xf numFmtId="0" fontId="53" fillId="2" borderId="70" xfId="0" quotePrefix="1" applyFont="1" applyFill="1" applyBorder="1" applyAlignment="1" applyProtection="1">
      <alignment horizontal="justify" vertical="center" wrapText="1"/>
      <protection locked="0"/>
    </xf>
    <xf numFmtId="0" fontId="56" fillId="2" borderId="70" xfId="0" applyFont="1" applyFill="1" applyBorder="1" applyAlignment="1" applyProtection="1">
      <alignment horizontal="justify" vertical="center" wrapText="1"/>
      <protection locked="0"/>
    </xf>
    <xf numFmtId="170" fontId="57" fillId="6" borderId="70" xfId="0" applyNumberFormat="1" applyFont="1" applyFill="1" applyBorder="1" applyAlignment="1" applyProtection="1">
      <alignment horizontal="right" vertical="center" wrapText="1"/>
      <protection locked="0"/>
    </xf>
    <xf numFmtId="170" fontId="53" fillId="6" borderId="70" xfId="0" applyNumberFormat="1" applyFont="1" applyFill="1" applyBorder="1" applyAlignment="1" applyProtection="1">
      <alignment horizontal="right" vertical="center" wrapText="1"/>
      <protection locked="0"/>
    </xf>
    <xf numFmtId="175" fontId="57" fillId="2" borderId="70" xfId="1" applyNumberFormat="1" applyFont="1" applyFill="1" applyBorder="1" applyAlignment="1" applyProtection="1">
      <alignment horizontal="right" vertical="center" wrapText="1"/>
      <protection locked="0"/>
    </xf>
    <xf numFmtId="0" fontId="53" fillId="2" borderId="70" xfId="0" applyFont="1" applyFill="1" applyBorder="1" applyAlignment="1" applyProtection="1">
      <alignment horizontal="center" vertical="center" wrapText="1"/>
      <protection locked="0"/>
    </xf>
    <xf numFmtId="0" fontId="56" fillId="0" borderId="70" xfId="0" applyFont="1" applyFill="1" applyBorder="1" applyAlignment="1" applyProtection="1">
      <alignment horizontal="center" vertical="center" wrapText="1"/>
      <protection locked="0"/>
    </xf>
    <xf numFmtId="0" fontId="56" fillId="0" borderId="70" xfId="0" applyFont="1" applyFill="1" applyBorder="1" applyAlignment="1" applyProtection="1">
      <alignment horizontal="justify" vertical="center" wrapText="1"/>
      <protection locked="0"/>
    </xf>
    <xf numFmtId="175" fontId="56" fillId="6" borderId="70" xfId="27" applyNumberFormat="1" applyFont="1" applyFill="1" applyBorder="1" applyAlignment="1" applyProtection="1">
      <alignment horizontal="right" vertical="center" wrapText="1"/>
      <protection locked="0"/>
    </xf>
    <xf numFmtId="0" fontId="56" fillId="2" borderId="70" xfId="0" applyFont="1" applyFill="1" applyBorder="1" applyAlignment="1" applyProtection="1">
      <alignment horizontal="center" vertical="center" wrapText="1"/>
      <protection locked="0"/>
    </xf>
    <xf numFmtId="170" fontId="53" fillId="2" borderId="70" xfId="0" applyNumberFormat="1" applyFont="1" applyFill="1" applyBorder="1" applyAlignment="1" applyProtection="1">
      <alignment horizontal="right" vertical="center" wrapText="1"/>
      <protection locked="0"/>
    </xf>
    <xf numFmtId="43" fontId="53" fillId="2" borderId="70" xfId="27" applyFont="1" applyFill="1" applyBorder="1" applyAlignment="1" applyProtection="1">
      <alignment horizontal="right" vertical="center" wrapText="1"/>
      <protection locked="0"/>
    </xf>
    <xf numFmtId="0" fontId="59" fillId="2" borderId="70" xfId="0" applyFont="1" applyFill="1" applyBorder="1" applyAlignment="1" applyProtection="1">
      <alignment horizontal="center" vertical="center" wrapText="1"/>
      <protection locked="0"/>
    </xf>
    <xf numFmtId="3" fontId="53" fillId="2" borderId="70" xfId="0" applyNumberFormat="1" applyFont="1" applyFill="1" applyBorder="1" applyAlignment="1" applyProtection="1">
      <alignment horizontal="justify" vertical="center" wrapText="1"/>
      <protection locked="0"/>
    </xf>
    <xf numFmtId="164" fontId="53" fillId="0" borderId="70" xfId="39" applyFont="1" applyFill="1" applyBorder="1" applyAlignment="1" applyProtection="1">
      <alignment horizontal="right" vertical="center" wrapText="1"/>
      <protection locked="0"/>
    </xf>
    <xf numFmtId="175" fontId="53" fillId="0" borderId="70" xfId="1" applyNumberFormat="1" applyFont="1" applyFill="1" applyBorder="1" applyAlignment="1" applyProtection="1">
      <alignment horizontal="right" vertical="center" wrapText="1"/>
      <protection locked="0"/>
    </xf>
    <xf numFmtId="175" fontId="59" fillId="2" borderId="70" xfId="1" applyNumberFormat="1" applyFont="1" applyFill="1" applyBorder="1" applyAlignment="1" applyProtection="1">
      <alignment horizontal="right" vertical="center" wrapText="1"/>
      <protection locked="0"/>
    </xf>
    <xf numFmtId="171" fontId="53" fillId="6" borderId="70" xfId="0" applyNumberFormat="1" applyFont="1" applyFill="1" applyBorder="1" applyAlignment="1" applyProtection="1">
      <alignment horizontal="right" vertical="center" wrapText="1"/>
      <protection locked="0"/>
    </xf>
    <xf numFmtId="176" fontId="50" fillId="6" borderId="70" xfId="1" applyNumberFormat="1" applyFont="1" applyFill="1" applyBorder="1" applyAlignment="1" applyProtection="1">
      <alignment horizontal="right" vertical="center" wrapText="1"/>
      <protection locked="0"/>
    </xf>
    <xf numFmtId="175" fontId="50" fillId="6" borderId="70" xfId="27" applyNumberFormat="1" applyFont="1" applyFill="1" applyBorder="1" applyAlignment="1" applyProtection="1">
      <alignment horizontal="right" vertical="center" wrapText="1"/>
      <protection locked="0"/>
    </xf>
    <xf numFmtId="170" fontId="48" fillId="2" borderId="70" xfId="0" applyNumberFormat="1" applyFont="1" applyFill="1" applyBorder="1" applyAlignment="1" applyProtection="1">
      <alignment horizontal="right" vertical="center" wrapText="1"/>
      <protection locked="0"/>
    </xf>
    <xf numFmtId="171" fontId="48" fillId="2" borderId="70" xfId="0" applyNumberFormat="1" applyFont="1" applyFill="1" applyBorder="1" applyAlignment="1" applyProtection="1">
      <alignment horizontal="right" vertical="center" wrapText="1"/>
      <protection locked="0"/>
    </xf>
    <xf numFmtId="170" fontId="50" fillId="2" borderId="70" xfId="1" applyNumberFormat="1" applyFont="1" applyFill="1" applyBorder="1" applyAlignment="1" applyProtection="1">
      <alignment horizontal="right" vertical="center" wrapText="1"/>
      <protection locked="0"/>
    </xf>
    <xf numFmtId="176" fontId="50" fillId="6" borderId="70" xfId="27" applyNumberFormat="1" applyFont="1" applyFill="1" applyBorder="1" applyAlignment="1" applyProtection="1">
      <alignment horizontal="right" vertical="center" wrapText="1"/>
      <protection locked="0"/>
    </xf>
    <xf numFmtId="170" fontId="50" fillId="6" borderId="70" xfId="27" applyNumberFormat="1" applyFont="1" applyFill="1" applyBorder="1" applyAlignment="1">
      <alignment horizontal="right" vertical="center" wrapText="1"/>
    </xf>
    <xf numFmtId="170" fontId="48" fillId="6" borderId="70" xfId="0" applyNumberFormat="1" applyFont="1" applyFill="1" applyBorder="1" applyAlignment="1" applyProtection="1">
      <alignment horizontal="right" vertical="center" wrapText="1"/>
      <protection locked="0"/>
    </xf>
    <xf numFmtId="170" fontId="50" fillId="6" borderId="70" xfId="0" applyNumberFormat="1" applyFont="1" applyFill="1" applyBorder="1" applyAlignment="1" applyProtection="1">
      <alignment horizontal="right" vertical="center" wrapText="1"/>
      <protection locked="0"/>
    </xf>
    <xf numFmtId="166" fontId="50" fillId="0" borderId="70" xfId="0" applyNumberFormat="1" applyFont="1" applyFill="1" applyBorder="1" applyAlignment="1" applyProtection="1">
      <alignment horizontal="right" vertical="center" wrapText="1"/>
      <protection locked="0"/>
    </xf>
    <xf numFmtId="0" fontId="51" fillId="0" borderId="70" xfId="0" applyFont="1" applyFill="1" applyBorder="1" applyAlignment="1" applyProtection="1">
      <alignment horizontal="center" vertical="center" wrapText="1"/>
      <protection locked="0"/>
    </xf>
    <xf numFmtId="0" fontId="51" fillId="0" borderId="70" xfId="0" applyFont="1" applyFill="1" applyBorder="1" applyAlignment="1" applyProtection="1">
      <alignment horizontal="justify" vertical="center" wrapText="1"/>
      <protection locked="0"/>
    </xf>
    <xf numFmtId="43" fontId="50" fillId="2" borderId="70" xfId="27" applyFont="1" applyFill="1" applyBorder="1" applyAlignment="1" applyProtection="1">
      <alignment horizontal="right" vertical="center" wrapText="1"/>
      <protection locked="0"/>
    </xf>
    <xf numFmtId="170" fontId="35" fillId="9" borderId="70" xfId="0" applyNumberFormat="1" applyFont="1" applyFill="1" applyBorder="1" applyAlignment="1" applyProtection="1">
      <alignment horizontal="right" vertical="center" wrapText="1"/>
      <protection locked="0"/>
    </xf>
    <xf numFmtId="3" fontId="50" fillId="2" borderId="70" xfId="0" applyNumberFormat="1" applyFont="1" applyFill="1" applyBorder="1" applyAlignment="1" applyProtection="1">
      <alignment horizontal="justify" vertical="center" wrapText="1"/>
      <protection locked="0"/>
    </xf>
    <xf numFmtId="167" fontId="54" fillId="2" borderId="0" xfId="0" applyNumberFormat="1" applyFont="1" applyFill="1" applyAlignment="1" applyProtection="1">
      <alignment horizontal="right" vertical="center" wrapText="1"/>
    </xf>
    <xf numFmtId="167" fontId="54" fillId="2" borderId="0" xfId="0" applyNumberFormat="1" applyFont="1" applyFill="1" applyAlignment="1" applyProtection="1">
      <alignment vertical="center" wrapText="1"/>
    </xf>
    <xf numFmtId="166" fontId="76" fillId="2" borderId="0" xfId="0" applyNumberFormat="1" applyFont="1" applyFill="1" applyAlignment="1" applyProtection="1">
      <alignment horizontal="center" vertical="center" wrapText="1"/>
    </xf>
    <xf numFmtId="3" fontId="54" fillId="2" borderId="0" xfId="0" applyNumberFormat="1" applyFont="1" applyFill="1" applyAlignment="1" applyProtection="1">
      <alignment horizontal="right" vertical="center" wrapText="1"/>
    </xf>
    <xf numFmtId="168" fontId="54" fillId="2" borderId="0" xfId="0" applyNumberFormat="1" applyFont="1" applyFill="1" applyAlignment="1" applyProtection="1">
      <alignment horizontal="right" vertical="center" wrapText="1"/>
    </xf>
    <xf numFmtId="167" fontId="53" fillId="2" borderId="0" xfId="0" applyNumberFormat="1" applyFont="1" applyFill="1" applyAlignment="1" applyProtection="1">
      <alignment horizontal="right" vertical="center" wrapText="1"/>
      <protection locked="0"/>
    </xf>
    <xf numFmtId="167" fontId="54" fillId="2" borderId="0" xfId="0" applyNumberFormat="1" applyFont="1" applyFill="1" applyAlignment="1" applyProtection="1">
      <alignment horizontal="right" vertical="center" wrapText="1"/>
      <protection locked="0"/>
    </xf>
    <xf numFmtId="3" fontId="53" fillId="2" borderId="0" xfId="0" applyNumberFormat="1" applyFont="1" applyFill="1" applyAlignment="1" applyProtection="1">
      <alignment horizontal="right" vertical="center" wrapText="1"/>
      <protection locked="0"/>
    </xf>
    <xf numFmtId="3" fontId="50" fillId="2" borderId="0" xfId="0" applyNumberFormat="1" applyFont="1" applyFill="1" applyAlignment="1" applyProtection="1">
      <alignment horizontal="right" vertical="center" wrapText="1"/>
      <protection locked="0"/>
    </xf>
    <xf numFmtId="43" fontId="57" fillId="2" borderId="0" xfId="1" applyNumberFormat="1" applyFont="1" applyFill="1" applyAlignment="1" applyProtection="1">
      <alignment horizontal="right" vertical="center" wrapText="1"/>
      <protection locked="0"/>
    </xf>
    <xf numFmtId="164" fontId="48" fillId="2" borderId="0" xfId="39" applyNumberFormat="1" applyFont="1" applyFill="1" applyAlignment="1" applyProtection="1">
      <alignment horizontal="right" vertical="center" wrapText="1"/>
      <protection locked="0"/>
    </xf>
    <xf numFmtId="175" fontId="59" fillId="2" borderId="0" xfId="1" applyNumberFormat="1" applyFont="1" applyFill="1" applyAlignment="1" applyProtection="1">
      <alignment horizontal="right" vertical="center" wrapText="1"/>
      <protection locked="0"/>
    </xf>
    <xf numFmtId="164" fontId="50" fillId="2" borderId="0" xfId="39" applyNumberFormat="1" applyFont="1" applyFill="1" applyAlignment="1" applyProtection="1">
      <alignment horizontal="right" vertical="center" wrapText="1"/>
      <protection locked="0"/>
    </xf>
    <xf numFmtId="164" fontId="59" fillId="2" borderId="0" xfId="39" applyFont="1" applyFill="1" applyAlignment="1" applyProtection="1">
      <alignment horizontal="right" vertical="center" wrapText="1"/>
      <protection locked="0"/>
    </xf>
    <xf numFmtId="43" fontId="59" fillId="2" borderId="0" xfId="1" applyNumberFormat="1" applyFont="1" applyFill="1" applyAlignment="1" applyProtection="1">
      <alignment horizontal="right" vertical="center" wrapText="1"/>
      <protection locked="0"/>
    </xf>
    <xf numFmtId="164" fontId="78" fillId="2" borderId="0" xfId="39" applyNumberFormat="1" applyFont="1" applyFill="1" applyAlignment="1" applyProtection="1">
      <alignment horizontal="right" vertical="center" wrapText="1"/>
      <protection locked="0"/>
    </xf>
    <xf numFmtId="184" fontId="57" fillId="2" borderId="0" xfId="39" applyNumberFormat="1" applyFont="1" applyFill="1" applyAlignment="1" applyProtection="1">
      <alignment horizontal="right" vertical="center" wrapText="1"/>
      <protection locked="0"/>
    </xf>
    <xf numFmtId="176" fontId="59" fillId="2" borderId="0" xfId="1" applyNumberFormat="1" applyFont="1" applyFill="1" applyAlignment="1" applyProtection="1">
      <alignment horizontal="right" vertical="center" wrapText="1"/>
      <protection locked="0"/>
    </xf>
    <xf numFmtId="176" fontId="57" fillId="2" borderId="0" xfId="1" applyNumberFormat="1" applyFont="1" applyFill="1" applyAlignment="1" applyProtection="1">
      <alignment horizontal="right" vertical="center" wrapText="1"/>
      <protection locked="0"/>
    </xf>
    <xf numFmtId="176" fontId="53" fillId="2" borderId="0" xfId="1" applyNumberFormat="1" applyFont="1" applyFill="1" applyAlignment="1" applyProtection="1">
      <alignment horizontal="right" vertical="center" wrapText="1"/>
      <protection locked="0"/>
    </xf>
    <xf numFmtId="43" fontId="59" fillId="2" borderId="0" xfId="1" applyFont="1" applyFill="1" applyAlignment="1" applyProtection="1">
      <alignment horizontal="right" vertical="center" wrapText="1"/>
      <protection locked="0"/>
    </xf>
    <xf numFmtId="174" fontId="53" fillId="2" borderId="0" xfId="1" applyNumberFormat="1" applyFont="1" applyFill="1" applyAlignment="1" applyProtection="1">
      <alignment horizontal="right" vertical="center" wrapText="1"/>
      <protection locked="0"/>
    </xf>
    <xf numFmtId="167" fontId="57" fillId="2" borderId="0" xfId="0" applyNumberFormat="1" applyFont="1" applyFill="1" applyAlignment="1" applyProtection="1">
      <alignment horizontal="right" vertical="center" wrapText="1"/>
      <protection locked="0"/>
    </xf>
    <xf numFmtId="166" fontId="53" fillId="2" borderId="0" xfId="0" applyNumberFormat="1" applyFont="1" applyFill="1" applyAlignment="1" applyProtection="1">
      <alignment horizontal="right" vertical="center" wrapText="1"/>
      <protection locked="0"/>
    </xf>
    <xf numFmtId="164" fontId="57" fillId="2" borderId="0" xfId="39" applyFont="1" applyFill="1" applyAlignment="1" applyProtection="1">
      <alignment horizontal="right" vertical="center" wrapText="1"/>
      <protection locked="0"/>
    </xf>
    <xf numFmtId="164" fontId="53" fillId="6" borderId="0" xfId="39" applyFont="1" applyFill="1" applyAlignment="1" applyProtection="1">
      <alignment vertical="center" wrapText="1"/>
      <protection locked="0"/>
    </xf>
    <xf numFmtId="164" fontId="53" fillId="2" borderId="0" xfId="39" applyFont="1" applyFill="1" applyAlignment="1" applyProtection="1">
      <alignment horizontal="right" vertical="center" wrapText="1"/>
      <protection locked="0"/>
    </xf>
    <xf numFmtId="186" fontId="57" fillId="2" borderId="0" xfId="39" applyNumberFormat="1" applyFont="1" applyFill="1" applyAlignment="1" applyProtection="1">
      <alignment horizontal="right" vertical="center" wrapText="1"/>
      <protection locked="0"/>
    </xf>
    <xf numFmtId="167" fontId="50" fillId="2" borderId="0" xfId="0" applyNumberFormat="1" applyFont="1" applyFill="1" applyAlignment="1" applyProtection="1">
      <alignment vertical="center" wrapText="1"/>
    </xf>
    <xf numFmtId="167" fontId="50" fillId="2" borderId="0" xfId="0" applyNumberFormat="1" applyFont="1" applyFill="1" applyAlignment="1" applyProtection="1">
      <alignment horizontal="center" vertical="center" wrapText="1"/>
    </xf>
    <xf numFmtId="164" fontId="59" fillId="0" borderId="0" xfId="39" applyFont="1" applyFill="1" applyAlignment="1" applyProtection="1">
      <alignment horizontal="right" vertical="center" wrapText="1"/>
      <protection locked="0"/>
    </xf>
    <xf numFmtId="164" fontId="51" fillId="2" borderId="0" xfId="39" applyNumberFormat="1" applyFont="1" applyFill="1" applyAlignment="1" applyProtection="1">
      <alignment horizontal="right" vertical="center" wrapText="1"/>
      <protection locked="0"/>
    </xf>
    <xf numFmtId="175" fontId="51" fillId="2" borderId="70" xfId="1" applyNumberFormat="1" applyFont="1" applyFill="1" applyBorder="1" applyAlignment="1" applyProtection="1">
      <alignment horizontal="right" vertical="center" wrapText="1"/>
      <protection locked="0"/>
    </xf>
    <xf numFmtId="170" fontId="50" fillId="9" borderId="70" xfId="0" applyNumberFormat="1" applyFont="1" applyFill="1" applyBorder="1" applyAlignment="1" applyProtection="1">
      <alignment horizontal="right" vertical="center" wrapText="1"/>
      <protection locked="0"/>
    </xf>
    <xf numFmtId="164" fontId="53" fillId="2" borderId="0" xfId="39" applyFont="1" applyFill="1" applyAlignment="1" applyProtection="1">
      <alignment horizontal="left" vertical="center" wrapText="1"/>
      <protection locked="0"/>
    </xf>
    <xf numFmtId="171" fontId="50" fillId="2" borderId="70" xfId="0" applyNumberFormat="1" applyFont="1" applyFill="1" applyBorder="1" applyAlignment="1" applyProtection="1">
      <alignment horizontal="right" vertical="center" wrapText="1"/>
      <protection locked="0"/>
    </xf>
    <xf numFmtId="176" fontId="50" fillId="2" borderId="70" xfId="15" applyNumberFormat="1" applyFont="1" applyFill="1" applyBorder="1" applyAlignment="1" applyProtection="1">
      <alignment horizontal="right" vertical="center" wrapText="1"/>
      <protection locked="0"/>
    </xf>
    <xf numFmtId="43" fontId="57" fillId="2" borderId="0" xfId="1" applyFont="1" applyFill="1" applyAlignment="1" applyProtection="1">
      <alignment horizontal="right" vertical="center" wrapText="1"/>
      <protection locked="0"/>
    </xf>
    <xf numFmtId="175" fontId="50" fillId="2" borderId="70" xfId="27" applyNumberFormat="1" applyFont="1" applyFill="1" applyBorder="1" applyAlignment="1" applyProtection="1">
      <alignment horizontal="right" vertical="center" wrapText="1"/>
      <protection locked="0"/>
    </xf>
    <xf numFmtId="3" fontId="51" fillId="2" borderId="70" xfId="0" applyNumberFormat="1" applyFont="1" applyFill="1" applyBorder="1" applyAlignment="1" applyProtection="1">
      <alignment horizontal="justify" vertical="center" wrapText="1"/>
      <protection locked="0"/>
    </xf>
    <xf numFmtId="43" fontId="56" fillId="0" borderId="0" xfId="1" applyFont="1" applyFill="1" applyAlignment="1" applyProtection="1">
      <alignment horizontal="right" vertical="center" wrapText="1"/>
      <protection locked="0"/>
    </xf>
    <xf numFmtId="167" fontId="91" fillId="2" borderId="0" xfId="0" applyNumberFormat="1" applyFont="1" applyFill="1" applyAlignment="1" applyProtection="1">
      <alignment vertical="center" wrapText="1"/>
    </xf>
    <xf numFmtId="0" fontId="48" fillId="0" borderId="70" xfId="0" applyFont="1" applyFill="1" applyBorder="1" applyAlignment="1" applyProtection="1">
      <alignment horizontal="center" vertical="center" wrapText="1"/>
      <protection locked="0"/>
    </xf>
    <xf numFmtId="0" fontId="48" fillId="0" borderId="70" xfId="0" applyFont="1" applyFill="1" applyBorder="1" applyAlignment="1" applyProtection="1">
      <alignment horizontal="justify" vertical="center" wrapText="1"/>
      <protection locked="0"/>
    </xf>
    <xf numFmtId="176" fontId="57" fillId="0" borderId="0" xfId="1" applyNumberFormat="1" applyFont="1" applyFill="1" applyAlignment="1" applyProtection="1">
      <alignment horizontal="right" vertical="center" wrapText="1"/>
      <protection locked="0"/>
    </xf>
    <xf numFmtId="167" fontId="48" fillId="2" borderId="0" xfId="0" applyNumberFormat="1" applyFont="1" applyFill="1" applyAlignment="1" applyProtection="1">
      <alignment vertical="center" wrapText="1"/>
    </xf>
    <xf numFmtId="167" fontId="53" fillId="2" borderId="4" xfId="0" applyNumberFormat="1" applyFont="1" applyFill="1" applyBorder="1" applyAlignment="1" applyProtection="1">
      <alignment horizontal="center" vertical="center" wrapText="1"/>
      <protection locked="0"/>
    </xf>
    <xf numFmtId="3" fontId="53" fillId="2" borderId="4" xfId="0" applyNumberFormat="1" applyFont="1" applyFill="1" applyBorder="1" applyAlignment="1" applyProtection="1">
      <alignment vertical="center" wrapText="1"/>
      <protection locked="0"/>
    </xf>
    <xf numFmtId="3" fontId="82" fillId="2" borderId="4" xfId="0" applyNumberFormat="1" applyFont="1" applyFill="1" applyBorder="1" applyAlignment="1" applyProtection="1">
      <alignment horizontal="center" vertical="center" wrapText="1"/>
      <protection locked="0"/>
    </xf>
    <xf numFmtId="167" fontId="48" fillId="2" borderId="4" xfId="0" applyNumberFormat="1" applyFont="1" applyFill="1" applyBorder="1" applyAlignment="1" applyProtection="1">
      <alignment vertical="center" wrapText="1"/>
      <protection locked="0"/>
    </xf>
    <xf numFmtId="173" fontId="53" fillId="2" borderId="1" xfId="0" applyNumberFormat="1" applyFont="1" applyFill="1" applyBorder="1" applyAlignment="1" applyProtection="1">
      <alignment vertical="center" wrapText="1"/>
      <protection locked="0"/>
    </xf>
    <xf numFmtId="3" fontId="82" fillId="2" borderId="1" xfId="0" applyNumberFormat="1" applyFont="1" applyFill="1" applyBorder="1" applyAlignment="1" applyProtection="1">
      <alignment horizontal="center" vertical="center" wrapText="1"/>
      <protection locked="0"/>
    </xf>
    <xf numFmtId="43" fontId="50" fillId="2" borderId="0" xfId="1" applyFont="1" applyFill="1" applyAlignment="1" applyProtection="1">
      <alignment horizontal="right" vertical="center" wrapText="1"/>
      <protection locked="0"/>
    </xf>
    <xf numFmtId="173" fontId="56" fillId="2" borderId="1" xfId="0" applyNumberFormat="1" applyFont="1" applyFill="1" applyBorder="1" applyAlignment="1" applyProtection="1">
      <alignment horizontal="left" vertical="center" wrapText="1"/>
      <protection locked="0"/>
    </xf>
    <xf numFmtId="173" fontId="92" fillId="2" borderId="1" xfId="0" applyNumberFormat="1" applyFont="1" applyFill="1" applyBorder="1" applyAlignment="1" applyProtection="1">
      <alignment horizontal="center" vertical="center" wrapText="1"/>
      <protection locked="0"/>
    </xf>
    <xf numFmtId="167" fontId="51" fillId="2" borderId="1" xfId="0" applyNumberFormat="1" applyFont="1" applyFill="1" applyBorder="1" applyAlignment="1" applyProtection="1">
      <alignment vertical="center" wrapText="1"/>
      <protection locked="0"/>
    </xf>
    <xf numFmtId="167" fontId="51" fillId="2" borderId="0" xfId="0" applyNumberFormat="1" applyFont="1" applyFill="1" applyAlignment="1" applyProtection="1">
      <alignment horizontal="right" vertical="center" wrapText="1"/>
      <protection locked="0"/>
    </xf>
    <xf numFmtId="167" fontId="51" fillId="2" borderId="0" xfId="0" applyNumberFormat="1" applyFont="1" applyFill="1" applyAlignment="1" applyProtection="1">
      <alignment vertical="center" wrapText="1"/>
    </xf>
    <xf numFmtId="167" fontId="48" fillId="2" borderId="1" xfId="0" applyNumberFormat="1" applyFont="1" applyFill="1" applyBorder="1" applyAlignment="1" applyProtection="1">
      <alignment vertical="center" wrapText="1"/>
      <protection locked="0"/>
    </xf>
    <xf numFmtId="43" fontId="48" fillId="2" borderId="0" xfId="1" applyFont="1" applyFill="1" applyAlignment="1" applyProtection="1">
      <alignment vertical="center" wrapText="1"/>
    </xf>
    <xf numFmtId="3" fontId="53" fillId="2" borderId="17" xfId="0" applyNumberFormat="1" applyFont="1" applyFill="1" applyBorder="1" applyAlignment="1" applyProtection="1">
      <alignment vertical="center" wrapText="1"/>
      <protection locked="0"/>
    </xf>
    <xf numFmtId="3" fontId="82" fillId="2" borderId="17" xfId="0" applyNumberFormat="1" applyFont="1" applyFill="1" applyBorder="1" applyAlignment="1" applyProtection="1">
      <alignment horizontal="center" vertical="center" wrapText="1"/>
      <protection locked="0"/>
    </xf>
    <xf numFmtId="176" fontId="53" fillId="6" borderId="17" xfId="27" applyNumberFormat="1" applyFont="1" applyFill="1" applyBorder="1" applyAlignment="1" applyProtection="1">
      <alignment horizontal="center" vertical="center" wrapText="1"/>
      <protection locked="0"/>
    </xf>
    <xf numFmtId="176" fontId="53" fillId="6" borderId="16" xfId="27" applyNumberFormat="1" applyFont="1" applyFill="1" applyBorder="1" applyAlignment="1" applyProtection="1">
      <alignment horizontal="center" vertical="center" wrapText="1"/>
      <protection locked="0"/>
    </xf>
    <xf numFmtId="166" fontId="50" fillId="2" borderId="0" xfId="0" applyNumberFormat="1" applyFont="1" applyFill="1" applyAlignment="1" applyProtection="1">
      <alignment horizontal="right" vertical="center" wrapText="1"/>
      <protection locked="0"/>
    </xf>
    <xf numFmtId="167" fontId="48" fillId="9" borderId="0" xfId="0" applyNumberFormat="1" applyFont="1" applyFill="1" applyAlignment="1" applyProtection="1">
      <alignment vertical="center" wrapText="1"/>
    </xf>
    <xf numFmtId="167" fontId="50" fillId="2" borderId="2" xfId="0" applyNumberFormat="1" applyFont="1" applyFill="1" applyBorder="1" applyAlignment="1" applyProtection="1">
      <alignment horizontal="center" vertical="center" wrapText="1"/>
    </xf>
    <xf numFmtId="167" fontId="50" fillId="2" borderId="2" xfId="0" applyNumberFormat="1" applyFont="1" applyFill="1" applyBorder="1" applyAlignment="1" applyProtection="1">
      <alignment vertical="center" wrapText="1"/>
    </xf>
    <xf numFmtId="167" fontId="82" fillId="2" borderId="2" xfId="0" applyNumberFormat="1" applyFont="1" applyFill="1" applyBorder="1" applyAlignment="1" applyProtection="1">
      <alignment horizontal="center" vertical="center" wrapText="1"/>
    </xf>
    <xf numFmtId="166" fontId="50" fillId="2" borderId="2" xfId="0" applyNumberFormat="1" applyFont="1" applyFill="1" applyBorder="1" applyAlignment="1" applyProtection="1">
      <alignment horizontal="center" vertical="center" wrapText="1"/>
    </xf>
    <xf numFmtId="167" fontId="53" fillId="2" borderId="0" xfId="0" applyNumberFormat="1" applyFont="1" applyFill="1" applyAlignment="1" applyProtection="1">
      <alignment horizontal="right" vertical="center" wrapText="1"/>
    </xf>
    <xf numFmtId="167" fontId="50" fillId="2" borderId="0" xfId="0" applyNumberFormat="1" applyFont="1" applyFill="1" applyAlignment="1" applyProtection="1">
      <alignment horizontal="right" vertical="center" wrapText="1"/>
    </xf>
    <xf numFmtId="166" fontId="64" fillId="2" borderId="0" xfId="0" applyNumberFormat="1" applyFont="1" applyFill="1" applyAlignment="1" applyProtection="1">
      <alignment horizontal="center" vertical="center" wrapText="1"/>
    </xf>
    <xf numFmtId="0" fontId="48" fillId="2" borderId="70"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wrapText="1"/>
      <protection locked="0"/>
    </xf>
    <xf numFmtId="0" fontId="51" fillId="2" borderId="70" xfId="0" applyFont="1" applyFill="1" applyBorder="1" applyAlignment="1" applyProtection="1">
      <alignment horizontal="left" vertical="center" wrapText="1"/>
      <protection locked="0"/>
    </xf>
    <xf numFmtId="167" fontId="74" fillId="2" borderId="0" xfId="0" applyNumberFormat="1" applyFont="1" applyFill="1" applyAlignment="1" applyProtection="1">
      <alignment horizontal="center" vertical="center" wrapText="1"/>
    </xf>
    <xf numFmtId="166" fontId="54" fillId="2" borderId="0" xfId="0" applyNumberFormat="1" applyFont="1" applyFill="1" applyAlignment="1" applyProtection="1">
      <alignment horizontal="center" vertical="center" wrapText="1"/>
    </xf>
    <xf numFmtId="3" fontId="50" fillId="2" borderId="70" xfId="0" applyNumberFormat="1" applyFont="1" applyFill="1" applyBorder="1" applyAlignment="1" applyProtection="1">
      <alignment vertical="center" wrapText="1"/>
      <protection locked="0"/>
    </xf>
    <xf numFmtId="176" fontId="48" fillId="2" borderId="0" xfId="1" applyNumberFormat="1" applyFont="1" applyFill="1" applyAlignment="1" applyProtection="1">
      <alignment horizontal="left" vertical="center" wrapText="1"/>
    </xf>
    <xf numFmtId="43" fontId="48" fillId="2" borderId="0" xfId="1" applyFont="1" applyFill="1" applyAlignment="1" applyProtection="1">
      <alignment horizontal="left" vertical="center" wrapText="1"/>
    </xf>
    <xf numFmtId="176" fontId="48" fillId="2" borderId="0" xfId="1" applyNumberFormat="1" applyFont="1" applyFill="1" applyAlignment="1" applyProtection="1">
      <alignment vertical="center" wrapText="1"/>
    </xf>
    <xf numFmtId="184" fontId="48" fillId="2" borderId="0" xfId="39" applyNumberFormat="1" applyFont="1" applyFill="1" applyAlignment="1" applyProtection="1">
      <alignment vertical="center" wrapText="1"/>
    </xf>
    <xf numFmtId="176" fontId="78" fillId="2" borderId="0" xfId="1" applyNumberFormat="1" applyFont="1" applyFill="1" applyAlignment="1" applyProtection="1">
      <alignment horizontal="left" vertical="center" wrapText="1"/>
    </xf>
    <xf numFmtId="176" fontId="50" fillId="2" borderId="0" xfId="1" applyNumberFormat="1" applyFont="1" applyFill="1" applyAlignment="1" applyProtection="1">
      <alignment vertical="center" wrapText="1"/>
    </xf>
    <xf numFmtId="171" fontId="48" fillId="2" borderId="0" xfId="0" applyNumberFormat="1" applyFont="1" applyFill="1" applyAlignment="1" applyProtection="1">
      <alignment vertical="center" wrapText="1"/>
    </xf>
    <xf numFmtId="166" fontId="78" fillId="2" borderId="0" xfId="0" applyNumberFormat="1" applyFont="1" applyFill="1" applyAlignment="1" applyProtection="1">
      <alignment vertical="center" wrapText="1"/>
    </xf>
    <xf numFmtId="171" fontId="78" fillId="2" borderId="0" xfId="0" applyNumberFormat="1" applyFont="1" applyFill="1" applyAlignment="1" applyProtection="1">
      <alignment vertical="center" wrapText="1"/>
    </xf>
    <xf numFmtId="171" fontId="50" fillId="2" borderId="70" xfId="0" applyNumberFormat="1" applyFont="1" applyFill="1" applyBorder="1" applyAlignment="1" applyProtection="1">
      <alignment vertical="center" wrapText="1"/>
      <protection locked="0"/>
    </xf>
    <xf numFmtId="166" fontId="50" fillId="2" borderId="0" xfId="0" applyNumberFormat="1" applyFont="1" applyFill="1" applyAlignment="1" applyProtection="1">
      <alignment vertical="center" wrapText="1"/>
    </xf>
    <xf numFmtId="167" fontId="48" fillId="2" borderId="0" xfId="0" applyNumberFormat="1" applyFont="1" applyFill="1" applyAlignment="1" applyProtection="1">
      <alignment horizontal="left" vertical="center" wrapText="1"/>
    </xf>
    <xf numFmtId="166" fontId="78" fillId="2" borderId="0" xfId="0" applyNumberFormat="1" applyFont="1" applyFill="1" applyAlignment="1" applyProtection="1">
      <alignment horizontal="left" vertical="center" wrapText="1"/>
    </xf>
    <xf numFmtId="168" fontId="78" fillId="2" borderId="0" xfId="0" applyNumberFormat="1" applyFont="1" applyFill="1" applyAlignment="1" applyProtection="1">
      <alignment horizontal="left" vertical="center" wrapText="1"/>
    </xf>
    <xf numFmtId="43" fontId="78" fillId="2" borderId="0" xfId="1" applyFont="1" applyFill="1" applyAlignment="1" applyProtection="1">
      <alignment horizontal="left" vertical="center" wrapText="1"/>
    </xf>
    <xf numFmtId="167" fontId="78" fillId="2" borderId="0" xfId="0" applyNumberFormat="1" applyFont="1" applyFill="1" applyAlignment="1" applyProtection="1">
      <alignment horizontal="left" vertical="center" wrapText="1"/>
    </xf>
    <xf numFmtId="168" fontId="50" fillId="2" borderId="0" xfId="0" applyNumberFormat="1" applyFont="1" applyFill="1" applyAlignment="1" applyProtection="1">
      <alignment vertical="center" wrapText="1"/>
    </xf>
    <xf numFmtId="43" fontId="50" fillId="2" borderId="0" xfId="1" applyFont="1" applyFill="1" applyAlignment="1" applyProtection="1">
      <alignment vertical="center" wrapText="1"/>
    </xf>
    <xf numFmtId="176" fontId="50" fillId="2" borderId="0" xfId="1" applyNumberFormat="1" applyFont="1" applyFill="1" applyAlignment="1" applyProtection="1">
      <alignment horizontal="left" vertical="center" wrapText="1"/>
    </xf>
    <xf numFmtId="168" fontId="48" fillId="2" borderId="0" xfId="0" applyNumberFormat="1" applyFont="1" applyFill="1" applyAlignment="1" applyProtection="1">
      <alignment vertical="center" wrapText="1"/>
    </xf>
    <xf numFmtId="168" fontId="78" fillId="2" borderId="0" xfId="0" applyNumberFormat="1" applyFont="1" applyFill="1" applyAlignment="1" applyProtection="1">
      <alignment vertical="center" wrapText="1"/>
    </xf>
    <xf numFmtId="167" fontId="78" fillId="2" borderId="0" xfId="0" applyNumberFormat="1" applyFont="1" applyFill="1" applyAlignment="1" applyProtection="1">
      <alignment vertical="center" wrapText="1"/>
    </xf>
    <xf numFmtId="176" fontId="78" fillId="2" borderId="0" xfId="1" applyNumberFormat="1" applyFont="1" applyFill="1" applyAlignment="1" applyProtection="1">
      <alignment vertical="center" wrapText="1"/>
    </xf>
    <xf numFmtId="174" fontId="48" fillId="2" borderId="0" xfId="0" applyNumberFormat="1" applyFont="1" applyFill="1" applyAlignment="1" applyProtection="1">
      <alignment horizontal="left" vertical="center" wrapText="1"/>
    </xf>
    <xf numFmtId="167" fontId="50" fillId="2" borderId="0" xfId="0" applyNumberFormat="1" applyFont="1" applyFill="1" applyAlignment="1" applyProtection="1">
      <alignment horizontal="left" vertical="center" wrapText="1"/>
    </xf>
    <xf numFmtId="174" fontId="50" fillId="2" borderId="0" xfId="0" applyNumberFormat="1" applyFont="1" applyFill="1" applyAlignment="1" applyProtection="1">
      <alignment horizontal="left" vertical="center" wrapText="1"/>
    </xf>
    <xf numFmtId="167" fontId="51" fillId="2" borderId="0" xfId="0" applyNumberFormat="1" applyFont="1" applyFill="1" applyAlignment="1" applyProtection="1">
      <alignment horizontal="left" vertical="center" wrapText="1"/>
    </xf>
    <xf numFmtId="168" fontId="51" fillId="2" borderId="0" xfId="0" applyNumberFormat="1" applyFont="1" applyFill="1" applyAlignment="1" applyProtection="1">
      <alignment horizontal="left" vertical="center" wrapText="1"/>
    </xf>
    <xf numFmtId="176" fontId="51" fillId="2" borderId="0" xfId="1" applyNumberFormat="1" applyFont="1" applyFill="1" applyAlignment="1" applyProtection="1">
      <alignment horizontal="left" vertical="center" wrapText="1"/>
    </xf>
    <xf numFmtId="174" fontId="48" fillId="2" borderId="0" xfId="0" applyNumberFormat="1" applyFont="1" applyFill="1" applyAlignment="1" applyProtection="1">
      <alignment vertical="center" wrapText="1"/>
    </xf>
    <xf numFmtId="174" fontId="50" fillId="2" borderId="0" xfId="0" applyNumberFormat="1" applyFont="1" applyFill="1" applyAlignment="1" applyProtection="1">
      <alignment vertical="center" wrapText="1"/>
    </xf>
    <xf numFmtId="167" fontId="50" fillId="0" borderId="0" xfId="0" applyNumberFormat="1" applyFont="1" applyFill="1" applyAlignment="1" applyProtection="1">
      <alignment horizontal="left" vertical="center" wrapText="1"/>
    </xf>
    <xf numFmtId="43" fontId="50" fillId="2" borderId="0" xfId="1" applyFont="1" applyFill="1" applyAlignment="1" applyProtection="1">
      <alignment horizontal="left" vertical="center" wrapText="1"/>
    </xf>
    <xf numFmtId="166" fontId="48" fillId="2" borderId="0" xfId="0" applyNumberFormat="1" applyFont="1" applyFill="1" applyAlignment="1" applyProtection="1">
      <alignment horizontal="left" vertical="center" wrapText="1"/>
    </xf>
    <xf numFmtId="166" fontId="48" fillId="2" borderId="0" xfId="0" applyNumberFormat="1" applyFont="1" applyFill="1" applyAlignment="1" applyProtection="1">
      <alignment vertical="center" wrapText="1"/>
    </xf>
    <xf numFmtId="184" fontId="50" fillId="2" borderId="0" xfId="39" applyNumberFormat="1" applyFont="1" applyFill="1" applyAlignment="1" applyProtection="1">
      <alignment vertical="center" wrapText="1"/>
    </xf>
    <xf numFmtId="167" fontId="51" fillId="0" borderId="0" xfId="0" applyNumberFormat="1" applyFont="1" applyFill="1" applyAlignment="1" applyProtection="1">
      <alignment vertical="center" wrapText="1"/>
    </xf>
    <xf numFmtId="166" fontId="51" fillId="0" borderId="0" xfId="0" applyNumberFormat="1" applyFont="1" applyFill="1" applyAlignment="1" applyProtection="1">
      <alignment vertical="center" wrapText="1"/>
    </xf>
    <xf numFmtId="166" fontId="51" fillId="2" borderId="0" xfId="0" applyNumberFormat="1" applyFont="1" applyFill="1" applyAlignment="1" applyProtection="1">
      <alignment vertical="center" wrapText="1"/>
    </xf>
    <xf numFmtId="170" fontId="78" fillId="2" borderId="0" xfId="0" applyNumberFormat="1" applyFont="1" applyFill="1" applyAlignment="1" applyProtection="1">
      <alignment vertical="center" wrapText="1"/>
    </xf>
    <xf numFmtId="166" fontId="50" fillId="2" borderId="70" xfId="0" applyNumberFormat="1" applyFont="1" applyFill="1" applyBorder="1" applyAlignment="1" applyProtection="1">
      <alignment vertical="center" wrapText="1"/>
      <protection locked="0"/>
    </xf>
    <xf numFmtId="43" fontId="51" fillId="2" borderId="0" xfId="1" applyFont="1" applyFill="1" applyAlignment="1" applyProtection="1">
      <alignment vertical="center" wrapText="1"/>
    </xf>
    <xf numFmtId="43" fontId="78" fillId="2" borderId="0" xfId="1" applyFont="1" applyFill="1" applyAlignment="1" applyProtection="1">
      <alignment vertical="center" wrapText="1"/>
    </xf>
    <xf numFmtId="167" fontId="48" fillId="0" borderId="0" xfId="0" applyNumberFormat="1" applyFont="1" applyFill="1" applyAlignment="1" applyProtection="1">
      <alignment vertical="center" wrapText="1"/>
    </xf>
    <xf numFmtId="168" fontId="50" fillId="2" borderId="17" xfId="0" applyNumberFormat="1" applyFont="1" applyFill="1" applyBorder="1" applyAlignment="1" applyProtection="1">
      <alignment vertical="center" wrapText="1"/>
      <protection locked="0"/>
    </xf>
    <xf numFmtId="166" fontId="50" fillId="2" borderId="0" xfId="0" applyNumberFormat="1" applyFont="1" applyFill="1" applyAlignment="1" applyProtection="1">
      <alignment horizontal="center" vertical="center" wrapText="1"/>
    </xf>
    <xf numFmtId="167" fontId="49" fillId="2" borderId="0" xfId="0" applyNumberFormat="1" applyFont="1" applyFill="1" applyAlignment="1" applyProtection="1">
      <alignment horizontal="center" vertical="center" wrapText="1"/>
    </xf>
    <xf numFmtId="171" fontId="50" fillId="2" borderId="0" xfId="0" applyNumberFormat="1" applyFont="1" applyFill="1" applyAlignment="1" applyProtection="1">
      <alignment horizontal="center" vertical="center" wrapText="1"/>
    </xf>
    <xf numFmtId="0" fontId="141" fillId="2" borderId="0" xfId="0" applyFont="1" applyFill="1" applyAlignment="1" applyProtection="1">
      <alignment vertical="center" wrapText="1"/>
    </xf>
    <xf numFmtId="0" fontId="57" fillId="2" borderId="70" xfId="0" applyFont="1" applyFill="1" applyBorder="1" applyAlignment="1" applyProtection="1">
      <alignment horizontal="left" vertical="center" wrapText="1"/>
      <protection locked="0"/>
    </xf>
    <xf numFmtId="3" fontId="48" fillId="2" borderId="70" xfId="0" applyNumberFormat="1" applyFont="1" applyFill="1" applyBorder="1" applyAlignment="1" applyProtection="1">
      <alignment horizontal="justify" vertical="center" wrapText="1"/>
      <protection locked="0"/>
    </xf>
    <xf numFmtId="180" fontId="48" fillId="2" borderId="70" xfId="0" applyNumberFormat="1" applyFont="1" applyFill="1" applyBorder="1" applyAlignment="1" applyProtection="1">
      <alignment horizontal="right" vertical="center" wrapText="1"/>
      <protection locked="0"/>
    </xf>
    <xf numFmtId="186" fontId="48" fillId="2" borderId="70" xfId="39" applyNumberFormat="1" applyFont="1" applyFill="1" applyBorder="1" applyAlignment="1" applyProtection="1">
      <alignment horizontal="right" vertical="center" wrapText="1"/>
      <protection locked="0"/>
    </xf>
    <xf numFmtId="171" fontId="50" fillId="2" borderId="70" xfId="0" applyNumberFormat="1" applyFont="1" applyFill="1" applyBorder="1" applyAlignment="1" applyProtection="1">
      <alignment horizontal="center" vertical="center" wrapText="1"/>
      <protection locked="0"/>
    </xf>
    <xf numFmtId="186" fontId="50" fillId="2" borderId="70" xfId="39" applyNumberFormat="1" applyFont="1" applyFill="1" applyBorder="1" applyAlignment="1" applyProtection="1">
      <alignment horizontal="center" vertical="center" wrapText="1"/>
      <protection locked="0"/>
    </xf>
    <xf numFmtId="180" fontId="50" fillId="2" borderId="70" xfId="0" applyNumberFormat="1" applyFont="1" applyFill="1" applyBorder="1" applyAlignment="1" applyProtection="1">
      <alignment horizontal="right" vertical="center" wrapText="1"/>
      <protection locked="0"/>
    </xf>
    <xf numFmtId="186" fontId="50" fillId="2" borderId="70" xfId="39" applyNumberFormat="1" applyFont="1" applyFill="1" applyBorder="1" applyAlignment="1" applyProtection="1">
      <alignment horizontal="right" vertical="center" wrapText="1"/>
      <protection locked="0"/>
    </xf>
    <xf numFmtId="3" fontId="48" fillId="2" borderId="70" xfId="0" applyNumberFormat="1" applyFont="1" applyFill="1" applyBorder="1" applyAlignment="1" applyProtection="1">
      <alignment horizontal="right" vertical="center" wrapText="1"/>
      <protection locked="0"/>
    </xf>
    <xf numFmtId="3" fontId="50" fillId="2" borderId="70" xfId="0" applyNumberFormat="1" applyFont="1" applyFill="1" applyBorder="1" applyAlignment="1" applyProtection="1">
      <alignment horizontal="center" vertical="center" wrapText="1"/>
      <protection locked="0"/>
    </xf>
    <xf numFmtId="49" fontId="50" fillId="2" borderId="70" xfId="38" applyNumberFormat="1" applyFont="1" applyFill="1" applyBorder="1" applyAlignment="1">
      <alignment horizontal="justify" vertical="center" wrapText="1"/>
    </xf>
    <xf numFmtId="0" fontId="50" fillId="0" borderId="70" xfId="0" applyFont="1" applyFill="1" applyBorder="1" applyAlignment="1" applyProtection="1">
      <alignment vertical="center" wrapText="1"/>
      <protection locked="0"/>
    </xf>
    <xf numFmtId="3" fontId="48" fillId="2" borderId="70" xfId="0" applyNumberFormat="1" applyFont="1" applyFill="1" applyBorder="1" applyAlignment="1" applyProtection="1">
      <alignment vertical="center" wrapText="1"/>
      <protection locked="0"/>
    </xf>
    <xf numFmtId="43" fontId="48" fillId="2" borderId="70" xfId="27" applyFont="1" applyFill="1" applyBorder="1" applyAlignment="1" applyProtection="1">
      <alignment horizontal="right" vertical="center" wrapText="1"/>
      <protection locked="0"/>
    </xf>
    <xf numFmtId="49" fontId="50" fillId="2" borderId="70" xfId="0" applyNumberFormat="1" applyFont="1" applyFill="1" applyBorder="1" applyAlignment="1" applyProtection="1">
      <alignment horizontal="center" vertical="center" wrapText="1"/>
      <protection locked="0"/>
    </xf>
    <xf numFmtId="176" fontId="50" fillId="2" borderId="70" xfId="27" applyNumberFormat="1" applyFont="1" applyFill="1" applyBorder="1" applyAlignment="1" applyProtection="1">
      <alignment horizontal="right" vertical="center" wrapText="1"/>
      <protection locked="0"/>
    </xf>
    <xf numFmtId="49" fontId="51" fillId="2" borderId="70" xfId="0" applyNumberFormat="1" applyFont="1" applyFill="1" applyBorder="1" applyAlignment="1" applyProtection="1">
      <alignment horizontal="center" vertical="center" wrapText="1"/>
      <protection locked="0"/>
    </xf>
    <xf numFmtId="175" fontId="51" fillId="2" borderId="70" xfId="27" applyNumberFormat="1" applyFont="1" applyFill="1" applyBorder="1" applyAlignment="1" applyProtection="1">
      <alignment horizontal="right" vertical="center" wrapText="1"/>
      <protection locked="0"/>
    </xf>
    <xf numFmtId="43" fontId="50" fillId="6" borderId="70" xfId="27" applyFont="1" applyFill="1" applyBorder="1" applyAlignment="1" applyProtection="1">
      <alignment horizontal="right" vertical="center" wrapText="1"/>
      <protection locked="0"/>
    </xf>
    <xf numFmtId="0" fontId="57" fillId="6" borderId="70" xfId="0" applyFont="1" applyFill="1" applyBorder="1" applyAlignment="1" applyProtection="1">
      <alignment horizontal="center" vertical="center" wrapText="1"/>
      <protection locked="0"/>
    </xf>
    <xf numFmtId="3" fontId="50" fillId="2" borderId="70" xfId="0" quotePrefix="1" applyNumberFormat="1" applyFont="1" applyFill="1" applyBorder="1" applyAlignment="1" applyProtection="1">
      <alignment horizontal="center" vertical="center" wrapText="1"/>
      <protection locked="0"/>
    </xf>
    <xf numFmtId="3" fontId="78" fillId="2" borderId="70" xfId="0" applyNumberFormat="1" applyFont="1" applyFill="1" applyBorder="1" applyAlignment="1" applyProtection="1">
      <alignment horizontal="center" vertical="center" wrapText="1"/>
      <protection locked="0"/>
    </xf>
    <xf numFmtId="170" fontId="51" fillId="2" borderId="70" xfId="0" applyNumberFormat="1" applyFont="1" applyFill="1" applyBorder="1" applyAlignment="1" applyProtection="1">
      <alignment horizontal="right" vertical="center" wrapText="1"/>
      <protection locked="0"/>
    </xf>
    <xf numFmtId="181" fontId="51" fillId="2" borderId="70" xfId="0" applyNumberFormat="1" applyFont="1" applyFill="1" applyBorder="1" applyAlignment="1" applyProtection="1">
      <alignment horizontal="right" vertical="center" wrapText="1"/>
      <protection locked="0"/>
    </xf>
    <xf numFmtId="0" fontId="48" fillId="6" borderId="70" xfId="0" applyFont="1" applyFill="1" applyBorder="1" applyAlignment="1" applyProtection="1">
      <alignment horizontal="center" vertical="center" wrapText="1"/>
      <protection locked="0"/>
    </xf>
    <xf numFmtId="0" fontId="48" fillId="6" borderId="70" xfId="0" applyFont="1" applyFill="1" applyBorder="1" applyAlignment="1" applyProtection="1">
      <alignment horizontal="justify" vertical="center" wrapText="1"/>
      <protection locked="0"/>
    </xf>
    <xf numFmtId="166" fontId="48" fillId="6" borderId="70" xfId="0" applyNumberFormat="1" applyFont="1" applyFill="1" applyBorder="1" applyAlignment="1" applyProtection="1">
      <alignment horizontal="right" vertical="center" wrapText="1"/>
      <protection locked="0"/>
    </xf>
    <xf numFmtId="3" fontId="51" fillId="2" borderId="70" xfId="0" applyNumberFormat="1" applyFont="1" applyFill="1" applyBorder="1" applyAlignment="1" applyProtection="1">
      <alignment horizontal="center" vertical="center" wrapText="1"/>
      <protection locked="0"/>
    </xf>
    <xf numFmtId="49" fontId="51" fillId="2" borderId="70" xfId="0" applyNumberFormat="1" applyFont="1" applyFill="1" applyBorder="1" applyAlignment="1" applyProtection="1">
      <alignment vertical="center" wrapText="1"/>
      <protection locked="0"/>
    </xf>
    <xf numFmtId="170" fontId="50" fillId="2" borderId="70" xfId="0" applyNumberFormat="1" applyFont="1" applyFill="1" applyBorder="1" applyAlignment="1" applyProtection="1">
      <alignment horizontal="center" vertical="center" wrapText="1"/>
      <protection locked="0"/>
    </xf>
    <xf numFmtId="170" fontId="51" fillId="2" borderId="70" xfId="0" applyNumberFormat="1" applyFont="1" applyFill="1" applyBorder="1" applyAlignment="1" applyProtection="1">
      <alignment horizontal="center" vertical="center" wrapText="1"/>
      <protection locked="0"/>
    </xf>
    <xf numFmtId="171" fontId="51" fillId="2" borderId="70" xfId="0" applyNumberFormat="1" applyFont="1" applyFill="1" applyBorder="1" applyAlignment="1" applyProtection="1">
      <alignment horizontal="center" vertical="center" wrapText="1"/>
      <protection locked="0"/>
    </xf>
    <xf numFmtId="170" fontId="50" fillId="6" borderId="70" xfId="0" applyNumberFormat="1" applyFont="1" applyFill="1" applyBorder="1" applyAlignment="1" applyProtection="1">
      <alignment horizontal="center" vertical="center" wrapText="1"/>
      <protection locked="0"/>
    </xf>
    <xf numFmtId="171" fontId="51" fillId="6" borderId="70" xfId="0" applyNumberFormat="1" applyFont="1" applyFill="1" applyBorder="1" applyAlignment="1" applyProtection="1">
      <alignment horizontal="center" vertical="center" wrapText="1"/>
      <protection locked="0"/>
    </xf>
    <xf numFmtId="170" fontId="50" fillId="6" borderId="70" xfId="1" applyNumberFormat="1" applyFont="1" applyFill="1" applyBorder="1" applyAlignment="1" applyProtection="1">
      <alignment horizontal="right" vertical="center" wrapText="1"/>
      <protection locked="0"/>
    </xf>
    <xf numFmtId="173" fontId="57" fillId="2" borderId="70" xfId="0" applyNumberFormat="1" applyFont="1" applyFill="1" applyBorder="1" applyAlignment="1" applyProtection="1">
      <alignment horizontal="center" vertical="center" wrapText="1"/>
      <protection locked="0"/>
    </xf>
    <xf numFmtId="173" fontId="57" fillId="2" borderId="70" xfId="0" applyNumberFormat="1" applyFont="1" applyFill="1" applyBorder="1" applyAlignment="1" applyProtection="1">
      <alignment horizontal="justify" vertical="center" wrapText="1"/>
      <protection locked="0"/>
    </xf>
    <xf numFmtId="43" fontId="57" fillId="2" borderId="70" xfId="1" applyFont="1" applyFill="1" applyBorder="1" applyAlignment="1" applyProtection="1">
      <alignment horizontal="center" vertical="center" wrapText="1"/>
      <protection locked="0"/>
    </xf>
    <xf numFmtId="1" fontId="53" fillId="2" borderId="70" xfId="0" applyNumberFormat="1" applyFont="1" applyFill="1" applyBorder="1" applyAlignment="1" applyProtection="1">
      <alignment horizontal="center" vertical="center" wrapText="1"/>
      <protection locked="0"/>
    </xf>
    <xf numFmtId="173" fontId="53" fillId="2" borderId="70" xfId="0" applyNumberFormat="1" applyFont="1" applyFill="1" applyBorder="1" applyAlignment="1" applyProtection="1">
      <alignment horizontal="justify" vertical="center" wrapText="1"/>
      <protection locked="0"/>
    </xf>
    <xf numFmtId="173" fontId="53" fillId="2" borderId="70" xfId="0" applyNumberFormat="1" applyFont="1" applyFill="1" applyBorder="1" applyAlignment="1" applyProtection="1">
      <alignment horizontal="center" vertical="center" wrapText="1"/>
      <protection locked="0"/>
    </xf>
    <xf numFmtId="170" fontId="53" fillId="0" borderId="70" xfId="0" applyNumberFormat="1" applyFont="1" applyFill="1" applyBorder="1" applyAlignment="1" applyProtection="1">
      <alignment horizontal="right" vertical="center" wrapText="1"/>
      <protection locked="0"/>
    </xf>
    <xf numFmtId="186" fontId="53" fillId="2" borderId="70" xfId="39" applyNumberFormat="1" applyFont="1" applyFill="1" applyBorder="1" applyAlignment="1" applyProtection="1">
      <alignment horizontal="right" vertical="center" wrapText="1"/>
      <protection locked="0"/>
    </xf>
    <xf numFmtId="166" fontId="53" fillId="2" borderId="70" xfId="0" applyNumberFormat="1" applyFont="1" applyFill="1" applyBorder="1" applyAlignment="1" applyProtection="1">
      <alignment horizontal="right" vertical="center" wrapText="1"/>
      <protection locked="0"/>
    </xf>
    <xf numFmtId="43" fontId="53" fillId="2" borderId="70" xfId="1" applyFont="1" applyFill="1" applyBorder="1" applyAlignment="1" applyProtection="1">
      <alignment horizontal="right" vertical="center" wrapText="1"/>
      <protection locked="0"/>
    </xf>
    <xf numFmtId="1" fontId="56" fillId="2" borderId="70" xfId="0" applyNumberFormat="1" applyFont="1" applyFill="1" applyBorder="1" applyAlignment="1" applyProtection="1">
      <alignment horizontal="center" vertical="center" wrapText="1"/>
      <protection locked="0"/>
    </xf>
    <xf numFmtId="173" fontId="56" fillId="2" borderId="70" xfId="0" applyNumberFormat="1" applyFont="1" applyFill="1" applyBorder="1" applyAlignment="1" applyProtection="1">
      <alignment horizontal="justify" vertical="center" wrapText="1"/>
      <protection locked="0"/>
    </xf>
    <xf numFmtId="173" fontId="56" fillId="2" borderId="70" xfId="0" applyNumberFormat="1" applyFont="1" applyFill="1" applyBorder="1" applyAlignment="1" applyProtection="1">
      <alignment horizontal="center" vertical="center" wrapText="1"/>
      <protection locked="0"/>
    </xf>
    <xf numFmtId="166" fontId="56" fillId="2" borderId="70" xfId="0" applyNumberFormat="1" applyFont="1" applyFill="1" applyBorder="1" applyAlignment="1" applyProtection="1">
      <alignment horizontal="right" vertical="center" wrapText="1"/>
      <protection locked="0"/>
    </xf>
    <xf numFmtId="43" fontId="56" fillId="2" borderId="70" xfId="1" applyFont="1" applyFill="1" applyBorder="1" applyAlignment="1" applyProtection="1">
      <alignment horizontal="right" vertical="center" wrapText="1"/>
      <protection locked="0"/>
    </xf>
    <xf numFmtId="43" fontId="56" fillId="2" borderId="70" xfId="27" applyFont="1" applyFill="1" applyBorder="1" applyAlignment="1" applyProtection="1">
      <alignment horizontal="right" vertical="center" wrapText="1"/>
      <protection locked="0"/>
    </xf>
    <xf numFmtId="186" fontId="56" fillId="2" borderId="70" xfId="39" applyNumberFormat="1" applyFont="1" applyFill="1" applyBorder="1" applyAlignment="1" applyProtection="1">
      <alignment horizontal="right" vertical="center" wrapText="1"/>
      <protection locked="0"/>
    </xf>
    <xf numFmtId="166" fontId="53" fillId="6" borderId="70" xfId="0" applyNumberFormat="1" applyFont="1" applyFill="1" applyBorder="1" applyAlignment="1" applyProtection="1">
      <alignment horizontal="right" vertical="center" wrapText="1"/>
      <protection locked="0"/>
    </xf>
    <xf numFmtId="43" fontId="53" fillId="2" borderId="70" xfId="0" applyNumberFormat="1" applyFont="1" applyFill="1" applyBorder="1" applyAlignment="1" applyProtection="1">
      <alignment horizontal="right" vertical="center" wrapText="1"/>
    </xf>
    <xf numFmtId="43" fontId="53" fillId="2" borderId="70" xfId="0" applyNumberFormat="1" applyFont="1" applyFill="1" applyBorder="1" applyAlignment="1">
      <alignment horizontal="right" vertical="center" wrapText="1"/>
    </xf>
    <xf numFmtId="166" fontId="56" fillId="6" borderId="70" xfId="0" applyNumberFormat="1" applyFont="1" applyFill="1" applyBorder="1" applyAlignment="1" applyProtection="1">
      <alignment horizontal="right" vertical="center" wrapText="1"/>
      <protection locked="0"/>
    </xf>
    <xf numFmtId="175" fontId="53" fillId="2" borderId="70" xfId="1" applyNumberFormat="1" applyFont="1" applyFill="1" applyBorder="1" applyAlignment="1" applyProtection="1">
      <alignment horizontal="justify" vertical="center" wrapText="1"/>
      <protection locked="0"/>
    </xf>
    <xf numFmtId="175" fontId="53" fillId="2" borderId="70" xfId="1" applyNumberFormat="1" applyFont="1" applyFill="1" applyBorder="1" applyAlignment="1" applyProtection="1">
      <alignment horizontal="center" vertical="center" wrapText="1"/>
      <protection locked="0"/>
    </xf>
    <xf numFmtId="166" fontId="53" fillId="2" borderId="70" xfId="1" applyNumberFormat="1" applyFont="1" applyFill="1" applyBorder="1" applyAlignment="1" applyProtection="1">
      <alignment horizontal="right" vertical="center" wrapText="1"/>
      <protection locked="0"/>
    </xf>
    <xf numFmtId="166" fontId="53" fillId="2" borderId="70" xfId="27" applyNumberFormat="1" applyFont="1" applyFill="1" applyBorder="1" applyAlignment="1" applyProtection="1">
      <alignment horizontal="right" vertical="center" wrapText="1"/>
      <protection locked="0"/>
    </xf>
    <xf numFmtId="175" fontId="53" fillId="2" borderId="70" xfId="1" applyNumberFormat="1" applyFont="1" applyFill="1" applyBorder="1" applyAlignment="1" applyProtection="1">
      <alignment horizontal="right" vertical="center" wrapText="1"/>
      <protection locked="0"/>
    </xf>
    <xf numFmtId="43" fontId="53" fillId="6" borderId="70" xfId="1" applyNumberFormat="1" applyFont="1" applyFill="1" applyBorder="1" applyAlignment="1" applyProtection="1">
      <alignment horizontal="right" vertical="center" wrapText="1"/>
      <protection locked="0"/>
    </xf>
    <xf numFmtId="3" fontId="53" fillId="2" borderId="70" xfId="0" applyNumberFormat="1" applyFont="1" applyFill="1" applyBorder="1" applyAlignment="1" applyProtection="1">
      <alignment horizontal="right" vertical="center" wrapText="1"/>
      <protection locked="0"/>
    </xf>
    <xf numFmtId="170" fontId="56" fillId="0" borderId="70" xfId="0" applyNumberFormat="1" applyFont="1" applyFill="1" applyBorder="1" applyAlignment="1" applyProtection="1">
      <alignment horizontal="right" vertical="center" wrapText="1"/>
      <protection locked="0"/>
    </xf>
    <xf numFmtId="3" fontId="56" fillId="2" borderId="70" xfId="0" applyNumberFormat="1" applyFont="1" applyFill="1" applyBorder="1" applyAlignment="1" applyProtection="1">
      <alignment horizontal="right" vertical="center" wrapText="1"/>
      <protection locked="0"/>
    </xf>
    <xf numFmtId="0" fontId="53" fillId="4" borderId="70" xfId="0" applyFont="1" applyFill="1" applyBorder="1" applyAlignment="1" applyProtection="1">
      <alignment horizontal="justify" vertical="center" wrapText="1"/>
      <protection locked="0"/>
    </xf>
    <xf numFmtId="3" fontId="53" fillId="2" borderId="70" xfId="0" applyNumberFormat="1" applyFont="1" applyFill="1" applyBorder="1" applyAlignment="1" applyProtection="1">
      <alignment horizontal="center" vertical="center" wrapText="1"/>
      <protection locked="0"/>
    </xf>
    <xf numFmtId="171" fontId="53" fillId="2" borderId="70" xfId="0" applyNumberFormat="1" applyFont="1" applyFill="1" applyBorder="1" applyAlignment="1" applyProtection="1">
      <alignment horizontal="right" vertical="center" wrapText="1"/>
      <protection locked="0"/>
    </xf>
    <xf numFmtId="3" fontId="59" fillId="2" borderId="70" xfId="0" applyNumberFormat="1" applyFont="1" applyFill="1" applyBorder="1" applyAlignment="1" applyProtection="1">
      <alignment horizontal="center" vertical="center" wrapText="1"/>
      <protection locked="0"/>
    </xf>
    <xf numFmtId="0" fontId="56" fillId="4" borderId="70" xfId="0" applyFont="1" applyFill="1" applyBorder="1" applyAlignment="1" applyProtection="1">
      <alignment horizontal="justify" vertical="center" wrapText="1"/>
      <protection locked="0"/>
    </xf>
    <xf numFmtId="3" fontId="56" fillId="2" borderId="70" xfId="0" applyNumberFormat="1" applyFont="1" applyFill="1" applyBorder="1" applyAlignment="1" applyProtection="1">
      <alignment horizontal="center" vertical="center" wrapText="1"/>
      <protection locked="0"/>
    </xf>
    <xf numFmtId="171" fontId="56" fillId="2" borderId="70" xfId="0" applyNumberFormat="1" applyFont="1" applyFill="1" applyBorder="1" applyAlignment="1" applyProtection="1">
      <alignment horizontal="right" vertical="center" wrapText="1"/>
      <protection locked="0"/>
    </xf>
    <xf numFmtId="181" fontId="56" fillId="2" borderId="70" xfId="0" applyNumberFormat="1" applyFont="1" applyFill="1" applyBorder="1" applyAlignment="1" applyProtection="1">
      <alignment horizontal="right" vertical="center" wrapText="1"/>
      <protection locked="0"/>
    </xf>
    <xf numFmtId="182" fontId="56" fillId="2" borderId="70" xfId="15" applyNumberFormat="1" applyFont="1" applyFill="1" applyBorder="1" applyAlignment="1" applyProtection="1">
      <alignment horizontal="right" vertical="center" wrapText="1"/>
      <protection locked="0"/>
    </xf>
    <xf numFmtId="175" fontId="53" fillId="0" borderId="70" xfId="1" applyNumberFormat="1" applyFont="1" applyFill="1" applyBorder="1" applyAlignment="1" applyProtection="1">
      <alignment horizontal="center" vertical="center" wrapText="1"/>
      <protection locked="0"/>
    </xf>
    <xf numFmtId="176" fontId="53" fillId="6" borderId="70" xfId="15" applyNumberFormat="1" applyFont="1" applyFill="1" applyBorder="1" applyAlignment="1" applyProtection="1">
      <alignment horizontal="center" vertical="center" wrapText="1"/>
      <protection locked="0"/>
    </xf>
    <xf numFmtId="182" fontId="53" fillId="6" borderId="70" xfId="15" applyNumberFormat="1" applyFont="1" applyFill="1" applyBorder="1" applyAlignment="1" applyProtection="1">
      <alignment horizontal="right" vertical="center" wrapText="1"/>
      <protection locked="0"/>
    </xf>
    <xf numFmtId="0" fontId="63" fillId="2" borderId="70" xfId="0" applyFont="1" applyFill="1" applyBorder="1" applyAlignment="1" applyProtection="1">
      <alignment horizontal="center" vertical="center" wrapText="1"/>
      <protection locked="0"/>
    </xf>
    <xf numFmtId="43" fontId="53" fillId="6" borderId="70" xfId="5" applyNumberFormat="1" applyFont="1" applyFill="1" applyBorder="1" applyAlignment="1">
      <alignment horizontal="right" vertical="center" wrapText="1"/>
    </xf>
    <xf numFmtId="175" fontId="53" fillId="6" borderId="70" xfId="1" applyNumberFormat="1" applyFont="1" applyFill="1" applyBorder="1" applyAlignment="1">
      <alignment horizontal="right" vertical="center" wrapText="1"/>
    </xf>
    <xf numFmtId="170" fontId="57" fillId="6" borderId="70" xfId="23" applyNumberFormat="1" applyFont="1" applyFill="1" applyBorder="1" applyAlignment="1">
      <alignment horizontal="right" vertical="center" wrapText="1"/>
    </xf>
    <xf numFmtId="43" fontId="57" fillId="6" borderId="70" xfId="15" applyNumberFormat="1" applyFont="1" applyFill="1" applyBorder="1" applyAlignment="1" applyProtection="1">
      <alignment horizontal="right" vertical="center" wrapText="1"/>
      <protection locked="0"/>
    </xf>
    <xf numFmtId="43" fontId="53" fillId="6" borderId="70" xfId="0" applyNumberFormat="1" applyFont="1" applyFill="1" applyBorder="1" applyAlignment="1" applyProtection="1">
      <alignment horizontal="right" vertical="center" wrapText="1"/>
      <protection locked="0"/>
    </xf>
    <xf numFmtId="0" fontId="53" fillId="0" borderId="70" xfId="0" applyFont="1" applyFill="1" applyBorder="1" applyAlignment="1" applyProtection="1">
      <alignment horizontal="justify" vertical="center" wrapText="1"/>
      <protection locked="0"/>
    </xf>
    <xf numFmtId="176" fontId="53" fillId="0" borderId="70" xfId="1" applyNumberFormat="1" applyFont="1" applyFill="1" applyBorder="1" applyAlignment="1" applyProtection="1">
      <alignment horizontal="right" vertical="center" wrapText="1"/>
      <protection locked="0"/>
    </xf>
    <xf numFmtId="0" fontId="53" fillId="2" borderId="70" xfId="0" applyFont="1" applyFill="1" applyBorder="1" applyAlignment="1" applyProtection="1">
      <alignment horizontal="right" vertical="center" wrapText="1"/>
    </xf>
    <xf numFmtId="164" fontId="53" fillId="6" borderId="70" xfId="39" applyFont="1" applyFill="1" applyBorder="1" applyAlignment="1" applyProtection="1">
      <alignment horizontal="right" vertical="center" wrapText="1"/>
    </xf>
    <xf numFmtId="164" fontId="53" fillId="6" borderId="70" xfId="39" applyFont="1" applyFill="1" applyBorder="1" applyAlignment="1">
      <alignment horizontal="right" vertical="center" wrapText="1"/>
    </xf>
    <xf numFmtId="170" fontId="53" fillId="0" borderId="70" xfId="0" applyNumberFormat="1" applyFont="1" applyBorder="1" applyAlignment="1" applyProtection="1">
      <alignment horizontal="right" vertical="center" wrapText="1"/>
      <protection locked="0"/>
    </xf>
    <xf numFmtId="175" fontId="53" fillId="2" borderId="70" xfId="27" applyNumberFormat="1" applyFont="1" applyFill="1" applyBorder="1" applyAlignment="1" applyProtection="1">
      <alignment horizontal="right" vertical="center" wrapText="1"/>
      <protection locked="0"/>
    </xf>
    <xf numFmtId="43" fontId="57" fillId="2" borderId="70" xfId="1" applyNumberFormat="1" applyFont="1" applyFill="1" applyBorder="1" applyAlignment="1" applyProtection="1">
      <alignment horizontal="right" vertical="center" wrapText="1"/>
      <protection locked="0"/>
    </xf>
    <xf numFmtId="169" fontId="53" fillId="0" borderId="70" xfId="0" applyNumberFormat="1" applyFont="1" applyFill="1" applyBorder="1" applyAlignment="1" applyProtection="1">
      <alignment horizontal="right" vertical="center" wrapText="1"/>
      <protection locked="0"/>
    </xf>
    <xf numFmtId="169" fontId="53" fillId="2" borderId="70" xfId="0" applyNumberFormat="1" applyFont="1" applyFill="1" applyBorder="1" applyAlignment="1" applyProtection="1">
      <alignment horizontal="right" vertical="center" wrapText="1"/>
      <protection locked="0"/>
    </xf>
    <xf numFmtId="170" fontId="53" fillId="6" borderId="70" xfId="23" applyNumberFormat="1" applyFont="1" applyFill="1" applyBorder="1" applyAlignment="1">
      <alignment horizontal="right" vertical="center" wrapText="1"/>
    </xf>
    <xf numFmtId="1" fontId="53" fillId="0" borderId="70" xfId="0" applyNumberFormat="1" applyFont="1" applyFill="1" applyBorder="1" applyAlignment="1" applyProtection="1">
      <alignment horizontal="right" vertical="center" wrapText="1"/>
      <protection locked="0"/>
    </xf>
    <xf numFmtId="1" fontId="53" fillId="2" borderId="70" xfId="0" applyNumberFormat="1" applyFont="1" applyFill="1" applyBorder="1" applyAlignment="1" applyProtection="1">
      <alignment horizontal="right" vertical="center" wrapText="1"/>
      <protection locked="0"/>
    </xf>
    <xf numFmtId="1" fontId="56" fillId="0" borderId="70" xfId="0" applyNumberFormat="1" applyFont="1" applyFill="1" applyBorder="1" applyAlignment="1" applyProtection="1">
      <alignment horizontal="center" vertical="center" wrapText="1"/>
      <protection locked="0"/>
    </xf>
    <xf numFmtId="173" fontId="56" fillId="0" borderId="70" xfId="0" applyNumberFormat="1" applyFont="1" applyFill="1" applyBorder="1" applyAlignment="1" applyProtection="1">
      <alignment horizontal="justify" vertical="center" wrapText="1"/>
      <protection locked="0"/>
    </xf>
    <xf numFmtId="1" fontId="56" fillId="0" borderId="70" xfId="0" applyNumberFormat="1" applyFont="1" applyFill="1" applyBorder="1" applyAlignment="1" applyProtection="1">
      <alignment horizontal="right" vertical="center" wrapText="1"/>
      <protection locked="0"/>
    </xf>
    <xf numFmtId="1" fontId="56" fillId="2" borderId="70" xfId="0" applyNumberFormat="1" applyFont="1" applyFill="1" applyBorder="1" applyAlignment="1" applyProtection="1">
      <alignment horizontal="right" vertical="center" wrapText="1"/>
      <protection locked="0"/>
    </xf>
    <xf numFmtId="1" fontId="56" fillId="6" borderId="70" xfId="0" applyNumberFormat="1" applyFont="1" applyFill="1" applyBorder="1" applyAlignment="1" applyProtection="1">
      <alignment horizontal="right" vertical="center" wrapText="1"/>
      <protection locked="0"/>
    </xf>
    <xf numFmtId="164" fontId="56" fillId="0" borderId="70" xfId="39" applyFont="1" applyFill="1" applyBorder="1" applyAlignment="1" applyProtection="1">
      <alignment horizontal="right" vertical="center" wrapText="1"/>
      <protection locked="0"/>
    </xf>
    <xf numFmtId="175" fontId="53" fillId="2" borderId="70" xfId="27" applyNumberFormat="1" applyFont="1" applyFill="1" applyBorder="1" applyAlignment="1" applyProtection="1">
      <alignment horizontal="center" vertical="center" wrapText="1"/>
      <protection locked="0"/>
    </xf>
    <xf numFmtId="175" fontId="56" fillId="2" borderId="70" xfId="27" applyNumberFormat="1" applyFont="1" applyFill="1" applyBorder="1" applyAlignment="1" applyProtection="1">
      <alignment horizontal="center" vertical="center" wrapText="1"/>
      <protection locked="0"/>
    </xf>
    <xf numFmtId="175" fontId="56" fillId="2" borderId="70" xfId="1" applyNumberFormat="1" applyFont="1" applyFill="1" applyBorder="1" applyAlignment="1" applyProtection="1">
      <alignment horizontal="center" vertical="center" wrapText="1"/>
      <protection locked="0"/>
    </xf>
    <xf numFmtId="175" fontId="56" fillId="2" borderId="70" xfId="27" applyNumberFormat="1" applyFont="1" applyFill="1" applyBorder="1" applyAlignment="1" applyProtection="1">
      <alignment horizontal="right" vertical="center" wrapText="1"/>
      <protection locked="0"/>
    </xf>
    <xf numFmtId="178" fontId="53" fillId="2" borderId="70" xfId="27" applyNumberFormat="1" applyFont="1" applyFill="1" applyBorder="1" applyAlignment="1" applyProtection="1">
      <alignment horizontal="center" vertical="center" wrapText="1"/>
      <protection locked="0"/>
    </xf>
    <xf numFmtId="178" fontId="53" fillId="2" borderId="70" xfId="27" applyNumberFormat="1" applyFont="1" applyFill="1" applyBorder="1" applyAlignment="1" applyProtection="1">
      <alignment horizontal="right" vertical="center" wrapText="1"/>
      <protection locked="0"/>
    </xf>
    <xf numFmtId="178" fontId="56" fillId="2" borderId="70" xfId="27" applyNumberFormat="1" applyFont="1" applyFill="1" applyBorder="1" applyAlignment="1" applyProtection="1">
      <alignment horizontal="center" vertical="center" wrapText="1"/>
      <protection locked="0"/>
    </xf>
    <xf numFmtId="178" fontId="56" fillId="2" borderId="70" xfId="27" applyNumberFormat="1" applyFont="1" applyFill="1" applyBorder="1" applyAlignment="1" applyProtection="1">
      <alignment horizontal="right" vertical="center" wrapText="1"/>
      <protection locked="0"/>
    </xf>
    <xf numFmtId="1" fontId="53" fillId="0" borderId="70" xfId="0" applyNumberFormat="1" applyFont="1" applyFill="1" applyBorder="1" applyAlignment="1" applyProtection="1">
      <alignment horizontal="center" vertical="center" wrapText="1"/>
      <protection locked="0"/>
    </xf>
    <xf numFmtId="3" fontId="53" fillId="0" borderId="70" xfId="0" applyNumberFormat="1" applyFont="1" applyFill="1" applyBorder="1" applyAlignment="1" applyProtection="1">
      <alignment horizontal="right" vertical="center" wrapText="1"/>
      <protection locked="0"/>
    </xf>
    <xf numFmtId="176" fontId="53" fillId="2" borderId="70" xfId="0" applyNumberFormat="1" applyFont="1" applyFill="1" applyBorder="1" applyAlignment="1">
      <alignment horizontal="right" vertical="center" wrapText="1"/>
    </xf>
    <xf numFmtId="0" fontId="53" fillId="2" borderId="70" xfId="0" applyFont="1" applyFill="1" applyBorder="1" applyAlignment="1" applyProtection="1">
      <alignment horizontal="center" vertical="center" wrapText="1"/>
    </xf>
    <xf numFmtId="164" fontId="53" fillId="2" borderId="70" xfId="39" applyFont="1" applyFill="1" applyBorder="1" applyAlignment="1" applyProtection="1">
      <alignment horizontal="right" vertical="center" wrapText="1"/>
      <protection locked="0"/>
    </xf>
    <xf numFmtId="49" fontId="53" fillId="2" borderId="70" xfId="0" applyNumberFormat="1" applyFont="1" applyFill="1" applyBorder="1" applyAlignment="1" applyProtection="1">
      <alignment horizontal="justify" vertical="center" wrapText="1"/>
      <protection locked="0"/>
    </xf>
    <xf numFmtId="176" fontId="53" fillId="2" borderId="70" xfId="15" applyNumberFormat="1" applyFont="1" applyFill="1" applyBorder="1" applyAlignment="1" applyProtection="1">
      <alignment horizontal="right" vertical="center" wrapText="1"/>
      <protection locked="0"/>
    </xf>
    <xf numFmtId="176" fontId="53" fillId="2" borderId="70" xfId="27" applyNumberFormat="1" applyFont="1" applyFill="1" applyBorder="1" applyAlignment="1" applyProtection="1">
      <alignment horizontal="right" vertical="center" wrapText="1"/>
      <protection locked="0"/>
    </xf>
    <xf numFmtId="0" fontId="53" fillId="2" borderId="70" xfId="0" applyFont="1" applyFill="1" applyBorder="1" applyAlignment="1" applyProtection="1">
      <alignment horizontal="right" vertical="center" wrapText="1"/>
      <protection locked="0"/>
    </xf>
    <xf numFmtId="0" fontId="86" fillId="2" borderId="70" xfId="0" applyFont="1" applyFill="1" applyBorder="1" applyAlignment="1" applyProtection="1">
      <alignment horizontal="center" vertical="center" wrapText="1"/>
      <protection locked="0"/>
    </xf>
    <xf numFmtId="173" fontId="56" fillId="0" borderId="70" xfId="0" applyNumberFormat="1" applyFont="1" applyFill="1" applyBorder="1" applyAlignment="1" applyProtection="1">
      <alignment horizontal="center" vertical="center" wrapText="1"/>
      <protection locked="0"/>
    </xf>
    <xf numFmtId="0" fontId="50" fillId="2" borderId="70" xfId="0" applyFont="1" applyFill="1" applyBorder="1" applyAlignment="1" applyProtection="1">
      <alignment horizontal="right" vertical="center" wrapText="1"/>
      <protection locked="0"/>
    </xf>
    <xf numFmtId="176" fontId="50" fillId="2" borderId="70" xfId="27" applyNumberFormat="1" applyFont="1" applyBorder="1" applyAlignment="1">
      <alignment horizontal="right" vertical="center" wrapText="1" shrinkToFit="1"/>
    </xf>
    <xf numFmtId="171" fontId="50" fillId="6" borderId="70" xfId="40" applyNumberFormat="1" applyFont="1" applyFill="1" applyBorder="1" applyAlignment="1" applyProtection="1">
      <alignment horizontal="right" vertical="center" wrapText="1" shrinkToFit="1"/>
      <protection locked="0"/>
    </xf>
    <xf numFmtId="170" fontId="50" fillId="2" borderId="70" xfId="40" applyNumberFormat="1" applyFont="1" applyFill="1" applyBorder="1" applyAlignment="1" applyProtection="1">
      <alignment horizontal="right" vertical="center" wrapText="1" shrinkToFit="1"/>
      <protection locked="0"/>
    </xf>
    <xf numFmtId="170" fontId="51" fillId="2" borderId="70" xfId="40" applyNumberFormat="1" applyFont="1" applyFill="1" applyBorder="1" applyAlignment="1" applyProtection="1">
      <alignment horizontal="right" vertical="center" wrapText="1" shrinkToFit="1"/>
      <protection locked="0"/>
    </xf>
    <xf numFmtId="170" fontId="56" fillId="2" borderId="70" xfId="0" applyNumberFormat="1" applyFont="1" applyFill="1" applyBorder="1" applyAlignment="1" applyProtection="1">
      <alignment horizontal="right" vertical="center" wrapText="1"/>
      <protection locked="0"/>
    </xf>
    <xf numFmtId="43" fontId="50" fillId="2" borderId="70" xfId="27" applyFont="1" applyBorder="1" applyAlignment="1">
      <alignment horizontal="right" vertical="center" wrapText="1"/>
    </xf>
    <xf numFmtId="186" fontId="50" fillId="2" borderId="70" xfId="39" applyNumberFormat="1" applyFont="1" applyFill="1" applyBorder="1" applyAlignment="1" applyProtection="1">
      <alignment horizontal="right" vertical="center"/>
      <protection locked="0"/>
    </xf>
    <xf numFmtId="171" fontId="50" fillId="2" borderId="70" xfId="0" applyNumberFormat="1" applyFont="1" applyFill="1" applyBorder="1" applyAlignment="1" applyProtection="1">
      <alignment horizontal="right" vertical="center"/>
      <protection locked="0"/>
    </xf>
    <xf numFmtId="1" fontId="50" fillId="2" borderId="70" xfId="0" applyNumberFormat="1" applyFont="1" applyFill="1" applyBorder="1" applyAlignment="1" applyProtection="1">
      <alignment horizontal="center" vertical="center" wrapText="1"/>
      <protection locked="0"/>
    </xf>
    <xf numFmtId="173" fontId="50" fillId="2" borderId="70" xfId="0" applyNumberFormat="1" applyFont="1" applyFill="1" applyBorder="1" applyAlignment="1" applyProtection="1">
      <alignment horizontal="justify" vertical="center" wrapText="1"/>
      <protection locked="0"/>
    </xf>
    <xf numFmtId="1" fontId="50" fillId="2" borderId="70" xfId="0" applyNumberFormat="1" applyFont="1" applyFill="1" applyBorder="1" applyAlignment="1" applyProtection="1">
      <alignment horizontal="justify" vertical="center" wrapText="1"/>
      <protection locked="0"/>
    </xf>
    <xf numFmtId="1" fontId="51" fillId="2" borderId="70" xfId="0" applyNumberFormat="1" applyFont="1" applyFill="1" applyBorder="1" applyAlignment="1" applyProtection="1">
      <alignment horizontal="center" vertical="center" wrapText="1"/>
      <protection locked="0"/>
    </xf>
    <xf numFmtId="1" fontId="51" fillId="2" borderId="70" xfId="0" applyNumberFormat="1" applyFont="1" applyFill="1" applyBorder="1" applyAlignment="1" applyProtection="1">
      <alignment horizontal="justify" vertical="center" wrapText="1"/>
      <protection locked="0"/>
    </xf>
    <xf numFmtId="173" fontId="51" fillId="2" borderId="70" xfId="0" applyNumberFormat="1" applyFont="1" applyFill="1" applyBorder="1" applyAlignment="1" applyProtection="1">
      <alignment horizontal="center" vertical="center" wrapText="1"/>
      <protection locked="0"/>
    </xf>
    <xf numFmtId="171" fontId="47" fillId="2" borderId="0" xfId="0" applyNumberFormat="1" applyFont="1" applyFill="1" applyAlignment="1" applyProtection="1">
      <alignment vertical="center" wrapText="1"/>
      <protection locked="0"/>
    </xf>
    <xf numFmtId="170" fontId="76" fillId="2" borderId="0" xfId="0" applyNumberFormat="1" applyFont="1" applyFill="1" applyAlignment="1" applyProtection="1">
      <alignment horizontal="center" vertical="center" wrapText="1"/>
    </xf>
    <xf numFmtId="170" fontId="55" fillId="2" borderId="0" xfId="0" applyNumberFormat="1" applyFont="1" applyFill="1" applyAlignment="1" applyProtection="1">
      <alignment horizontal="right" vertical="center" wrapText="1"/>
      <protection locked="0"/>
    </xf>
    <xf numFmtId="171" fontId="75" fillId="2" borderId="0" xfId="0" applyNumberFormat="1" applyFont="1" applyFill="1" applyAlignment="1" applyProtection="1">
      <alignment vertical="center" wrapText="1"/>
      <protection locked="0"/>
    </xf>
    <xf numFmtId="176" fontId="75" fillId="2" borderId="0" xfId="1" applyNumberFormat="1" applyFont="1" applyFill="1" applyAlignment="1" applyProtection="1">
      <alignment vertical="center" wrapText="1"/>
      <protection locked="0"/>
    </xf>
    <xf numFmtId="170" fontId="52" fillId="2" borderId="0" xfId="0" applyNumberFormat="1" applyFont="1" applyFill="1" applyAlignment="1" applyProtection="1">
      <alignment horizontal="right" vertical="center" wrapText="1"/>
      <protection locked="0"/>
    </xf>
    <xf numFmtId="171" fontId="52" fillId="2" borderId="0" xfId="0" applyNumberFormat="1" applyFont="1" applyFill="1" applyAlignment="1" applyProtection="1">
      <alignment vertical="center" wrapText="1"/>
      <protection locked="0"/>
    </xf>
    <xf numFmtId="176" fontId="52" fillId="2" borderId="0" xfId="1" applyNumberFormat="1" applyFont="1" applyFill="1" applyAlignment="1" applyProtection="1">
      <alignment vertical="center" wrapText="1"/>
      <protection locked="0"/>
    </xf>
    <xf numFmtId="1" fontId="52" fillId="2" borderId="0" xfId="0" applyNumberFormat="1" applyFont="1" applyFill="1" applyAlignment="1" applyProtection="1">
      <alignment vertical="center" wrapText="1"/>
      <protection locked="0"/>
    </xf>
    <xf numFmtId="176" fontId="53" fillId="2" borderId="70" xfId="27" applyNumberFormat="1" applyFont="1" applyFill="1" applyBorder="1" applyAlignment="1" applyProtection="1">
      <alignment horizontal="right" vertical="center" wrapText="1"/>
    </xf>
    <xf numFmtId="43" fontId="54" fillId="2" borderId="0" xfId="1" applyNumberFormat="1" applyFont="1" applyFill="1" applyAlignment="1" applyProtection="1">
      <alignment vertical="center" wrapText="1"/>
      <protection locked="0"/>
    </xf>
    <xf numFmtId="43" fontId="56" fillId="2" borderId="70" xfId="1" applyFont="1" applyFill="1" applyBorder="1" applyAlignment="1" applyProtection="1">
      <alignment horizontal="right" vertical="center" wrapText="1"/>
    </xf>
    <xf numFmtId="166" fontId="55" fillId="2" borderId="0" xfId="0" applyNumberFormat="1" applyFont="1" applyFill="1" applyAlignment="1" applyProtection="1">
      <alignment horizontal="right" vertical="center" wrapText="1"/>
      <protection locked="0"/>
    </xf>
    <xf numFmtId="171" fontId="55" fillId="2" borderId="0" xfId="0" applyNumberFormat="1" applyFont="1" applyFill="1" applyAlignment="1" applyProtection="1">
      <alignment horizontal="right" vertical="center" wrapText="1"/>
      <protection locked="0"/>
    </xf>
    <xf numFmtId="43" fontId="55" fillId="2" borderId="0" xfId="1" applyFont="1" applyFill="1" applyAlignment="1" applyProtection="1">
      <alignment vertical="center" wrapText="1"/>
      <protection locked="0"/>
    </xf>
    <xf numFmtId="175" fontId="55" fillId="2" borderId="0" xfId="1" applyNumberFormat="1" applyFont="1" applyFill="1" applyAlignment="1" applyProtection="1">
      <alignment vertical="center" wrapText="1"/>
      <protection locked="0"/>
    </xf>
    <xf numFmtId="1" fontId="55" fillId="2" borderId="0" xfId="0" applyNumberFormat="1" applyFont="1" applyFill="1" applyAlignment="1" applyProtection="1">
      <alignment vertical="center" wrapText="1"/>
      <protection locked="0"/>
    </xf>
    <xf numFmtId="2" fontId="53" fillId="2" borderId="70" xfId="0" applyNumberFormat="1" applyFont="1" applyFill="1" applyBorder="1" applyAlignment="1" applyProtection="1">
      <alignment horizontal="right" vertical="center" wrapText="1"/>
    </xf>
    <xf numFmtId="2" fontId="56" fillId="2" borderId="70" xfId="0" applyNumberFormat="1" applyFont="1" applyFill="1" applyBorder="1" applyAlignment="1" applyProtection="1">
      <alignment horizontal="right" vertical="center" wrapText="1"/>
    </xf>
    <xf numFmtId="175" fontId="54" fillId="2" borderId="0" xfId="1" applyNumberFormat="1" applyFont="1" applyFill="1" applyAlignment="1" applyProtection="1">
      <alignment vertical="center" wrapText="1"/>
      <protection locked="0"/>
    </xf>
    <xf numFmtId="1" fontId="47" fillId="2" borderId="0" xfId="0" applyNumberFormat="1" applyFont="1" applyFill="1" applyAlignment="1" applyProtection="1">
      <alignment vertical="center" wrapText="1"/>
      <protection locked="0"/>
    </xf>
    <xf numFmtId="176" fontId="55" fillId="2" borderId="0" xfId="1" applyNumberFormat="1" applyFont="1" applyFill="1" applyAlignment="1" applyProtection="1">
      <alignment vertical="center" wrapText="1"/>
      <protection locked="0"/>
    </xf>
    <xf numFmtId="0" fontId="55" fillId="2" borderId="0" xfId="0" applyFont="1" applyFill="1" applyAlignment="1" applyProtection="1">
      <alignment vertical="center" wrapText="1"/>
      <protection locked="0"/>
    </xf>
    <xf numFmtId="43" fontId="66" fillId="2" borderId="0" xfId="1" applyFont="1" applyFill="1" applyAlignment="1" applyProtection="1">
      <alignment vertical="center" wrapText="1"/>
      <protection locked="0"/>
    </xf>
    <xf numFmtId="43" fontId="75" fillId="2" borderId="0" xfId="1" applyFont="1" applyFill="1" applyAlignment="1" applyProtection="1">
      <alignment vertical="center" wrapText="1"/>
      <protection locked="0"/>
    </xf>
    <xf numFmtId="3" fontId="66" fillId="2" borderId="0" xfId="0" applyNumberFormat="1" applyFont="1" applyFill="1" applyAlignment="1" applyProtection="1">
      <alignment vertical="center" wrapText="1"/>
      <protection locked="0"/>
    </xf>
    <xf numFmtId="170" fontId="54" fillId="2" borderId="3" xfId="0" applyNumberFormat="1" applyFont="1" applyFill="1" applyBorder="1" applyAlignment="1" applyProtection="1">
      <alignment vertical="center" wrapText="1"/>
      <protection locked="0"/>
    </xf>
    <xf numFmtId="171" fontId="55" fillId="2" borderId="0" xfId="0" applyNumberFormat="1" applyFont="1" applyFill="1" applyAlignment="1" applyProtection="1">
      <alignment vertical="center" wrapText="1"/>
      <protection locked="0"/>
    </xf>
    <xf numFmtId="171" fontId="83" fillId="2" borderId="0" xfId="0" applyNumberFormat="1" applyFont="1" applyFill="1" applyAlignment="1" applyProtection="1">
      <alignment vertical="center" wrapText="1"/>
      <protection locked="0"/>
    </xf>
    <xf numFmtId="176" fontId="83" fillId="2" borderId="0" xfId="1" applyNumberFormat="1" applyFont="1" applyFill="1" applyAlignment="1" applyProtection="1">
      <alignment vertical="center" wrapText="1"/>
      <protection locked="0"/>
    </xf>
    <xf numFmtId="3" fontId="83" fillId="2" borderId="0" xfId="0" applyNumberFormat="1" applyFont="1" applyFill="1" applyAlignment="1" applyProtection="1">
      <alignment vertical="center" wrapText="1"/>
      <protection locked="0"/>
    </xf>
    <xf numFmtId="170" fontId="54" fillId="0" borderId="0" xfId="0" applyNumberFormat="1" applyFont="1" applyFill="1" applyAlignment="1" applyProtection="1">
      <alignment horizontal="right" vertical="center" wrapText="1"/>
      <protection locked="0"/>
    </xf>
    <xf numFmtId="174" fontId="57" fillId="2" borderId="70" xfId="1" applyNumberFormat="1" applyFont="1" applyFill="1" applyBorder="1" applyAlignment="1" applyProtection="1">
      <alignment horizontal="right" vertical="center" wrapText="1"/>
      <protection locked="0"/>
    </xf>
    <xf numFmtId="167" fontId="53" fillId="2" borderId="70" xfId="1" applyNumberFormat="1" applyFont="1" applyFill="1" applyBorder="1" applyAlignment="1" applyProtection="1">
      <alignment horizontal="right" vertical="center" wrapText="1"/>
      <protection locked="0"/>
    </xf>
    <xf numFmtId="176" fontId="54" fillId="2" borderId="0" xfId="1" applyNumberFormat="1" applyFont="1" applyFill="1" applyAlignment="1" applyProtection="1">
      <alignment horizontal="right" vertical="center" wrapText="1"/>
      <protection locked="0"/>
    </xf>
    <xf numFmtId="0" fontId="47" fillId="2" borderId="0" xfId="0" applyFont="1" applyFill="1" applyAlignment="1" applyProtection="1">
      <alignment horizontal="right" vertical="center" wrapText="1"/>
      <protection locked="0"/>
    </xf>
    <xf numFmtId="175" fontId="53" fillId="2" borderId="70" xfId="0" applyNumberFormat="1" applyFont="1" applyFill="1" applyBorder="1" applyAlignment="1">
      <alignment horizontal="right" vertical="center" wrapText="1"/>
    </xf>
    <xf numFmtId="175" fontId="53" fillId="6" borderId="70" xfId="0" applyNumberFormat="1" applyFont="1" applyFill="1" applyBorder="1" applyAlignment="1">
      <alignment horizontal="right" vertical="center" wrapText="1"/>
    </xf>
    <xf numFmtId="175" fontId="53" fillId="9" borderId="70" xfId="27" applyNumberFormat="1" applyFont="1" applyFill="1" applyBorder="1" applyAlignment="1" applyProtection="1">
      <alignment horizontal="right" vertical="center" wrapText="1"/>
      <protection locked="0"/>
    </xf>
    <xf numFmtId="1" fontId="53" fillId="6" borderId="70" xfId="0" applyNumberFormat="1" applyFont="1" applyFill="1" applyBorder="1" applyAlignment="1" applyProtection="1">
      <alignment horizontal="right" vertical="center" wrapText="1"/>
      <protection locked="0"/>
    </xf>
    <xf numFmtId="176" fontId="56" fillId="2" borderId="70" xfId="1" applyNumberFormat="1" applyFont="1" applyFill="1" applyBorder="1" applyAlignment="1" applyProtection="1">
      <alignment horizontal="right" vertical="center" wrapText="1"/>
      <protection locked="0"/>
    </xf>
    <xf numFmtId="176" fontId="56" fillId="2" borderId="70" xfId="0" applyNumberFormat="1" applyFont="1" applyFill="1" applyBorder="1" applyAlignment="1">
      <alignment horizontal="right" vertical="center" wrapText="1"/>
    </xf>
    <xf numFmtId="170" fontId="55" fillId="0" borderId="0" xfId="0" applyNumberFormat="1" applyFont="1" applyFill="1" applyAlignment="1" applyProtection="1">
      <alignment horizontal="right" vertical="center" wrapText="1"/>
      <protection locked="0"/>
    </xf>
    <xf numFmtId="175" fontId="56" fillId="2" borderId="70" xfId="1" applyNumberFormat="1" applyFont="1" applyFill="1" applyBorder="1" applyAlignment="1" applyProtection="1">
      <alignment horizontal="right" vertical="center" wrapText="1"/>
      <protection locked="0"/>
    </xf>
    <xf numFmtId="175" fontId="56" fillId="2" borderId="70" xfId="0" applyNumberFormat="1" applyFont="1" applyFill="1" applyBorder="1" applyAlignment="1">
      <alignment horizontal="right" vertical="center" wrapText="1"/>
    </xf>
    <xf numFmtId="3" fontId="53" fillId="6" borderId="70" xfId="0" applyNumberFormat="1" applyFont="1" applyFill="1" applyBorder="1" applyAlignment="1" applyProtection="1">
      <alignment horizontal="right" vertical="center" wrapText="1"/>
      <protection locked="0"/>
    </xf>
    <xf numFmtId="176" fontId="81" fillId="2" borderId="0" xfId="1" applyNumberFormat="1" applyFont="1" applyFill="1" applyAlignment="1" applyProtection="1">
      <alignment vertical="center" wrapText="1"/>
      <protection locked="0"/>
    </xf>
    <xf numFmtId="171" fontId="81" fillId="2" borderId="0" xfId="0" applyNumberFormat="1" applyFont="1" applyFill="1" applyAlignment="1" applyProtection="1">
      <alignment vertical="center" wrapText="1"/>
      <protection locked="0"/>
    </xf>
    <xf numFmtId="176" fontId="53" fillId="2" borderId="0" xfId="1" applyNumberFormat="1" applyFont="1" applyFill="1" applyBorder="1" applyAlignment="1" applyProtection="1">
      <alignment horizontal="center" vertical="center" wrapText="1"/>
      <protection locked="0"/>
    </xf>
    <xf numFmtId="43" fontId="59" fillId="2" borderId="0" xfId="1" applyNumberFormat="1" applyFont="1" applyFill="1" applyBorder="1" applyAlignment="1" applyProtection="1">
      <alignment horizontal="center" vertical="center" wrapText="1"/>
      <protection locked="0"/>
    </xf>
    <xf numFmtId="175" fontId="59" fillId="2" borderId="0" xfId="1" applyNumberFormat="1" applyFont="1" applyFill="1" applyBorder="1" applyAlignment="1" applyProtection="1">
      <alignment horizontal="center" vertical="center" wrapText="1"/>
      <protection locked="0"/>
    </xf>
    <xf numFmtId="175" fontId="56" fillId="2" borderId="0" xfId="1" applyNumberFormat="1" applyFont="1" applyFill="1" applyBorder="1" applyAlignment="1" applyProtection="1">
      <alignment horizontal="center" vertical="center" wrapText="1"/>
      <protection locked="0"/>
    </xf>
    <xf numFmtId="175" fontId="57" fillId="2" borderId="0" xfId="1" applyNumberFormat="1" applyFont="1" applyFill="1" applyBorder="1" applyAlignment="1" applyProtection="1">
      <alignment horizontal="center" vertical="center" wrapText="1"/>
      <protection locked="0"/>
    </xf>
    <xf numFmtId="175" fontId="57" fillId="4" borderId="0" xfId="1" applyNumberFormat="1" applyFont="1" applyFill="1" applyBorder="1" applyAlignment="1" applyProtection="1">
      <alignment horizontal="right" vertical="center" wrapText="1"/>
      <protection locked="0"/>
    </xf>
    <xf numFmtId="166" fontId="53" fillId="0" borderId="0" xfId="0" applyNumberFormat="1" applyFont="1" applyFill="1" applyBorder="1" applyAlignment="1" applyProtection="1">
      <alignment horizontal="right" vertical="center" wrapText="1"/>
      <protection locked="0"/>
    </xf>
    <xf numFmtId="166" fontId="53" fillId="0" borderId="0" xfId="0" applyNumberFormat="1" applyFont="1" applyFill="1" applyBorder="1" applyAlignment="1" applyProtection="1">
      <alignment vertical="center" wrapText="1"/>
      <protection locked="0"/>
    </xf>
    <xf numFmtId="175" fontId="56" fillId="0" borderId="0" xfId="1" applyNumberFormat="1" applyFont="1" applyFill="1" applyBorder="1" applyAlignment="1" applyProtection="1">
      <alignment horizontal="right" vertical="center" wrapText="1"/>
      <protection locked="0"/>
    </xf>
    <xf numFmtId="175" fontId="56" fillId="0" borderId="0" xfId="1" applyNumberFormat="1" applyFont="1" applyFill="1" applyBorder="1" applyAlignment="1" applyProtection="1">
      <alignment horizontal="center" vertical="center" wrapText="1"/>
      <protection locked="0"/>
    </xf>
    <xf numFmtId="176" fontId="53" fillId="2" borderId="0" xfId="15" applyNumberFormat="1" applyFont="1" applyFill="1" applyBorder="1" applyAlignment="1" applyProtection="1">
      <alignment horizontal="center" vertical="center" wrapText="1"/>
      <protection locked="0"/>
    </xf>
    <xf numFmtId="170" fontId="59" fillId="2" borderId="0" xfId="0" applyNumberFormat="1" applyFont="1" applyFill="1" applyBorder="1" applyAlignment="1" applyProtection="1">
      <alignment vertical="center" wrapText="1"/>
      <protection locked="0"/>
    </xf>
    <xf numFmtId="176" fontId="56" fillId="2" borderId="0" xfId="1" applyNumberFormat="1" applyFont="1" applyFill="1" applyBorder="1" applyAlignment="1" applyProtection="1">
      <alignment horizontal="center" vertical="center" wrapText="1"/>
      <protection locked="0"/>
    </xf>
    <xf numFmtId="175" fontId="56" fillId="2" borderId="0" xfId="27" applyNumberFormat="1" applyFont="1" applyFill="1" applyBorder="1" applyAlignment="1" applyProtection="1">
      <alignment horizontal="center" vertical="center" wrapText="1"/>
      <protection locked="0"/>
    </xf>
    <xf numFmtId="176" fontId="57" fillId="2" borderId="0" xfId="1" applyNumberFormat="1" applyFont="1" applyFill="1" applyBorder="1" applyAlignment="1" applyProtection="1">
      <alignment horizontal="center" vertical="center" wrapText="1"/>
      <protection locked="0"/>
    </xf>
    <xf numFmtId="176" fontId="57" fillId="0" borderId="0" xfId="1" applyNumberFormat="1" applyFont="1" applyFill="1" applyBorder="1" applyAlignment="1" applyProtection="1">
      <alignment horizontal="center" vertical="center" wrapText="1"/>
      <protection locked="0"/>
    </xf>
    <xf numFmtId="166" fontId="50" fillId="2" borderId="0" xfId="0" applyNumberFormat="1" applyFont="1" applyFill="1" applyBorder="1" applyAlignment="1" applyProtection="1">
      <alignment horizontal="center" vertical="center" wrapText="1"/>
    </xf>
    <xf numFmtId="0" fontId="53" fillId="6" borderId="70" xfId="0" applyFont="1" applyFill="1" applyBorder="1" applyAlignment="1" applyProtection="1">
      <alignment horizontal="right" vertical="center" wrapText="1"/>
      <protection locked="0"/>
    </xf>
    <xf numFmtId="0" fontId="53" fillId="6" borderId="70" xfId="0" applyFont="1" applyFill="1" applyBorder="1" applyAlignment="1" applyProtection="1">
      <alignment horizontal="center" vertical="center" wrapText="1"/>
      <protection locked="0"/>
    </xf>
    <xf numFmtId="170" fontId="53" fillId="6" borderId="70" xfId="0" applyNumberFormat="1" applyFont="1" applyFill="1" applyBorder="1" applyAlignment="1" applyProtection="1">
      <alignment horizontal="center" vertical="center" wrapText="1"/>
      <protection locked="0"/>
    </xf>
    <xf numFmtId="1" fontId="53" fillId="6" borderId="70" xfId="0" applyNumberFormat="1" applyFont="1" applyFill="1" applyBorder="1" applyAlignment="1" applyProtection="1">
      <alignment horizontal="center" vertical="center" wrapText="1"/>
      <protection locked="0"/>
    </xf>
    <xf numFmtId="170" fontId="56" fillId="6" borderId="70" xfId="0" applyNumberFormat="1" applyFont="1" applyFill="1" applyBorder="1" applyAlignment="1" applyProtection="1">
      <alignment horizontal="right" vertical="center" wrapText="1"/>
      <protection locked="0"/>
    </xf>
    <xf numFmtId="170" fontId="56" fillId="6" borderId="70" xfId="0" applyNumberFormat="1" applyFont="1" applyFill="1" applyBorder="1" applyAlignment="1" applyProtection="1">
      <alignment horizontal="center" vertical="center" wrapText="1"/>
      <protection locked="0"/>
    </xf>
    <xf numFmtId="1" fontId="56" fillId="6" borderId="70" xfId="0" applyNumberFormat="1" applyFont="1" applyFill="1" applyBorder="1" applyAlignment="1" applyProtection="1">
      <alignment horizontal="center" vertical="center" wrapText="1"/>
      <protection locked="0"/>
    </xf>
    <xf numFmtId="175" fontId="50" fillId="4" borderId="70" xfId="27" applyNumberFormat="1" applyFont="1" applyFill="1" applyBorder="1" applyAlignment="1" applyProtection="1">
      <alignment horizontal="center" vertical="center" wrapText="1"/>
      <protection locked="0"/>
    </xf>
    <xf numFmtId="176" fontId="50" fillId="4" borderId="70" xfId="27" applyNumberFormat="1" applyFont="1" applyFill="1" applyBorder="1" applyAlignment="1" applyProtection="1">
      <alignment horizontal="center" vertical="center" wrapText="1"/>
      <protection locked="0"/>
    </xf>
    <xf numFmtId="0" fontId="50" fillId="6" borderId="70" xfId="0" applyFont="1" applyFill="1" applyBorder="1" applyAlignment="1" applyProtection="1">
      <alignment horizontal="right" vertical="center" wrapText="1"/>
      <protection locked="0"/>
    </xf>
    <xf numFmtId="43" fontId="50" fillId="6" borderId="70" xfId="27" applyNumberFormat="1" applyFont="1" applyFill="1" applyBorder="1" applyAlignment="1" applyProtection="1">
      <alignment horizontal="center" vertical="center" wrapText="1"/>
      <protection locked="0"/>
    </xf>
    <xf numFmtId="3" fontId="50" fillId="7" borderId="70" xfId="0" applyNumberFormat="1" applyFont="1" applyFill="1" applyBorder="1" applyAlignment="1" applyProtection="1">
      <alignment vertical="center" wrapText="1"/>
      <protection locked="0"/>
    </xf>
    <xf numFmtId="3" fontId="50" fillId="7" borderId="70" xfId="0" applyNumberFormat="1" applyFont="1" applyFill="1" applyBorder="1" applyAlignment="1" applyProtection="1">
      <alignment horizontal="right" vertical="center" wrapText="1"/>
      <protection locked="0"/>
    </xf>
    <xf numFmtId="164" fontId="50" fillId="7" borderId="70" xfId="39" applyFont="1" applyFill="1" applyBorder="1" applyAlignment="1" applyProtection="1">
      <alignment vertical="center" wrapText="1"/>
      <protection locked="0"/>
    </xf>
    <xf numFmtId="4" fontId="50" fillId="7" borderId="70" xfId="0" applyNumberFormat="1" applyFont="1" applyFill="1" applyBorder="1" applyAlignment="1" applyProtection="1">
      <alignment vertical="center" wrapText="1"/>
      <protection locked="0"/>
    </xf>
    <xf numFmtId="166" fontId="50" fillId="6" borderId="70" xfId="0" applyNumberFormat="1" applyFont="1" applyFill="1" applyBorder="1" applyAlignment="1" applyProtection="1">
      <alignment horizontal="center" vertical="center" wrapText="1"/>
      <protection locked="0"/>
    </xf>
    <xf numFmtId="1" fontId="50" fillId="6" borderId="70" xfId="0" applyNumberFormat="1" applyFont="1" applyFill="1" applyBorder="1" applyAlignment="1" applyProtection="1">
      <alignment horizontal="center" vertical="center" wrapText="1"/>
      <protection locked="0"/>
    </xf>
    <xf numFmtId="0" fontId="50" fillId="6" borderId="70" xfId="0" applyFont="1" applyFill="1" applyBorder="1" applyAlignment="1" applyProtection="1">
      <alignment vertical="center" wrapText="1"/>
    </xf>
    <xf numFmtId="170" fontId="51" fillId="6" borderId="70" xfId="0" applyNumberFormat="1" applyFont="1" applyFill="1" applyBorder="1" applyAlignment="1" applyProtection="1">
      <alignment horizontal="center" vertical="center" wrapText="1"/>
      <protection locked="0"/>
    </xf>
    <xf numFmtId="0" fontId="50" fillId="6" borderId="70" xfId="0" applyFont="1" applyFill="1" applyBorder="1" applyAlignment="1" applyProtection="1">
      <alignment horizontal="center" vertical="center" wrapText="1"/>
    </xf>
    <xf numFmtId="1" fontId="51" fillId="2" borderId="70" xfId="0" applyNumberFormat="1" applyFont="1" applyFill="1" applyBorder="1" applyAlignment="1" applyProtection="1">
      <alignment vertical="center" wrapText="1"/>
      <protection locked="0"/>
    </xf>
    <xf numFmtId="184" fontId="50" fillId="6" borderId="70" xfId="39" applyNumberFormat="1" applyFont="1" applyFill="1" applyBorder="1" applyAlignment="1" applyProtection="1">
      <alignment horizontal="center" vertical="center" wrapText="1"/>
    </xf>
    <xf numFmtId="184" fontId="50" fillId="2" borderId="70" xfId="39" applyNumberFormat="1" applyFont="1" applyFill="1" applyBorder="1" applyAlignment="1">
      <alignment horizontal="center" vertical="center"/>
    </xf>
    <xf numFmtId="184" fontId="50" fillId="2" borderId="70" xfId="39" applyNumberFormat="1" applyFont="1" applyFill="1" applyBorder="1" applyAlignment="1">
      <alignment horizontal="center" vertical="center" wrapText="1"/>
    </xf>
    <xf numFmtId="169" fontId="50" fillId="6" borderId="70" xfId="0" applyNumberFormat="1" applyFont="1" applyFill="1" applyBorder="1" applyAlignment="1" applyProtection="1">
      <alignment horizontal="center" vertical="center" wrapText="1"/>
    </xf>
    <xf numFmtId="186" fontId="50" fillId="6" borderId="70" xfId="39" applyNumberFormat="1" applyFont="1" applyFill="1" applyBorder="1" applyAlignment="1" applyProtection="1">
      <alignment horizontal="center" vertical="center" wrapText="1"/>
    </xf>
    <xf numFmtId="1" fontId="50" fillId="6" borderId="70" xfId="0" applyNumberFormat="1" applyFont="1" applyFill="1" applyBorder="1" applyAlignment="1" applyProtection="1">
      <alignment vertical="center" wrapText="1"/>
      <protection locked="0"/>
    </xf>
    <xf numFmtId="1" fontId="73" fillId="2" borderId="0" xfId="0" applyNumberFormat="1" applyFont="1" applyFill="1" applyAlignment="1" applyProtection="1">
      <alignment horizontal="center" vertical="center" wrapText="1"/>
    </xf>
    <xf numFmtId="1" fontId="54" fillId="2" borderId="0" xfId="0" applyNumberFormat="1" applyFont="1" applyFill="1" applyAlignment="1" applyProtection="1">
      <alignment horizontal="center" vertical="center" wrapText="1"/>
    </xf>
    <xf numFmtId="1" fontId="73" fillId="2" borderId="0" xfId="0" applyNumberFormat="1" applyFont="1" applyFill="1" applyAlignment="1" applyProtection="1">
      <alignment horizontal="center" vertical="center" wrapText="1"/>
      <protection locked="0"/>
    </xf>
    <xf numFmtId="1" fontId="54" fillId="2" borderId="0" xfId="0" applyNumberFormat="1" applyFont="1" applyFill="1" applyAlignment="1" applyProtection="1">
      <alignment horizontal="center" vertical="center" wrapText="1"/>
      <protection locked="0"/>
    </xf>
    <xf numFmtId="164" fontId="54" fillId="2" borderId="0" xfId="39" applyFont="1" applyFill="1" applyAlignment="1" applyProtection="1">
      <alignment horizontal="center" vertical="center" wrapText="1"/>
    </xf>
    <xf numFmtId="167" fontId="73" fillId="2" borderId="0" xfId="0" applyNumberFormat="1" applyFont="1" applyFill="1" applyAlignment="1" applyProtection="1">
      <alignment horizontal="right" vertical="center" wrapText="1"/>
    </xf>
    <xf numFmtId="1" fontId="50" fillId="2" borderId="70" xfId="0" applyNumberFormat="1" applyFont="1" applyFill="1" applyBorder="1" applyAlignment="1" applyProtection="1">
      <alignment vertical="center" wrapText="1"/>
      <protection locked="0"/>
    </xf>
    <xf numFmtId="176" fontId="50" fillId="6" borderId="70" xfId="0" applyNumberFormat="1" applyFont="1" applyFill="1" applyBorder="1" applyAlignment="1" applyProtection="1">
      <alignment horizontal="right" vertical="center" wrapText="1"/>
      <protection locked="0"/>
    </xf>
    <xf numFmtId="175" fontId="50" fillId="6" borderId="70" xfId="0" applyNumberFormat="1" applyFont="1" applyFill="1" applyBorder="1" applyAlignment="1" applyProtection="1">
      <alignment horizontal="right" vertical="center" wrapText="1"/>
      <protection locked="0"/>
    </xf>
    <xf numFmtId="176" fontId="50" fillId="6" borderId="70" xfId="0" applyNumberFormat="1" applyFont="1" applyFill="1" applyBorder="1" applyAlignment="1" applyProtection="1">
      <alignment horizontal="center" vertical="center" wrapText="1"/>
      <protection locked="0"/>
    </xf>
    <xf numFmtId="170" fontId="55" fillId="2" borderId="0" xfId="0" applyNumberFormat="1" applyFont="1" applyFill="1" applyAlignment="1" applyProtection="1">
      <alignment vertical="center" wrapText="1"/>
    </xf>
    <xf numFmtId="1" fontId="106" fillId="2" borderId="0" xfId="0" applyNumberFormat="1" applyFont="1" applyFill="1" applyAlignment="1" applyProtection="1">
      <alignment horizontal="center" vertical="center" wrapText="1"/>
      <protection locked="0"/>
    </xf>
    <xf numFmtId="166" fontId="73" fillId="2" borderId="0" xfId="0" applyNumberFormat="1" applyFont="1" applyFill="1" applyAlignment="1" applyProtection="1">
      <alignment horizontal="center" vertical="center" wrapText="1"/>
      <protection locked="0"/>
    </xf>
    <xf numFmtId="166" fontId="106" fillId="2" borderId="0" xfId="0" applyNumberFormat="1" applyFont="1" applyFill="1" applyAlignment="1" applyProtection="1">
      <alignment horizontal="center" vertical="center" wrapText="1"/>
      <protection locked="0"/>
    </xf>
    <xf numFmtId="171" fontId="73" fillId="6" borderId="0" xfId="0" applyNumberFormat="1" applyFont="1" applyFill="1" applyAlignment="1" applyProtection="1">
      <alignment horizontal="center" vertical="center" wrapText="1"/>
      <protection locked="0"/>
    </xf>
    <xf numFmtId="166" fontId="54" fillId="2" borderId="0" xfId="0" applyNumberFormat="1" applyFont="1" applyFill="1" applyAlignment="1" applyProtection="1">
      <alignment vertical="center" wrapText="1"/>
    </xf>
    <xf numFmtId="43" fontId="54" fillId="2" borderId="0" xfId="1" applyFont="1" applyFill="1" applyAlignment="1" applyProtection="1">
      <alignment horizontal="center" vertical="center" wrapText="1"/>
    </xf>
    <xf numFmtId="170" fontId="50" fillId="2" borderId="70" xfId="0" applyNumberFormat="1" applyFont="1" applyFill="1" applyBorder="1" applyAlignment="1" applyProtection="1">
      <alignment horizontal="center" vertical="center"/>
      <protection locked="0"/>
    </xf>
    <xf numFmtId="184" fontId="73" fillId="2" borderId="0" xfId="39" applyNumberFormat="1" applyFont="1" applyFill="1" applyAlignment="1" applyProtection="1">
      <alignment horizontal="center" vertical="center" wrapText="1"/>
      <protection locked="0"/>
    </xf>
    <xf numFmtId="169" fontId="73" fillId="9" borderId="0" xfId="0" applyNumberFormat="1" applyFont="1" applyFill="1" applyBorder="1" applyAlignment="1" applyProtection="1">
      <alignment horizontal="center" vertical="center" wrapText="1"/>
      <protection locked="0"/>
    </xf>
    <xf numFmtId="1" fontId="73" fillId="2" borderId="0" xfId="0" applyNumberFormat="1" applyFont="1" applyFill="1" applyAlignment="1" applyProtection="1">
      <alignment vertical="center" wrapText="1"/>
    </xf>
    <xf numFmtId="1" fontId="73" fillId="2" borderId="0" xfId="0" applyNumberFormat="1" applyFont="1" applyFill="1" applyBorder="1" applyAlignment="1" applyProtection="1">
      <alignment horizontal="center" vertical="center" wrapText="1"/>
      <protection locked="0"/>
    </xf>
    <xf numFmtId="1" fontId="53" fillId="2" borderId="4" xfId="0" applyNumberFormat="1" applyFont="1" applyFill="1" applyBorder="1" applyAlignment="1" applyProtection="1">
      <alignment vertical="center" wrapText="1"/>
      <protection locked="0"/>
    </xf>
    <xf numFmtId="1" fontId="53" fillId="2" borderId="1" xfId="0" applyNumberFormat="1" applyFont="1" applyFill="1" applyBorder="1" applyAlignment="1" applyProtection="1">
      <alignment vertical="center" wrapText="1"/>
      <protection locked="0"/>
    </xf>
    <xf numFmtId="1" fontId="53" fillId="2" borderId="17" xfId="0" applyNumberFormat="1" applyFont="1" applyFill="1" applyBorder="1" applyAlignment="1" applyProtection="1">
      <alignment vertical="center" wrapText="1"/>
    </xf>
    <xf numFmtId="3" fontId="57" fillId="2" borderId="70" xfId="0" applyNumberFormat="1" applyFont="1" applyFill="1" applyBorder="1" applyAlignment="1" applyProtection="1">
      <alignment horizontal="right" vertical="center" wrapText="1"/>
      <protection locked="0"/>
    </xf>
    <xf numFmtId="3" fontId="57" fillId="6" borderId="70" xfId="0" applyNumberFormat="1" applyFont="1" applyFill="1" applyBorder="1" applyAlignment="1" applyProtection="1">
      <alignment horizontal="right" vertical="center" wrapText="1"/>
      <protection locked="0"/>
    </xf>
    <xf numFmtId="184" fontId="57" fillId="2" borderId="70" xfId="39" applyNumberFormat="1" applyFont="1" applyFill="1" applyBorder="1" applyAlignment="1" applyProtection="1">
      <alignment horizontal="right" vertical="center" wrapText="1"/>
      <protection locked="0"/>
    </xf>
    <xf numFmtId="3" fontId="59" fillId="6" borderId="70" xfId="0" applyNumberFormat="1" applyFont="1" applyFill="1" applyBorder="1" applyAlignment="1" applyProtection="1">
      <alignment horizontal="right" vertical="center" wrapText="1"/>
      <protection locked="0"/>
    </xf>
    <xf numFmtId="184" fontId="53" fillId="2" borderId="70" xfId="39" applyNumberFormat="1" applyFont="1" applyFill="1" applyBorder="1" applyAlignment="1" applyProtection="1">
      <alignment horizontal="right" vertical="center" wrapText="1"/>
      <protection locked="0"/>
    </xf>
    <xf numFmtId="176" fontId="53" fillId="6" borderId="70" xfId="27" applyNumberFormat="1" applyFont="1" applyFill="1" applyBorder="1" applyAlignment="1" applyProtection="1">
      <alignment horizontal="center" vertical="center" wrapText="1"/>
      <protection locked="0"/>
    </xf>
    <xf numFmtId="3" fontId="56" fillId="6" borderId="70" xfId="0" applyNumberFormat="1" applyFont="1" applyFill="1" applyBorder="1" applyAlignment="1" applyProtection="1">
      <alignment horizontal="right" vertical="center" wrapText="1"/>
      <protection locked="0"/>
    </xf>
    <xf numFmtId="164" fontId="53" fillId="7" borderId="70" xfId="39" applyFont="1" applyFill="1" applyBorder="1" applyAlignment="1" applyProtection="1">
      <alignment horizontal="right" vertical="center" wrapText="1"/>
      <protection locked="0"/>
    </xf>
    <xf numFmtId="164" fontId="53" fillId="7" borderId="70" xfId="39" applyFont="1" applyFill="1" applyBorder="1" applyAlignment="1" applyProtection="1">
      <alignment horizontal="center" vertical="center" wrapText="1"/>
      <protection locked="0"/>
    </xf>
    <xf numFmtId="164" fontId="53" fillId="6" borderId="70" xfId="39" applyFont="1" applyFill="1" applyBorder="1" applyAlignment="1" applyProtection="1">
      <alignment horizontal="center" vertical="center" wrapText="1"/>
      <protection locked="0"/>
    </xf>
    <xf numFmtId="170" fontId="57" fillId="6" borderId="70" xfId="0" applyNumberFormat="1" applyFont="1" applyFill="1" applyBorder="1" applyAlignment="1" applyProtection="1">
      <alignment horizontal="center" vertical="center" wrapText="1"/>
      <protection locked="0"/>
    </xf>
    <xf numFmtId="171" fontId="57" fillId="6" borderId="70" xfId="0" applyNumberFormat="1" applyFont="1" applyFill="1" applyBorder="1" applyAlignment="1" applyProtection="1">
      <alignment horizontal="center" vertical="center" wrapText="1"/>
      <protection locked="0"/>
    </xf>
    <xf numFmtId="176" fontId="57" fillId="6" borderId="70" xfId="27" applyNumberFormat="1" applyFont="1" applyFill="1" applyBorder="1" applyAlignment="1" applyProtection="1">
      <alignment horizontal="center" vertical="center" wrapText="1"/>
      <protection locked="0"/>
    </xf>
    <xf numFmtId="171" fontId="57" fillId="6" borderId="70" xfId="0" applyNumberFormat="1" applyFont="1" applyFill="1" applyBorder="1" applyAlignment="1" applyProtection="1">
      <alignment horizontal="right" vertical="center" wrapText="1"/>
      <protection locked="0"/>
    </xf>
    <xf numFmtId="0" fontId="57" fillId="6" borderId="70" xfId="0" applyFont="1" applyFill="1" applyBorder="1" applyAlignment="1" applyProtection="1">
      <alignment horizontal="right" vertical="center" wrapText="1"/>
      <protection locked="0"/>
    </xf>
    <xf numFmtId="171" fontId="53" fillId="6" borderId="70" xfId="0" applyNumberFormat="1" applyFont="1" applyFill="1" applyBorder="1" applyAlignment="1" applyProtection="1">
      <alignment horizontal="center" vertical="center" wrapText="1"/>
      <protection locked="0"/>
    </xf>
    <xf numFmtId="1" fontId="57" fillId="6" borderId="70" xfId="0" applyNumberFormat="1" applyFont="1" applyFill="1" applyBorder="1" applyAlignment="1" applyProtection="1">
      <alignment horizontal="right" vertical="center" wrapText="1"/>
      <protection locked="0"/>
    </xf>
    <xf numFmtId="164" fontId="57" fillId="6" borderId="70" xfId="39" applyFont="1" applyFill="1" applyBorder="1" applyAlignment="1" applyProtection="1">
      <alignment horizontal="right" vertical="center" wrapText="1"/>
      <protection locked="0"/>
    </xf>
    <xf numFmtId="164" fontId="57" fillId="6" borderId="70" xfId="39" applyFont="1" applyFill="1" applyBorder="1" applyAlignment="1" applyProtection="1">
      <alignment horizontal="center" vertical="center" wrapText="1"/>
      <protection locked="0"/>
    </xf>
    <xf numFmtId="0" fontId="57" fillId="4" borderId="70" xfId="0" applyFont="1" applyFill="1" applyBorder="1" applyAlignment="1" applyProtection="1">
      <alignment horizontal="center" vertical="center" wrapText="1"/>
      <protection locked="0"/>
    </xf>
    <xf numFmtId="0" fontId="57" fillId="4" borderId="70" xfId="0" applyFont="1" applyFill="1" applyBorder="1" applyAlignment="1" applyProtection="1">
      <alignment horizontal="right" vertical="center" wrapText="1"/>
      <protection locked="0"/>
    </xf>
    <xf numFmtId="0" fontId="57" fillId="7" borderId="70" xfId="0" applyFont="1" applyFill="1" applyBorder="1" applyAlignment="1" applyProtection="1">
      <alignment horizontal="right" vertical="center" wrapText="1"/>
      <protection locked="0"/>
    </xf>
    <xf numFmtId="0" fontId="57" fillId="7" borderId="70" xfId="0" applyFont="1" applyFill="1" applyBorder="1" applyAlignment="1" applyProtection="1">
      <alignment horizontal="center" vertical="center" wrapText="1"/>
      <protection locked="0"/>
    </xf>
    <xf numFmtId="0" fontId="53" fillId="2" borderId="70" xfId="0" quotePrefix="1" applyFont="1" applyFill="1" applyBorder="1" applyAlignment="1" applyProtection="1">
      <alignment horizontal="center" vertical="center" wrapText="1"/>
      <protection locked="0"/>
    </xf>
    <xf numFmtId="171" fontId="53" fillId="6" borderId="70" xfId="18" applyNumberFormat="1" applyFont="1" applyFill="1" applyBorder="1" applyAlignment="1" applyProtection="1">
      <alignment horizontal="right" vertical="center" wrapText="1"/>
      <protection locked="0"/>
    </xf>
    <xf numFmtId="175" fontId="56" fillId="6" borderId="70" xfId="15" applyNumberFormat="1" applyFont="1" applyFill="1" applyBorder="1" applyAlignment="1" applyProtection="1">
      <alignment horizontal="right" vertical="center" wrapText="1"/>
      <protection locked="0"/>
    </xf>
    <xf numFmtId="169" fontId="56" fillId="6" borderId="70" xfId="0" applyNumberFormat="1" applyFont="1" applyFill="1" applyBorder="1" applyAlignment="1">
      <alignment vertical="center"/>
    </xf>
    <xf numFmtId="169" fontId="56" fillId="6" borderId="70" xfId="0" applyNumberFormat="1" applyFont="1" applyFill="1" applyBorder="1" applyAlignment="1">
      <alignment horizontal="right" vertical="center"/>
    </xf>
    <xf numFmtId="0" fontId="53" fillId="6" borderId="70" xfId="0" applyFont="1" applyFill="1" applyBorder="1" applyAlignment="1">
      <alignment vertical="center"/>
    </xf>
    <xf numFmtId="0" fontId="53" fillId="6" borderId="70" xfId="0" applyFont="1" applyFill="1" applyBorder="1" applyAlignment="1">
      <alignment horizontal="right" vertical="center"/>
    </xf>
    <xf numFmtId="171" fontId="56" fillId="6" borderId="70" xfId="0" applyNumberFormat="1" applyFont="1" applyFill="1" applyBorder="1" applyAlignment="1" applyProtection="1">
      <alignment horizontal="center" vertical="center" wrapText="1"/>
      <protection locked="0"/>
    </xf>
    <xf numFmtId="0" fontId="56" fillId="6" borderId="70" xfId="0" applyFont="1" applyFill="1" applyBorder="1" applyAlignment="1">
      <alignment vertical="center"/>
    </xf>
    <xf numFmtId="0" fontId="56" fillId="6" borderId="70" xfId="0" applyFont="1" applyFill="1" applyBorder="1" applyAlignment="1">
      <alignment horizontal="right" vertical="center"/>
    </xf>
    <xf numFmtId="175" fontId="56" fillId="6" borderId="70" xfId="15" applyNumberFormat="1" applyFont="1" applyFill="1" applyBorder="1" applyAlignment="1" applyProtection="1">
      <alignment horizontal="center" vertical="center" wrapText="1"/>
      <protection locked="0"/>
    </xf>
    <xf numFmtId="1" fontId="53" fillId="7" borderId="70" xfId="0" applyNumberFormat="1" applyFont="1" applyFill="1" applyBorder="1" applyAlignment="1" applyProtection="1">
      <alignment horizontal="right" vertical="center" wrapText="1"/>
      <protection locked="0"/>
    </xf>
    <xf numFmtId="169" fontId="53" fillId="7" borderId="70" xfId="0" applyNumberFormat="1" applyFont="1" applyFill="1" applyBorder="1" applyAlignment="1" applyProtection="1">
      <alignment horizontal="center" vertical="center" wrapText="1"/>
      <protection locked="0"/>
    </xf>
    <xf numFmtId="169" fontId="53" fillId="7" borderId="70" xfId="0" applyNumberFormat="1" applyFont="1" applyFill="1" applyBorder="1" applyAlignment="1" applyProtection="1">
      <alignment horizontal="right" vertical="center" wrapText="1"/>
      <protection locked="0"/>
    </xf>
    <xf numFmtId="175" fontId="56" fillId="7" borderId="70" xfId="15" applyNumberFormat="1" applyFont="1" applyFill="1" applyBorder="1" applyAlignment="1" applyProtection="1">
      <alignment horizontal="right" vertical="center" wrapText="1"/>
      <protection locked="0"/>
    </xf>
    <xf numFmtId="175" fontId="56" fillId="7" borderId="70" xfId="15" applyNumberFormat="1" applyFont="1" applyFill="1" applyBorder="1" applyAlignment="1" applyProtection="1">
      <alignment horizontal="center" vertical="center" wrapText="1"/>
      <protection locked="0"/>
    </xf>
    <xf numFmtId="176" fontId="53" fillId="7" borderId="70" xfId="15" applyNumberFormat="1" applyFont="1" applyFill="1" applyBorder="1" applyAlignment="1" applyProtection="1">
      <alignment horizontal="right" vertical="center" wrapText="1"/>
      <protection locked="0"/>
    </xf>
    <xf numFmtId="176" fontId="53" fillId="7" borderId="70" xfId="15" applyNumberFormat="1" applyFont="1" applyFill="1" applyBorder="1" applyAlignment="1" applyProtection="1">
      <alignment horizontal="center" vertical="center" wrapText="1"/>
      <protection locked="0"/>
    </xf>
    <xf numFmtId="176" fontId="56" fillId="7" borderId="70" xfId="15" applyNumberFormat="1" applyFont="1" applyFill="1" applyBorder="1" applyAlignment="1" applyProtection="1">
      <alignment horizontal="right" vertical="center" wrapText="1"/>
      <protection locked="0"/>
    </xf>
    <xf numFmtId="43" fontId="56" fillId="7" borderId="70" xfId="15" applyFont="1" applyFill="1" applyBorder="1" applyAlignment="1" applyProtection="1">
      <alignment horizontal="right" vertical="center" wrapText="1"/>
      <protection locked="0"/>
    </xf>
    <xf numFmtId="0" fontId="83" fillId="2" borderId="0" xfId="0" applyFont="1" applyFill="1" applyAlignment="1" applyProtection="1">
      <alignment horizontal="center" vertical="center" wrapText="1"/>
    </xf>
    <xf numFmtId="0" fontId="57" fillId="2" borderId="70" xfId="0" applyFont="1" applyFill="1" applyBorder="1" applyAlignment="1" applyProtection="1">
      <alignment horizontal="right" vertical="center" wrapText="1"/>
      <protection locked="0"/>
    </xf>
    <xf numFmtId="170" fontId="54" fillId="2" borderId="0" xfId="0" applyNumberFormat="1" applyFont="1" applyFill="1" applyAlignment="1" applyProtection="1">
      <alignment horizontal="right" vertical="center" wrapText="1"/>
    </xf>
    <xf numFmtId="0" fontId="47" fillId="2" borderId="0" xfId="0" applyFont="1" applyFill="1" applyAlignment="1" applyProtection="1">
      <alignment horizontal="right" vertical="center" wrapText="1"/>
    </xf>
    <xf numFmtId="164" fontId="54" fillId="2" borderId="0" xfId="39" applyFont="1" applyFill="1" applyAlignment="1" applyProtection="1">
      <alignment vertical="center" wrapText="1"/>
    </xf>
    <xf numFmtId="0" fontId="75" fillId="2" borderId="0" xfId="0" applyFont="1" applyFill="1" applyAlignment="1" applyProtection="1">
      <alignment horizontal="center" vertical="center" wrapText="1"/>
    </xf>
    <xf numFmtId="170" fontId="55" fillId="2" borderId="0" xfId="0" applyNumberFormat="1" applyFont="1" applyFill="1" applyAlignment="1" applyProtection="1">
      <alignment horizontal="right" vertical="center" wrapText="1"/>
    </xf>
    <xf numFmtId="0" fontId="75" fillId="2" borderId="0" xfId="0" applyFont="1" applyFill="1" applyAlignment="1" applyProtection="1">
      <alignment horizontal="right" vertical="center" wrapText="1"/>
    </xf>
    <xf numFmtId="164" fontId="73" fillId="2" borderId="0" xfId="39" applyFont="1" applyFill="1" applyAlignment="1" applyProtection="1">
      <alignment vertical="center" wrapText="1"/>
    </xf>
    <xf numFmtId="1" fontId="88" fillId="2" borderId="0" xfId="0" applyNumberFormat="1" applyFont="1" applyFill="1" applyAlignment="1" applyProtection="1">
      <alignment vertical="center" wrapText="1"/>
    </xf>
    <xf numFmtId="9" fontId="73" fillId="2" borderId="0" xfId="25" applyFont="1" applyFill="1" applyAlignment="1" applyProtection="1">
      <alignment horizontal="right" vertical="center" wrapText="1"/>
      <protection locked="0"/>
    </xf>
    <xf numFmtId="170" fontId="106" fillId="2" borderId="0" xfId="0" applyNumberFormat="1" applyFont="1" applyFill="1" applyAlignment="1" applyProtection="1">
      <alignment horizontal="right" vertical="center" wrapText="1"/>
      <protection locked="0"/>
    </xf>
    <xf numFmtId="164" fontId="106" fillId="2" borderId="0" xfId="39" applyFont="1" applyFill="1" applyAlignment="1" applyProtection="1">
      <alignment vertical="center" wrapText="1"/>
    </xf>
    <xf numFmtId="1" fontId="142" fillId="2" borderId="0" xfId="0" applyNumberFormat="1" applyFont="1" applyFill="1" applyAlignment="1" applyProtection="1">
      <alignment vertical="center" wrapText="1"/>
    </xf>
    <xf numFmtId="166" fontId="73" fillId="2" borderId="0" xfId="0" applyNumberFormat="1" applyFont="1" applyFill="1" applyAlignment="1" applyProtection="1">
      <alignment horizontal="right" vertical="center" wrapText="1"/>
      <protection locked="0"/>
    </xf>
    <xf numFmtId="43" fontId="73" fillId="2" borderId="0" xfId="1" applyFont="1" applyFill="1" applyAlignment="1" applyProtection="1">
      <alignment horizontal="right" vertical="center" wrapText="1"/>
      <protection locked="0"/>
    </xf>
    <xf numFmtId="184" fontId="73" fillId="2" borderId="0" xfId="39" applyNumberFormat="1" applyFont="1" applyFill="1" applyAlignment="1" applyProtection="1">
      <alignment vertical="center" wrapText="1"/>
    </xf>
    <xf numFmtId="175" fontId="73" fillId="2" borderId="0" xfId="1" applyNumberFormat="1" applyFont="1" applyFill="1" applyAlignment="1" applyProtection="1">
      <alignment horizontal="center" vertical="center" wrapText="1"/>
    </xf>
    <xf numFmtId="171" fontId="73" fillId="2" borderId="0" xfId="0" applyNumberFormat="1" applyFont="1" applyFill="1" applyAlignment="1" applyProtection="1">
      <alignment horizontal="right" vertical="center" wrapText="1"/>
      <protection locked="0"/>
    </xf>
    <xf numFmtId="170" fontId="53" fillId="2" borderId="0" xfId="0" applyNumberFormat="1" applyFont="1" applyFill="1" applyAlignment="1" applyProtection="1">
      <alignment horizontal="right" vertical="center" wrapText="1"/>
      <protection locked="0"/>
    </xf>
    <xf numFmtId="186" fontId="53" fillId="2" borderId="0" xfId="39" applyNumberFormat="1" applyFont="1" applyFill="1" applyAlignment="1" applyProtection="1">
      <alignment vertical="center" wrapText="1"/>
    </xf>
    <xf numFmtId="1" fontId="53" fillId="2" borderId="0" xfId="0" applyNumberFormat="1" applyFont="1" applyFill="1" applyAlignment="1" applyProtection="1">
      <alignment vertical="center" wrapText="1"/>
    </xf>
    <xf numFmtId="164" fontId="53" fillId="2" borderId="0" xfId="39" applyFont="1" applyFill="1" applyAlignment="1" applyProtection="1">
      <alignment vertical="center" wrapText="1"/>
    </xf>
    <xf numFmtId="0" fontId="47" fillId="3" borderId="4" xfId="0" applyFont="1" applyFill="1" applyBorder="1" applyAlignment="1" applyProtection="1">
      <alignment vertical="center" wrapText="1"/>
      <protection locked="0"/>
    </xf>
    <xf numFmtId="170" fontId="54" fillId="3" borderId="0" xfId="0" applyNumberFormat="1" applyFont="1" applyFill="1" applyAlignment="1" applyProtection="1">
      <alignment horizontal="right" vertical="center" wrapText="1"/>
      <protection locked="0"/>
    </xf>
    <xf numFmtId="0" fontId="47" fillId="3" borderId="0" xfId="0" applyFont="1" applyFill="1" applyAlignment="1" applyProtection="1">
      <alignment horizontal="right" vertical="center" wrapText="1"/>
      <protection locked="0"/>
    </xf>
    <xf numFmtId="0" fontId="47" fillId="3" borderId="0" xfId="0" applyFont="1" applyFill="1" applyAlignment="1" applyProtection="1">
      <alignment vertical="center" wrapText="1"/>
    </xf>
    <xf numFmtId="0" fontId="54" fillId="3" borderId="0" xfId="0" applyFont="1" applyFill="1" applyAlignment="1" applyProtection="1">
      <alignment horizontal="center" vertical="center" wrapText="1"/>
    </xf>
    <xf numFmtId="164" fontId="54" fillId="3" borderId="0" xfId="39" applyFont="1" applyFill="1" applyAlignment="1" applyProtection="1">
      <alignment vertical="center" wrapText="1"/>
    </xf>
    <xf numFmtId="0" fontId="47" fillId="3" borderId="1" xfId="0" applyFont="1" applyFill="1" applyBorder="1" applyAlignment="1" applyProtection="1">
      <alignment vertical="center" wrapText="1"/>
      <protection locked="0"/>
    </xf>
    <xf numFmtId="0" fontId="75" fillId="3" borderId="1" xfId="0" applyFont="1" applyFill="1" applyBorder="1" applyAlignment="1" applyProtection="1">
      <alignment vertical="center" wrapText="1"/>
      <protection locked="0"/>
    </xf>
    <xf numFmtId="170" fontId="55" fillId="3" borderId="0" xfId="0" applyNumberFormat="1" applyFont="1" applyFill="1" applyAlignment="1" applyProtection="1">
      <alignment horizontal="right" vertical="center" wrapText="1"/>
      <protection locked="0"/>
    </xf>
    <xf numFmtId="0" fontId="75" fillId="3" borderId="0" xfId="0" applyFont="1" applyFill="1" applyAlignment="1" applyProtection="1">
      <alignment horizontal="right" vertical="center" wrapText="1"/>
      <protection locked="0"/>
    </xf>
    <xf numFmtId="0" fontId="75" fillId="3" borderId="0" xfId="0" applyFont="1" applyFill="1" applyAlignment="1" applyProtection="1">
      <alignment vertical="center" wrapText="1"/>
    </xf>
    <xf numFmtId="0" fontId="55" fillId="3" borderId="0" xfId="0" applyFont="1" applyFill="1" applyAlignment="1" applyProtection="1">
      <alignment horizontal="center" vertical="center" wrapText="1"/>
    </xf>
    <xf numFmtId="164" fontId="55" fillId="3" borderId="0" xfId="39" applyFont="1" applyFill="1" applyAlignment="1" applyProtection="1">
      <alignment vertical="center" wrapText="1"/>
    </xf>
    <xf numFmtId="0" fontId="47" fillId="2" borderId="17" xfId="0" applyFont="1" applyFill="1" applyBorder="1" applyAlignment="1" applyProtection="1">
      <alignment vertical="center" wrapText="1"/>
    </xf>
    <xf numFmtId="0" fontId="48" fillId="2" borderId="70" xfId="0" applyFont="1" applyFill="1" applyBorder="1" applyAlignment="1" applyProtection="1">
      <alignment horizontal="right" vertical="center" wrapText="1"/>
      <protection locked="0"/>
    </xf>
    <xf numFmtId="0" fontId="48" fillId="4" borderId="70" xfId="0" applyFont="1" applyFill="1" applyBorder="1" applyAlignment="1" applyProtection="1">
      <alignment horizontal="right" vertical="center" wrapText="1"/>
      <protection locked="0"/>
    </xf>
    <xf numFmtId="0" fontId="116" fillId="2" borderId="0" xfId="0" applyFont="1" applyFill="1" applyAlignment="1" applyProtection="1">
      <alignment vertical="center" wrapText="1"/>
    </xf>
    <xf numFmtId="0" fontId="116" fillId="2" borderId="0" xfId="0" applyFont="1" applyFill="1" applyAlignment="1" applyProtection="1">
      <alignment horizontal="center" vertical="center" wrapText="1"/>
    </xf>
    <xf numFmtId="49" fontId="57" fillId="2" borderId="70" xfId="0" applyNumberFormat="1" applyFont="1" applyFill="1" applyBorder="1" applyAlignment="1" applyProtection="1">
      <alignment horizontal="center" vertical="center" wrapText="1"/>
      <protection locked="0"/>
    </xf>
    <xf numFmtId="49" fontId="56" fillId="2" borderId="70" xfId="0" applyNumberFormat="1" applyFont="1" applyFill="1" applyBorder="1" applyAlignment="1" applyProtection="1">
      <alignment horizontal="center" vertical="center" wrapText="1"/>
      <protection locked="0"/>
    </xf>
    <xf numFmtId="0" fontId="57" fillId="4" borderId="70" xfId="0" applyFont="1" applyFill="1" applyBorder="1" applyAlignment="1" applyProtection="1">
      <alignment horizontal="justify" vertical="center" wrapText="1"/>
      <protection locked="0"/>
    </xf>
    <xf numFmtId="170" fontId="53" fillId="4" borderId="70" xfId="0" applyNumberFormat="1" applyFont="1" applyFill="1" applyBorder="1" applyAlignment="1" applyProtection="1">
      <alignment horizontal="justify" vertical="center" wrapText="1"/>
      <protection locked="0"/>
    </xf>
    <xf numFmtId="170" fontId="50" fillId="2" borderId="70" xfId="0" quotePrefix="1" applyNumberFormat="1" applyFont="1" applyFill="1" applyBorder="1" applyAlignment="1" applyProtection="1">
      <alignment vertical="center" wrapText="1"/>
      <protection locked="0"/>
    </xf>
    <xf numFmtId="170" fontId="50" fillId="6" borderId="70" xfId="0" applyNumberFormat="1" applyFont="1" applyFill="1" applyBorder="1" applyAlignment="1" applyProtection="1">
      <alignment vertical="center" wrapText="1"/>
      <protection locked="0"/>
    </xf>
    <xf numFmtId="170" fontId="50" fillId="2" borderId="70" xfId="0" applyNumberFormat="1" applyFont="1" applyFill="1" applyBorder="1" applyAlignment="1" applyProtection="1">
      <alignment vertical="center" wrapText="1"/>
      <protection locked="0"/>
    </xf>
    <xf numFmtId="169" fontId="50" fillId="9" borderId="70" xfId="0" applyNumberFormat="1" applyFont="1" applyFill="1" applyBorder="1" applyAlignment="1" applyProtection="1">
      <alignment horizontal="right" vertical="center" wrapText="1"/>
      <protection locked="0"/>
    </xf>
    <xf numFmtId="170" fontId="122" fillId="6" borderId="70" xfId="0" applyNumberFormat="1" applyFont="1" applyFill="1" applyBorder="1" applyAlignment="1" applyProtection="1">
      <alignment horizontal="right" vertical="center" wrapText="1"/>
      <protection locked="0"/>
    </xf>
    <xf numFmtId="170" fontId="122" fillId="2" borderId="70" xfId="0" applyNumberFormat="1" applyFont="1" applyFill="1" applyBorder="1" applyAlignment="1" applyProtection="1">
      <alignment horizontal="right" vertical="center" wrapText="1"/>
      <protection locked="0"/>
    </xf>
    <xf numFmtId="170" fontId="143" fillId="2" borderId="70" xfId="0" applyNumberFormat="1" applyFont="1" applyFill="1" applyBorder="1" applyAlignment="1" applyProtection="1">
      <alignment horizontal="right" vertical="center" wrapText="1"/>
      <protection locked="0"/>
    </xf>
    <xf numFmtId="170" fontId="143" fillId="6" borderId="70" xfId="0" applyNumberFormat="1" applyFont="1" applyFill="1" applyBorder="1" applyAlignment="1" applyProtection="1">
      <alignment horizontal="right" vertical="center" wrapText="1"/>
      <protection locked="0"/>
    </xf>
    <xf numFmtId="170" fontId="50" fillId="0" borderId="70" xfId="0" applyNumberFormat="1" applyFont="1" applyFill="1" applyBorder="1" applyAlignment="1" applyProtection="1">
      <alignment horizontal="right" vertical="center" wrapText="1"/>
      <protection locked="0"/>
    </xf>
    <xf numFmtId="187" fontId="50" fillId="6" borderId="70" xfId="0" applyNumberFormat="1" applyFont="1" applyFill="1" applyBorder="1" applyAlignment="1" applyProtection="1">
      <alignment horizontal="right" vertical="center" wrapText="1"/>
      <protection locked="0"/>
    </xf>
    <xf numFmtId="171" fontId="50" fillId="7" borderId="70" xfId="0" applyNumberFormat="1" applyFont="1" applyFill="1" applyBorder="1" applyAlignment="1" applyProtection="1">
      <alignment horizontal="right" vertical="center" wrapText="1"/>
      <protection locked="0"/>
    </xf>
    <xf numFmtId="170" fontId="122" fillId="6" borderId="70" xfId="0" applyNumberFormat="1" applyFont="1" applyFill="1" applyBorder="1" applyAlignment="1" applyProtection="1">
      <alignment horizontal="center" vertical="center" wrapText="1"/>
      <protection locked="0"/>
    </xf>
    <xf numFmtId="169" fontId="50" fillId="4" borderId="70" xfId="0" applyNumberFormat="1" applyFont="1" applyFill="1" applyBorder="1" applyAlignment="1" applyProtection="1">
      <alignment horizontal="right" vertical="center" wrapText="1"/>
      <protection locked="0"/>
    </xf>
    <xf numFmtId="1" fontId="50" fillId="4" borderId="70" xfId="0" applyNumberFormat="1" applyFont="1" applyFill="1" applyBorder="1" applyAlignment="1" applyProtection="1">
      <alignment horizontal="right" vertical="center" wrapText="1"/>
      <protection locked="0"/>
    </xf>
    <xf numFmtId="170" fontId="50" fillId="2" borderId="70" xfId="0" quotePrefix="1" applyNumberFormat="1" applyFont="1" applyFill="1" applyBorder="1" applyAlignment="1" applyProtection="1">
      <alignment horizontal="right" vertical="center" wrapText="1"/>
      <protection locked="0"/>
    </xf>
    <xf numFmtId="170" fontId="50" fillId="6" borderId="70" xfId="0" quotePrefix="1" applyNumberFormat="1" applyFont="1" applyFill="1" applyBorder="1" applyAlignment="1" applyProtection="1">
      <alignment horizontal="right" vertical="center" wrapText="1"/>
      <protection locked="0"/>
    </xf>
    <xf numFmtId="1" fontId="35" fillId="9" borderId="70" xfId="27" applyNumberFormat="1" applyFont="1" applyFill="1" applyBorder="1" applyAlignment="1" applyProtection="1">
      <alignment horizontal="center" vertical="center" wrapText="1"/>
      <protection locked="0"/>
    </xf>
    <xf numFmtId="173" fontId="50" fillId="6" borderId="70" xfId="27" applyNumberFormat="1" applyFont="1" applyFill="1" applyBorder="1" applyAlignment="1" applyProtection="1">
      <alignment horizontal="right" vertical="center" wrapText="1"/>
      <protection locked="0"/>
    </xf>
    <xf numFmtId="170" fontId="50" fillId="2" borderId="70" xfId="18" applyNumberFormat="1" applyFont="1" applyBorder="1" applyAlignment="1" applyProtection="1">
      <alignment horizontal="right" vertical="center" wrapText="1"/>
      <protection locked="0"/>
    </xf>
    <xf numFmtId="170" fontId="122" fillId="6" borderId="70" xfId="0" applyNumberFormat="1" applyFont="1" applyFill="1" applyBorder="1" applyAlignment="1" applyProtection="1">
      <alignment vertical="center" wrapText="1"/>
      <protection locked="0"/>
    </xf>
    <xf numFmtId="171" fontId="123" fillId="6" borderId="70" xfId="0" applyNumberFormat="1" applyFont="1" applyFill="1" applyBorder="1" applyAlignment="1" applyProtection="1">
      <alignment horizontal="center" vertical="center" wrapText="1"/>
      <protection locked="0"/>
    </xf>
    <xf numFmtId="0" fontId="122" fillId="2" borderId="70" xfId="0" applyFont="1" applyFill="1" applyBorder="1" applyAlignment="1" applyProtection="1">
      <alignment horizontal="right" vertical="center" wrapText="1"/>
      <protection locked="0"/>
    </xf>
    <xf numFmtId="170" fontId="123" fillId="6" borderId="70" xfId="18" applyNumberFormat="1" applyFont="1" applyFill="1" applyBorder="1" applyAlignment="1" applyProtection="1">
      <alignment horizontal="right" vertical="center" wrapText="1"/>
      <protection locked="0"/>
    </xf>
    <xf numFmtId="170" fontId="123" fillId="6" borderId="70" xfId="0" applyNumberFormat="1" applyFont="1" applyFill="1" applyBorder="1" applyAlignment="1" applyProtection="1">
      <alignment vertical="center" wrapText="1"/>
      <protection locked="0"/>
    </xf>
    <xf numFmtId="170" fontId="51" fillId="2" borderId="70" xfId="18" applyNumberFormat="1" applyFont="1" applyBorder="1" applyAlignment="1" applyProtection="1">
      <alignment horizontal="right" vertical="center" wrapText="1"/>
      <protection locked="0"/>
    </xf>
    <xf numFmtId="170" fontId="51" fillId="2" borderId="70" xfId="0" applyNumberFormat="1" applyFont="1" applyFill="1" applyBorder="1" applyAlignment="1" applyProtection="1">
      <alignment vertical="center" wrapText="1"/>
      <protection locked="0"/>
    </xf>
    <xf numFmtId="170" fontId="51" fillId="6" borderId="70" xfId="0" applyNumberFormat="1" applyFont="1" applyFill="1" applyBorder="1" applyAlignment="1" applyProtection="1">
      <alignment vertical="center" wrapText="1"/>
      <protection locked="0"/>
    </xf>
    <xf numFmtId="0" fontId="50" fillId="6" borderId="70" xfId="0" applyFont="1" applyFill="1" applyBorder="1" applyAlignment="1" applyProtection="1">
      <alignment horizontal="justify" vertical="center" wrapText="1"/>
      <protection locked="0"/>
    </xf>
    <xf numFmtId="0" fontId="50" fillId="0" borderId="70" xfId="0" applyFont="1" applyFill="1" applyBorder="1" applyAlignment="1" applyProtection="1">
      <alignment horizontal="justify" vertical="center" wrapText="1"/>
      <protection locked="0"/>
    </xf>
    <xf numFmtId="0" fontId="50" fillId="7" borderId="70" xfId="0" applyFont="1" applyFill="1" applyBorder="1" applyAlignment="1" applyProtection="1">
      <alignment horizontal="justify" vertical="center" wrapText="1"/>
      <protection locked="0"/>
    </xf>
    <xf numFmtId="0" fontId="48" fillId="2" borderId="70" xfId="2" applyFont="1" applyFill="1" applyBorder="1" applyAlignment="1" applyProtection="1">
      <alignment horizontal="center" vertical="center" wrapText="1"/>
      <protection locked="0"/>
    </xf>
    <xf numFmtId="0" fontId="50" fillId="2" borderId="70" xfId="2" applyFont="1" applyFill="1" applyBorder="1" applyAlignment="1" applyProtection="1">
      <alignment horizontal="center" vertical="center" wrapText="1"/>
      <protection locked="0"/>
    </xf>
    <xf numFmtId="0" fontId="51" fillId="2" borderId="70" xfId="2" applyFont="1" applyFill="1" applyBorder="1" applyAlignment="1" applyProtection="1">
      <alignment horizontal="center" vertical="center" wrapText="1"/>
      <protection locked="0"/>
    </xf>
    <xf numFmtId="0" fontId="48" fillId="2" borderId="70" xfId="2" applyFont="1" applyFill="1" applyBorder="1" applyAlignment="1">
      <alignment horizontal="center" vertical="center" wrapText="1"/>
    </xf>
    <xf numFmtId="0" fontId="50" fillId="2" borderId="70" xfId="2" applyFont="1" applyFill="1" applyBorder="1" applyAlignment="1">
      <alignment horizontal="center" vertical="center" wrapText="1"/>
    </xf>
    <xf numFmtId="173" fontId="50" fillId="6" borderId="70" xfId="0" applyNumberFormat="1" applyFont="1" applyFill="1" applyBorder="1" applyAlignment="1" applyProtection="1">
      <alignment horizontal="right" vertical="center" wrapText="1"/>
      <protection locked="0"/>
    </xf>
    <xf numFmtId="170" fontId="122" fillId="2" borderId="70" xfId="0" quotePrefix="1" applyNumberFormat="1" applyFont="1" applyFill="1" applyBorder="1" applyAlignment="1" applyProtection="1">
      <alignment horizontal="right" vertical="center" wrapText="1"/>
      <protection locked="0"/>
    </xf>
    <xf numFmtId="0" fontId="51" fillId="2" borderId="70" xfId="2" applyFont="1" applyFill="1" applyBorder="1" applyAlignment="1">
      <alignment horizontal="center" vertical="center" wrapText="1"/>
    </xf>
    <xf numFmtId="170" fontId="123" fillId="2" borderId="70" xfId="0" applyNumberFormat="1" applyFont="1" applyFill="1" applyBorder="1" applyAlignment="1" applyProtection="1">
      <alignment horizontal="right" vertical="center" wrapText="1"/>
      <protection locked="0"/>
    </xf>
    <xf numFmtId="170" fontId="51" fillId="2" borderId="70" xfId="0" quotePrefix="1" applyNumberFormat="1" applyFont="1" applyFill="1" applyBorder="1" applyAlignment="1" applyProtection="1">
      <alignment horizontal="right" vertical="center" wrapText="1"/>
      <protection locked="0"/>
    </xf>
    <xf numFmtId="170" fontId="123" fillId="2" borderId="70" xfId="0" quotePrefix="1" applyNumberFormat="1" applyFont="1" applyFill="1" applyBorder="1" applyAlignment="1" applyProtection="1">
      <alignment horizontal="right" vertical="center" wrapText="1"/>
      <protection locked="0"/>
    </xf>
    <xf numFmtId="170" fontId="122" fillId="2" borderId="70" xfId="0" applyNumberFormat="1" applyFont="1" applyFill="1" applyBorder="1" applyAlignment="1" applyProtection="1">
      <alignment vertical="center" wrapText="1"/>
      <protection locked="0"/>
    </xf>
    <xf numFmtId="3" fontId="122" fillId="2" borderId="70" xfId="0" applyNumberFormat="1" applyFont="1" applyFill="1" applyBorder="1" applyAlignment="1" applyProtection="1">
      <alignment horizontal="right" vertical="center" wrapText="1"/>
      <protection locked="0"/>
    </xf>
    <xf numFmtId="1" fontId="50" fillId="2" borderId="70" xfId="0" applyNumberFormat="1" applyFont="1" applyFill="1" applyBorder="1" applyAlignment="1" applyProtection="1">
      <alignment vertical="center" wrapText="1"/>
    </xf>
    <xf numFmtId="1" fontId="50" fillId="2" borderId="70" xfId="0" applyNumberFormat="1" applyFont="1" applyFill="1" applyBorder="1" applyAlignment="1" applyProtection="1">
      <alignment horizontal="center" vertical="center" wrapText="1"/>
    </xf>
    <xf numFmtId="3" fontId="50" fillId="2" borderId="70" xfId="0" applyNumberFormat="1" applyFont="1" applyFill="1" applyBorder="1" applyAlignment="1" applyProtection="1">
      <alignment horizontal="right" vertical="center" wrapText="1"/>
    </xf>
    <xf numFmtId="3" fontId="122" fillId="2" borderId="70" xfId="0" applyNumberFormat="1" applyFont="1" applyFill="1" applyBorder="1" applyAlignment="1" applyProtection="1">
      <alignment horizontal="right" vertical="center" wrapText="1"/>
    </xf>
    <xf numFmtId="1" fontId="79" fillId="2" borderId="70" xfId="0" applyNumberFormat="1" applyFont="1" applyFill="1" applyBorder="1" applyAlignment="1" applyProtection="1">
      <alignment vertical="center" wrapText="1"/>
    </xf>
    <xf numFmtId="0" fontId="50" fillId="0" borderId="70" xfId="0" applyFont="1" applyBorder="1" applyAlignment="1" applyProtection="1">
      <alignment horizontal="center" vertical="center" wrapText="1"/>
      <protection locked="0"/>
    </xf>
    <xf numFmtId="1" fontId="79" fillId="2" borderId="70" xfId="0" applyNumberFormat="1" applyFont="1" applyFill="1" applyBorder="1" applyAlignment="1" applyProtection="1">
      <alignment vertical="center" wrapText="1"/>
      <protection locked="0"/>
    </xf>
    <xf numFmtId="0" fontId="50" fillId="0" borderId="70" xfId="0" applyFont="1" applyBorder="1" applyAlignment="1">
      <alignment horizontal="center" vertical="center" wrapText="1"/>
    </xf>
    <xf numFmtId="0" fontId="50" fillId="2" borderId="70" xfId="0" applyFont="1" applyFill="1" applyBorder="1" applyAlignment="1">
      <alignment horizontal="center" vertical="center" wrapText="1"/>
    </xf>
    <xf numFmtId="0" fontId="51" fillId="2" borderId="70" xfId="0" applyFont="1" applyFill="1" applyBorder="1" applyAlignment="1">
      <alignment horizontal="center" vertical="center" wrapText="1"/>
    </xf>
    <xf numFmtId="0" fontId="48" fillId="0" borderId="70" xfId="0" applyFont="1" applyBorder="1" applyAlignment="1" applyProtection="1">
      <alignment horizontal="justify" vertical="center" wrapText="1"/>
      <protection locked="0"/>
    </xf>
    <xf numFmtId="0" fontId="50" fillId="0" borderId="70" xfId="0" quotePrefix="1" applyFont="1" applyBorder="1" applyAlignment="1" applyProtection="1">
      <alignment horizontal="justify" vertical="center" wrapText="1"/>
      <protection locked="0"/>
    </xf>
    <xf numFmtId="0" fontId="48" fillId="0" borderId="70" xfId="0" applyFont="1" applyBorder="1" applyAlignment="1">
      <alignment horizontal="justify" vertical="center" wrapText="1"/>
    </xf>
    <xf numFmtId="0" fontId="50" fillId="0" borderId="70" xfId="0" applyFont="1" applyBorder="1" applyAlignment="1">
      <alignment horizontal="justify" vertical="center" wrapText="1"/>
    </xf>
    <xf numFmtId="0" fontId="50" fillId="2" borderId="70" xfId="0" applyFont="1" applyFill="1" applyBorder="1" applyAlignment="1">
      <alignment horizontal="justify" vertical="center" wrapText="1"/>
    </xf>
    <xf numFmtId="0" fontId="50" fillId="2" borderId="70" xfId="0" quotePrefix="1" applyFont="1" applyFill="1" applyBorder="1" applyAlignment="1">
      <alignment horizontal="justify" vertical="center" wrapText="1"/>
    </xf>
    <xf numFmtId="0" fontId="51" fillId="2" borderId="70" xfId="0" applyFont="1" applyFill="1" applyBorder="1" applyAlignment="1">
      <alignment horizontal="justify" vertical="center" wrapText="1"/>
    </xf>
    <xf numFmtId="0" fontId="50" fillId="2" borderId="70" xfId="0" applyFont="1" applyFill="1" applyBorder="1" applyAlignment="1" applyProtection="1">
      <alignment horizontal="center" vertical="center" wrapText="1"/>
      <protection locked="0"/>
    </xf>
    <xf numFmtId="0" fontId="48" fillId="2" borderId="70" xfId="0" applyFont="1" applyFill="1" applyBorder="1" applyAlignment="1" applyProtection="1">
      <alignment horizontal="center" vertical="center" wrapText="1"/>
      <protection locked="0"/>
    </xf>
    <xf numFmtId="3" fontId="48" fillId="2" borderId="70" xfId="0" applyNumberFormat="1" applyFont="1" applyFill="1" applyBorder="1" applyAlignment="1" applyProtection="1">
      <alignment horizontal="center" vertical="center" wrapText="1"/>
      <protection locked="0"/>
    </xf>
    <xf numFmtId="166" fontId="48" fillId="2" borderId="70" xfId="0" applyNumberFormat="1" applyFont="1" applyFill="1" applyBorder="1" applyAlignment="1" applyProtection="1">
      <alignment horizontal="center" vertical="center" wrapText="1"/>
      <protection locked="0"/>
    </xf>
    <xf numFmtId="169" fontId="52" fillId="0" borderId="0" xfId="0" applyNumberFormat="1" applyFont="1" applyFill="1" applyAlignment="1" applyProtection="1">
      <alignment horizontal="center" vertical="center" wrapText="1"/>
    </xf>
    <xf numFmtId="0" fontId="75" fillId="0" borderId="0" xfId="0" applyFont="1" applyFill="1" applyAlignment="1" applyProtection="1">
      <alignment vertical="center" wrapText="1"/>
    </xf>
    <xf numFmtId="0" fontId="56" fillId="0" borderId="0" xfId="0" applyFont="1" applyFill="1" applyAlignment="1" applyProtection="1">
      <alignment vertical="center" wrapText="1"/>
    </xf>
    <xf numFmtId="0" fontId="56" fillId="0" borderId="0" xfId="0" applyFont="1" applyFill="1" applyAlignment="1" applyProtection="1">
      <alignment horizontal="center" vertical="center" wrapText="1"/>
    </xf>
    <xf numFmtId="0" fontId="50" fillId="0" borderId="70" xfId="0" applyFont="1" applyFill="1" applyBorder="1" applyAlignment="1" applyProtection="1">
      <alignment horizontal="right" vertical="center" wrapText="1"/>
      <protection locked="0"/>
    </xf>
    <xf numFmtId="176" fontId="50" fillId="0" borderId="70" xfId="0" applyNumberFormat="1" applyFont="1" applyFill="1" applyBorder="1" applyAlignment="1" applyProtection="1">
      <alignment horizontal="right" vertical="center" wrapText="1"/>
      <protection locked="0"/>
    </xf>
    <xf numFmtId="170" fontId="50" fillId="0" borderId="70" xfId="0" applyNumberFormat="1" applyFont="1" applyFill="1" applyBorder="1" applyAlignment="1" applyProtection="1">
      <alignment horizontal="center" vertical="center" wrapText="1"/>
      <protection locked="0"/>
    </xf>
    <xf numFmtId="176" fontId="50" fillId="0" borderId="70" xfId="0" applyNumberFormat="1" applyFont="1" applyFill="1" applyBorder="1" applyAlignment="1" applyProtection="1">
      <alignment horizontal="center" vertical="center" wrapText="1"/>
      <protection locked="0"/>
    </xf>
    <xf numFmtId="186" fontId="50" fillId="0" borderId="70" xfId="39" applyNumberFormat="1" applyFont="1" applyFill="1" applyBorder="1" applyAlignment="1" applyProtection="1">
      <alignment horizontal="right" vertical="center" wrapText="1"/>
      <protection locked="0"/>
    </xf>
    <xf numFmtId="43" fontId="50" fillId="0" borderId="70" xfId="1" applyNumberFormat="1" applyFont="1" applyFill="1" applyBorder="1" applyAlignment="1" applyProtection="1">
      <alignment horizontal="right" vertical="center" wrapText="1"/>
      <protection locked="0"/>
    </xf>
    <xf numFmtId="175" fontId="50" fillId="0" borderId="70" xfId="27" applyNumberFormat="1" applyFont="1" applyFill="1" applyBorder="1" applyAlignment="1" applyProtection="1">
      <alignment horizontal="right" vertical="center" wrapText="1"/>
      <protection locked="0"/>
    </xf>
    <xf numFmtId="43" fontId="50" fillId="0" borderId="70" xfId="27" applyNumberFormat="1" applyFont="1" applyFill="1" applyBorder="1" applyAlignment="1" applyProtection="1">
      <alignment horizontal="right" vertical="center" wrapText="1"/>
      <protection locked="0"/>
    </xf>
    <xf numFmtId="43" fontId="50" fillId="0" borderId="70" xfId="27" applyNumberFormat="1" applyFont="1" applyFill="1" applyBorder="1" applyAlignment="1" applyProtection="1">
      <alignment horizontal="center" vertical="center" wrapText="1"/>
      <protection locked="0"/>
    </xf>
    <xf numFmtId="1" fontId="50" fillId="0" borderId="70" xfId="22" applyNumberFormat="1" applyFont="1" applyFill="1" applyBorder="1" applyAlignment="1">
      <alignment vertical="center" wrapText="1"/>
    </xf>
    <xf numFmtId="1" fontId="50" fillId="0" borderId="70" xfId="30" applyNumberFormat="1" applyFont="1" applyFill="1" applyBorder="1" applyAlignment="1">
      <alignment horizontal="right" vertical="center" wrapText="1"/>
    </xf>
    <xf numFmtId="3" fontId="50" fillId="0" borderId="70" xfId="0" applyNumberFormat="1" applyFont="1" applyFill="1" applyBorder="1" applyAlignment="1" applyProtection="1">
      <alignment vertical="center" wrapText="1"/>
      <protection locked="0"/>
    </xf>
    <xf numFmtId="170" fontId="50" fillId="0" borderId="70" xfId="1" applyNumberFormat="1" applyFont="1" applyFill="1" applyBorder="1" applyAlignment="1">
      <alignment horizontal="right" vertical="center" wrapText="1"/>
    </xf>
    <xf numFmtId="170" fontId="50" fillId="0" borderId="70" xfId="30" applyNumberFormat="1" applyFont="1" applyFill="1" applyBorder="1" applyAlignment="1">
      <alignment horizontal="center" vertical="center" wrapText="1"/>
    </xf>
    <xf numFmtId="170" fontId="50" fillId="0" borderId="70" xfId="27" applyNumberFormat="1" applyFont="1" applyFill="1" applyBorder="1" applyAlignment="1">
      <alignment horizontal="right" vertical="center" wrapText="1"/>
    </xf>
    <xf numFmtId="4" fontId="50" fillId="0" borderId="70" xfId="0" applyNumberFormat="1" applyFont="1" applyFill="1" applyBorder="1" applyAlignment="1" applyProtection="1">
      <alignment vertical="center" wrapText="1"/>
      <protection locked="0"/>
    </xf>
    <xf numFmtId="171" fontId="50" fillId="0" borderId="70" xfId="1" applyNumberFormat="1" applyFont="1" applyFill="1" applyBorder="1" applyAlignment="1">
      <alignment horizontal="right" vertical="center" wrapText="1"/>
    </xf>
    <xf numFmtId="171" fontId="50" fillId="0" borderId="70" xfId="27" applyNumberFormat="1" applyFont="1" applyFill="1" applyBorder="1" applyAlignment="1">
      <alignment horizontal="right" vertical="center" wrapText="1"/>
    </xf>
    <xf numFmtId="171" fontId="50" fillId="0" borderId="70" xfId="0" applyNumberFormat="1" applyFont="1" applyFill="1" applyBorder="1" applyAlignment="1" applyProtection="1">
      <alignment horizontal="right" vertical="center" wrapText="1"/>
      <protection locked="0"/>
    </xf>
    <xf numFmtId="169" fontId="50" fillId="0" borderId="70" xfId="30" applyNumberFormat="1" applyFont="1" applyFill="1" applyBorder="1" applyAlignment="1">
      <alignment horizontal="right" vertical="center" wrapText="1"/>
    </xf>
    <xf numFmtId="173" fontId="50" fillId="0" borderId="70" xfId="0" applyNumberFormat="1" applyFont="1" applyFill="1" applyBorder="1" applyAlignment="1" applyProtection="1">
      <alignment vertical="center" wrapText="1"/>
      <protection locked="0"/>
    </xf>
    <xf numFmtId="166" fontId="50" fillId="0" borderId="70" xfId="0" applyNumberFormat="1" applyFont="1" applyFill="1" applyBorder="1" applyAlignment="1" applyProtection="1">
      <alignment horizontal="center" vertical="center" wrapText="1"/>
      <protection locked="0"/>
    </xf>
    <xf numFmtId="169" fontId="50" fillId="0" borderId="70" xfId="0" applyNumberFormat="1" applyFont="1" applyFill="1" applyBorder="1" applyAlignment="1" applyProtection="1">
      <alignment horizontal="right" vertical="center" wrapText="1"/>
      <protection locked="0"/>
    </xf>
    <xf numFmtId="1" fontId="50" fillId="0" borderId="70" xfId="0" applyNumberFormat="1" applyFont="1" applyFill="1" applyBorder="1" applyAlignment="1" applyProtection="1">
      <alignment horizontal="right" vertical="center" wrapText="1"/>
      <protection locked="0"/>
    </xf>
    <xf numFmtId="169" fontId="50" fillId="0" borderId="70" xfId="0" applyNumberFormat="1" applyFont="1" applyFill="1" applyBorder="1" applyAlignment="1" applyProtection="1">
      <alignment horizontal="center" vertical="center" wrapText="1"/>
      <protection locked="0"/>
    </xf>
    <xf numFmtId="1" fontId="50" fillId="0" borderId="70"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vertical="center" wrapText="1"/>
    </xf>
    <xf numFmtId="0" fontId="50" fillId="0" borderId="70" xfId="0" applyFont="1" applyFill="1" applyBorder="1" applyAlignment="1" applyProtection="1">
      <alignment vertical="center" wrapText="1"/>
    </xf>
    <xf numFmtId="0" fontId="50" fillId="0" borderId="70" xfId="0" applyFont="1" applyFill="1" applyBorder="1" applyAlignment="1" applyProtection="1">
      <alignment horizontal="center" vertical="center" wrapText="1"/>
    </xf>
    <xf numFmtId="170" fontId="50" fillId="0" borderId="70" xfId="0" applyNumberFormat="1" applyFont="1" applyFill="1" applyBorder="1" applyAlignment="1" applyProtection="1">
      <alignment vertical="center"/>
      <protection locked="0"/>
    </xf>
    <xf numFmtId="170" fontId="50" fillId="0" borderId="70" xfId="0" applyNumberFormat="1" applyFont="1" applyFill="1" applyBorder="1" applyAlignment="1" applyProtection="1">
      <alignment horizontal="center" vertical="center"/>
      <protection locked="0"/>
    </xf>
    <xf numFmtId="166" fontId="50" fillId="0" borderId="70" xfId="0" applyNumberFormat="1" applyFont="1" applyFill="1" applyBorder="1" applyAlignment="1" applyProtection="1">
      <alignment vertical="center" wrapText="1"/>
      <protection locked="0"/>
    </xf>
    <xf numFmtId="166" fontId="144" fillId="0" borderId="70" xfId="0" applyNumberFormat="1" applyFont="1" applyFill="1" applyBorder="1" applyAlignment="1" applyProtection="1">
      <alignment horizontal="center" vertical="center" wrapText="1"/>
      <protection locked="0"/>
    </xf>
    <xf numFmtId="43" fontId="50" fillId="0" borderId="70" xfId="1" applyNumberFormat="1" applyFont="1" applyFill="1" applyBorder="1" applyAlignment="1">
      <alignment horizontal="right" vertical="center" wrapText="1"/>
    </xf>
    <xf numFmtId="43" fontId="50" fillId="0" borderId="70" xfId="0" applyNumberFormat="1" applyFont="1" applyFill="1" applyBorder="1" applyAlignment="1" applyProtection="1">
      <alignment horizontal="right" vertical="center" wrapText="1"/>
      <protection locked="0"/>
    </xf>
    <xf numFmtId="175" fontId="50" fillId="0" borderId="70" xfId="27" applyNumberFormat="1" applyFont="1" applyFill="1" applyBorder="1" applyAlignment="1" applyProtection="1">
      <alignment horizontal="center" vertical="center" wrapText="1"/>
      <protection locked="0"/>
    </xf>
    <xf numFmtId="176" fontId="50" fillId="0" borderId="70" xfId="27" applyNumberFormat="1" applyFont="1" applyFill="1" applyBorder="1" applyAlignment="1">
      <alignment horizontal="right" vertical="center" wrapText="1"/>
    </xf>
    <xf numFmtId="1" fontId="50" fillId="0" borderId="70" xfId="0" applyNumberFormat="1" applyFont="1" applyFill="1" applyBorder="1" applyAlignment="1" applyProtection="1">
      <alignment vertical="center" wrapText="1"/>
    </xf>
    <xf numFmtId="169" fontId="50" fillId="0" borderId="70" xfId="0" applyNumberFormat="1" applyFont="1" applyFill="1" applyBorder="1" applyAlignment="1" applyProtection="1">
      <alignment horizontal="right" vertical="center" wrapText="1"/>
    </xf>
    <xf numFmtId="186" fontId="50" fillId="0" borderId="70" xfId="39" applyNumberFormat="1" applyFont="1" applyFill="1" applyBorder="1" applyAlignment="1" applyProtection="1">
      <alignment horizontal="right" vertical="center" wrapText="1"/>
    </xf>
    <xf numFmtId="184" fontId="50" fillId="0" borderId="70" xfId="39" applyNumberFormat="1" applyFont="1" applyFill="1" applyBorder="1" applyAlignment="1" applyProtection="1">
      <alignment horizontal="right" vertical="center" wrapText="1"/>
    </xf>
    <xf numFmtId="184" fontId="50" fillId="0" borderId="70" xfId="39" applyNumberFormat="1" applyFont="1" applyFill="1" applyBorder="1" applyAlignment="1" applyProtection="1">
      <alignment horizontal="center" vertical="center" wrapText="1"/>
    </xf>
    <xf numFmtId="2" fontId="50" fillId="0" borderId="70" xfId="0" applyNumberFormat="1" applyFont="1" applyFill="1" applyBorder="1" applyAlignment="1" applyProtection="1">
      <alignment horizontal="right" vertical="center" wrapText="1"/>
      <protection locked="0"/>
    </xf>
    <xf numFmtId="0" fontId="50" fillId="0" borderId="70" xfId="0" applyFont="1" applyFill="1" applyBorder="1" applyAlignment="1" applyProtection="1">
      <alignment horizontal="right" vertical="center" wrapText="1"/>
    </xf>
    <xf numFmtId="184" fontId="50" fillId="0" borderId="70" xfId="39" applyNumberFormat="1" applyFont="1" applyFill="1" applyBorder="1" applyAlignment="1">
      <alignment horizontal="center" vertical="center"/>
    </xf>
    <xf numFmtId="169" fontId="50" fillId="0" borderId="70" xfId="0" applyNumberFormat="1" applyFont="1" applyFill="1" applyBorder="1" applyAlignment="1">
      <alignment horizontal="right" vertical="center" wrapText="1"/>
    </xf>
    <xf numFmtId="184" fontId="50" fillId="0" borderId="70" xfId="39" applyNumberFormat="1" applyFont="1" applyFill="1" applyBorder="1" applyAlignment="1">
      <alignment horizontal="right" vertical="center" wrapText="1"/>
    </xf>
    <xf numFmtId="184" fontId="50" fillId="0" borderId="70" xfId="39" applyNumberFormat="1" applyFont="1" applyFill="1" applyBorder="1" applyAlignment="1">
      <alignment horizontal="center" vertical="center" wrapText="1"/>
    </xf>
    <xf numFmtId="169" fontId="50" fillId="0" borderId="70" xfId="0" applyNumberFormat="1" applyFont="1" applyFill="1" applyBorder="1" applyAlignment="1" applyProtection="1">
      <alignment vertical="center" wrapText="1"/>
    </xf>
    <xf numFmtId="169" fontId="50" fillId="0" borderId="70" xfId="0" applyNumberFormat="1" applyFont="1" applyFill="1" applyBorder="1" applyAlignment="1" applyProtection="1">
      <alignment horizontal="center" vertical="center" wrapText="1"/>
    </xf>
    <xf numFmtId="186" fontId="50" fillId="0" borderId="70" xfId="39" applyNumberFormat="1" applyFont="1" applyFill="1" applyBorder="1" applyAlignment="1" applyProtection="1">
      <alignment vertical="center" wrapText="1"/>
    </xf>
    <xf numFmtId="186" fontId="50" fillId="0" borderId="70" xfId="39" applyNumberFormat="1" applyFont="1" applyFill="1" applyBorder="1" applyAlignment="1" applyProtection="1">
      <alignment horizontal="center" vertical="center" wrapText="1"/>
    </xf>
    <xf numFmtId="0" fontId="50" fillId="0" borderId="70" xfId="0" applyFont="1" applyFill="1" applyBorder="1" applyAlignment="1">
      <alignment horizontal="center" vertical="center" wrapText="1"/>
    </xf>
    <xf numFmtId="1" fontId="50" fillId="0" borderId="70" xfId="0" applyNumberFormat="1" applyFont="1" applyFill="1" applyBorder="1" applyAlignment="1" applyProtection="1">
      <alignment horizontal="right" vertical="center" wrapText="1"/>
    </xf>
    <xf numFmtId="0" fontId="57" fillId="0" borderId="4" xfId="0" applyFont="1" applyFill="1" applyBorder="1" applyAlignment="1" applyProtection="1">
      <alignment vertical="center" wrapText="1"/>
      <protection locked="0"/>
    </xf>
    <xf numFmtId="0" fontId="70" fillId="0" borderId="4" xfId="0" applyFont="1" applyFill="1" applyBorder="1" applyAlignment="1" applyProtection="1">
      <alignment horizontal="center" vertical="center" wrapText="1"/>
      <protection locked="0"/>
    </xf>
    <xf numFmtId="0" fontId="47" fillId="0" borderId="4" xfId="0" applyFont="1" applyFill="1" applyBorder="1" applyAlignment="1" applyProtection="1">
      <alignment vertical="center" wrapText="1"/>
    </xf>
    <xf numFmtId="0" fontId="53" fillId="0" borderId="5" xfId="0" applyFont="1" applyFill="1" applyBorder="1" applyAlignment="1" applyProtection="1">
      <alignment vertical="center" wrapText="1"/>
    </xf>
    <xf numFmtId="0" fontId="53" fillId="0" borderId="5" xfId="0" applyFont="1" applyFill="1" applyBorder="1" applyAlignment="1" applyProtection="1">
      <alignment horizontal="center" vertical="center" wrapText="1"/>
    </xf>
    <xf numFmtId="0" fontId="57" fillId="0" borderId="1" xfId="0" applyFont="1" applyFill="1" applyBorder="1" applyAlignment="1" applyProtection="1">
      <alignment vertical="center" wrapText="1"/>
      <protection locked="0"/>
    </xf>
    <xf numFmtId="0" fontId="70" fillId="0" borderId="1" xfId="0" applyFont="1" applyFill="1" applyBorder="1" applyAlignment="1" applyProtection="1">
      <alignment horizontal="center" vertical="center" wrapText="1"/>
      <protection locked="0"/>
    </xf>
    <xf numFmtId="0" fontId="47" fillId="0" borderId="1" xfId="0" applyFont="1" applyFill="1" applyBorder="1" applyAlignment="1" applyProtection="1">
      <alignment vertical="center" wrapText="1"/>
    </xf>
    <xf numFmtId="0" fontId="53" fillId="0" borderId="1" xfId="0" applyFont="1" applyFill="1" applyBorder="1" applyAlignment="1" applyProtection="1">
      <alignment vertical="center" wrapText="1"/>
      <protection locked="0"/>
    </xf>
    <xf numFmtId="0" fontId="49" fillId="0" borderId="1" xfId="0" applyFont="1" applyFill="1" applyBorder="1" applyAlignment="1" applyProtection="1">
      <alignment horizontal="center" vertical="center" wrapText="1"/>
      <protection locked="0"/>
    </xf>
    <xf numFmtId="0" fontId="53" fillId="0" borderId="17" xfId="0" applyFont="1" applyFill="1" applyBorder="1" applyAlignment="1" applyProtection="1">
      <alignment vertical="center" wrapText="1"/>
      <protection locked="0"/>
    </xf>
    <xf numFmtId="0" fontId="49" fillId="0" borderId="17" xfId="0" applyFont="1" applyFill="1" applyBorder="1" applyAlignment="1" applyProtection="1">
      <alignment horizontal="center" vertical="center" wrapText="1"/>
      <protection locked="0"/>
    </xf>
    <xf numFmtId="0" fontId="47" fillId="0" borderId="17" xfId="0" applyFont="1" applyFill="1" applyBorder="1" applyAlignment="1" applyProtection="1">
      <alignment vertical="center" wrapText="1"/>
    </xf>
    <xf numFmtId="0" fontId="53" fillId="0" borderId="16" xfId="0" applyFont="1" applyFill="1" applyBorder="1" applyAlignment="1" applyProtection="1">
      <alignment vertical="center" wrapText="1"/>
    </xf>
    <xf numFmtId="0" fontId="53" fillId="0" borderId="16" xfId="0" applyFont="1" applyFill="1" applyBorder="1" applyAlignment="1" applyProtection="1">
      <alignment horizontal="center" vertical="center" wrapText="1"/>
    </xf>
    <xf numFmtId="1" fontId="53" fillId="0" borderId="16" xfId="0" applyNumberFormat="1" applyFont="1" applyFill="1" applyBorder="1" applyAlignment="1" applyProtection="1">
      <alignment horizontal="left" vertical="center" wrapText="1"/>
    </xf>
    <xf numFmtId="1" fontId="49" fillId="0" borderId="16" xfId="0" applyNumberFormat="1" applyFont="1" applyFill="1" applyBorder="1" applyAlignment="1" applyProtection="1">
      <alignment horizontal="center" vertical="center" wrapText="1"/>
    </xf>
    <xf numFmtId="0" fontId="47" fillId="0" borderId="0" xfId="0" applyFont="1" applyFill="1" applyAlignment="1" applyProtection="1">
      <alignment vertical="center" wrapText="1"/>
    </xf>
    <xf numFmtId="0" fontId="53" fillId="0" borderId="0" xfId="0" applyFont="1" applyFill="1" applyAlignment="1" applyProtection="1">
      <alignment vertical="center" wrapText="1"/>
    </xf>
    <xf numFmtId="0" fontId="53" fillId="0" borderId="0" xfId="0" applyFont="1" applyFill="1" applyAlignment="1" applyProtection="1">
      <alignment horizontal="center" vertical="center" wrapText="1"/>
    </xf>
    <xf numFmtId="1" fontId="54" fillId="0" borderId="0" xfId="0" applyNumberFormat="1" applyFont="1" applyFill="1" applyAlignment="1" applyProtection="1">
      <alignment vertical="center" wrapText="1"/>
    </xf>
    <xf numFmtId="1" fontId="82" fillId="0" borderId="0" xfId="0" applyNumberFormat="1" applyFont="1" applyFill="1" applyAlignment="1" applyProtection="1">
      <alignment vertical="center" wrapText="1"/>
    </xf>
    <xf numFmtId="1" fontId="47" fillId="0" borderId="0" xfId="0" applyNumberFormat="1" applyFont="1" applyFill="1" applyAlignment="1" applyProtection="1">
      <alignment vertical="center" wrapText="1"/>
    </xf>
    <xf numFmtId="0" fontId="54" fillId="2" borderId="0" xfId="0" applyFont="1" applyFill="1" applyAlignment="1" applyProtection="1">
      <alignment horizontal="center" vertical="center" wrapText="1"/>
    </xf>
    <xf numFmtId="186" fontId="50" fillId="0" borderId="70" xfId="39" applyNumberFormat="1" applyFont="1" applyFill="1" applyBorder="1" applyAlignment="1">
      <alignment horizontal="right" vertical="center" wrapText="1"/>
    </xf>
    <xf numFmtId="164" fontId="54" fillId="2" borderId="0" xfId="39" applyFont="1" applyFill="1" applyAlignment="1" applyProtection="1">
      <alignment horizontal="center" vertical="center" wrapText="1"/>
      <protection locked="0"/>
    </xf>
    <xf numFmtId="0" fontId="52" fillId="2" borderId="0" xfId="0" applyFont="1" applyFill="1" applyAlignment="1" applyProtection="1">
      <alignment horizontal="right" vertical="center" wrapText="1"/>
      <protection locked="0"/>
    </xf>
    <xf numFmtId="164" fontId="52" fillId="2" borderId="0" xfId="39" applyFont="1" applyFill="1" applyAlignment="1" applyProtection="1">
      <alignment horizontal="center" vertical="center" wrapText="1"/>
      <protection locked="0"/>
    </xf>
    <xf numFmtId="0" fontId="54" fillId="2" borderId="69" xfId="0" applyFont="1" applyFill="1" applyBorder="1" applyAlignment="1" applyProtection="1">
      <alignment vertical="center" wrapText="1"/>
      <protection locked="0"/>
    </xf>
    <xf numFmtId="0" fontId="52" fillId="2" borderId="69" xfId="0" applyFont="1" applyFill="1" applyBorder="1" applyAlignment="1" applyProtection="1">
      <alignment vertical="center" wrapText="1"/>
      <protection locked="0"/>
    </xf>
    <xf numFmtId="0" fontId="54" fillId="0" borderId="69" xfId="0" applyFont="1" applyFill="1" applyBorder="1" applyAlignment="1" applyProtection="1">
      <alignment vertical="center" wrapText="1"/>
      <protection locked="0"/>
    </xf>
    <xf numFmtId="164" fontId="54" fillId="2" borderId="69" xfId="39" applyFont="1" applyFill="1" applyBorder="1" applyAlignment="1" applyProtection="1">
      <alignment vertical="center" wrapText="1"/>
      <protection locked="0"/>
    </xf>
    <xf numFmtId="184" fontId="54" fillId="2" borderId="0" xfId="39" applyNumberFormat="1" applyFont="1" applyFill="1" applyAlignment="1" applyProtection="1">
      <alignment horizontal="center" vertical="center" wrapText="1"/>
      <protection locked="0"/>
    </xf>
    <xf numFmtId="170" fontId="54" fillId="0" borderId="69" xfId="0" applyNumberFormat="1" applyFont="1" applyFill="1" applyBorder="1" applyAlignment="1" applyProtection="1">
      <alignment vertical="center" wrapText="1"/>
      <protection locked="0"/>
    </xf>
    <xf numFmtId="0" fontId="53" fillId="0" borderId="69" xfId="0" applyFont="1" applyFill="1" applyBorder="1" applyAlignment="1" applyProtection="1">
      <alignment vertical="center" wrapText="1"/>
      <protection locked="0"/>
    </xf>
    <xf numFmtId="184" fontId="55" fillId="2" borderId="0" xfId="39" applyNumberFormat="1" applyFont="1" applyFill="1" applyAlignment="1" applyProtection="1">
      <alignment horizontal="right" vertical="center" wrapText="1"/>
      <protection locked="0"/>
    </xf>
    <xf numFmtId="164" fontId="55" fillId="2" borderId="0" xfId="39" applyFont="1" applyFill="1" applyAlignment="1" applyProtection="1">
      <alignment horizontal="center" vertical="center" wrapText="1"/>
      <protection locked="0"/>
    </xf>
    <xf numFmtId="0" fontId="55" fillId="2" borderId="0" xfId="0" applyFont="1" applyFill="1" applyAlignment="1" applyProtection="1">
      <alignment horizontal="right" vertical="center" wrapText="1"/>
      <protection locked="0"/>
    </xf>
    <xf numFmtId="0" fontId="26" fillId="2" borderId="0" xfId="0" applyFont="1" applyFill="1" applyAlignment="1" applyProtection="1">
      <alignment horizontal="right" vertical="center" wrapText="1"/>
      <protection locked="0"/>
    </xf>
    <xf numFmtId="164" fontId="26" fillId="2" borderId="0" xfId="39" applyFont="1" applyFill="1" applyAlignment="1" applyProtection="1">
      <alignment horizontal="center" vertical="center" wrapText="1"/>
      <protection locked="0"/>
    </xf>
    <xf numFmtId="0" fontId="26" fillId="2" borderId="69" xfId="0" applyFont="1" applyFill="1" applyBorder="1" applyAlignment="1" applyProtection="1">
      <alignment vertical="center" wrapText="1"/>
      <protection locked="0"/>
    </xf>
    <xf numFmtId="1" fontId="54" fillId="2" borderId="0" xfId="0" applyNumberFormat="1" applyFont="1" applyFill="1" applyAlignment="1" applyProtection="1">
      <alignment horizontal="right" vertical="center" wrapText="1"/>
      <protection locked="0"/>
    </xf>
    <xf numFmtId="1" fontId="55" fillId="2" borderId="0" xfId="0" applyNumberFormat="1" applyFont="1" applyFill="1" applyAlignment="1" applyProtection="1">
      <alignment horizontal="right" vertical="center" wrapText="1"/>
      <protection locked="0"/>
    </xf>
    <xf numFmtId="164" fontId="50" fillId="2" borderId="0" xfId="39" applyFont="1" applyFill="1" applyAlignment="1" applyProtection="1">
      <alignment vertical="center" wrapText="1"/>
    </xf>
    <xf numFmtId="164" fontId="50" fillId="2" borderId="0" xfId="39" applyFont="1" applyFill="1" applyAlignment="1" applyProtection="1">
      <alignment horizontal="center" vertical="center" wrapText="1"/>
    </xf>
    <xf numFmtId="164" fontId="48" fillId="2" borderId="0" xfId="39" applyFont="1" applyFill="1" applyAlignment="1" applyProtection="1">
      <alignment vertical="center" wrapText="1"/>
    </xf>
    <xf numFmtId="164" fontId="124" fillId="2" borderId="0" xfId="0" applyNumberFormat="1" applyFont="1" applyFill="1" applyAlignment="1" applyProtection="1">
      <alignment vertical="center" wrapText="1"/>
    </xf>
    <xf numFmtId="164" fontId="73" fillId="2" borderId="0" xfId="0" applyNumberFormat="1" applyFont="1" applyFill="1" applyAlignment="1" applyProtection="1">
      <alignment vertical="center" wrapText="1"/>
    </xf>
    <xf numFmtId="164" fontId="51" fillId="2" borderId="0" xfId="39" applyFont="1" applyFill="1" applyAlignment="1" applyProtection="1">
      <alignment vertical="center" wrapText="1"/>
    </xf>
    <xf numFmtId="164" fontId="106" fillId="2" borderId="0" xfId="0" applyNumberFormat="1" applyFont="1" applyFill="1" applyAlignment="1" applyProtection="1">
      <alignment vertical="center" wrapText="1"/>
    </xf>
    <xf numFmtId="164" fontId="78" fillId="2" borderId="0" xfId="39" applyFont="1" applyFill="1" applyAlignment="1" applyProtection="1">
      <alignment vertical="center" wrapText="1"/>
    </xf>
    <xf numFmtId="186" fontId="50" fillId="2" borderId="0" xfId="39" applyNumberFormat="1" applyFont="1" applyFill="1" applyAlignment="1" applyProtection="1">
      <alignment vertical="center" wrapText="1"/>
    </xf>
    <xf numFmtId="186" fontId="51" fillId="2" borderId="0" xfId="39" applyNumberFormat="1" applyFont="1" applyFill="1" applyAlignment="1" applyProtection="1">
      <alignment vertical="center" wrapText="1"/>
    </xf>
    <xf numFmtId="164" fontId="50" fillId="0" borderId="0" xfId="39" applyFont="1" applyFill="1" applyAlignment="1" applyProtection="1">
      <alignment vertical="center" wrapText="1"/>
    </xf>
    <xf numFmtId="186" fontId="51" fillId="0" borderId="0" xfId="39" applyNumberFormat="1" applyFont="1" applyFill="1" applyAlignment="1" applyProtection="1">
      <alignment vertical="center" wrapText="1"/>
    </xf>
    <xf numFmtId="186" fontId="50" fillId="0" borderId="0" xfId="39" applyNumberFormat="1" applyFont="1" applyFill="1" applyAlignment="1" applyProtection="1">
      <alignment vertical="center" wrapText="1"/>
    </xf>
    <xf numFmtId="186" fontId="51" fillId="6" borderId="0" xfId="39" applyNumberFormat="1" applyFont="1" applyFill="1" applyAlignment="1" applyProtection="1">
      <alignment vertical="center" wrapText="1"/>
    </xf>
    <xf numFmtId="172" fontId="54" fillId="2" borderId="0" xfId="0" applyNumberFormat="1" applyFont="1" applyFill="1" applyAlignment="1" applyProtection="1">
      <alignment vertical="center" wrapText="1"/>
    </xf>
    <xf numFmtId="173" fontId="50" fillId="2" borderId="0" xfId="0" applyNumberFormat="1" applyFont="1" applyFill="1" applyAlignment="1" applyProtection="1">
      <alignment vertical="center" wrapText="1"/>
    </xf>
    <xf numFmtId="43" fontId="105" fillId="2" borderId="0" xfId="1" applyFont="1" applyFill="1" applyAlignment="1" applyProtection="1">
      <alignment vertical="center" wrapText="1"/>
    </xf>
    <xf numFmtId="3" fontId="145" fillId="2" borderId="0" xfId="0" applyNumberFormat="1" applyFont="1" applyFill="1" applyProtection="1"/>
    <xf numFmtId="43" fontId="26" fillId="2" borderId="0" xfId="1" applyFont="1" applyFill="1" applyAlignment="1" applyProtection="1">
      <alignment vertical="center" wrapText="1"/>
    </xf>
    <xf numFmtId="173" fontId="145" fillId="2" borderId="0" xfId="0" applyNumberFormat="1" applyFont="1" applyFill="1" applyProtection="1"/>
    <xf numFmtId="0" fontId="26" fillId="2" borderId="0" xfId="0" applyFont="1" applyFill="1" applyAlignment="1" applyProtection="1">
      <alignment vertical="center" wrapText="1"/>
    </xf>
    <xf numFmtId="3" fontId="26" fillId="2" borderId="0" xfId="0" applyNumberFormat="1" applyFont="1" applyFill="1" applyAlignment="1" applyProtection="1">
      <alignment vertical="center" wrapText="1"/>
    </xf>
    <xf numFmtId="173" fontId="26" fillId="2" borderId="0" xfId="0" applyNumberFormat="1" applyFont="1" applyFill="1" applyAlignment="1" applyProtection="1">
      <alignment vertical="center" wrapText="1"/>
    </xf>
    <xf numFmtId="176" fontId="54" fillId="2" borderId="0" xfId="0" applyNumberFormat="1" applyFont="1" applyFill="1" applyAlignment="1" applyProtection="1">
      <alignment vertical="center" wrapText="1"/>
    </xf>
    <xf numFmtId="186" fontId="59" fillId="2" borderId="0" xfId="39" applyNumberFormat="1" applyFont="1" applyFill="1" applyAlignment="1" applyProtection="1">
      <alignment horizontal="right" vertical="center" wrapText="1"/>
      <protection locked="0"/>
    </xf>
    <xf numFmtId="175" fontId="54" fillId="2" borderId="0" xfId="1" applyNumberFormat="1" applyFont="1" applyFill="1" applyAlignment="1" applyProtection="1">
      <alignment horizontal="right" vertical="center" wrapText="1"/>
      <protection locked="0"/>
    </xf>
    <xf numFmtId="184" fontId="54" fillId="2" borderId="0" xfId="39" applyNumberFormat="1" applyFont="1" applyFill="1" applyAlignment="1" applyProtection="1">
      <alignment vertical="center" wrapText="1"/>
      <protection locked="0"/>
    </xf>
    <xf numFmtId="170" fontId="26" fillId="0" borderId="0" xfId="0" applyNumberFormat="1" applyFont="1" applyFill="1" applyAlignment="1" applyProtection="1">
      <alignment horizontal="right" vertical="center" wrapText="1"/>
      <protection locked="0"/>
    </xf>
    <xf numFmtId="43" fontId="50" fillId="6" borderId="70" xfId="1" applyNumberFormat="1" applyFont="1" applyFill="1" applyBorder="1" applyAlignment="1" applyProtection="1">
      <alignment horizontal="right" vertical="center" wrapText="1"/>
      <protection locked="0"/>
    </xf>
    <xf numFmtId="43" fontId="50" fillId="7" borderId="70" xfId="1" applyNumberFormat="1" applyFont="1" applyFill="1" applyBorder="1" applyAlignment="1" applyProtection="1">
      <alignment horizontal="right" vertical="center" wrapText="1"/>
      <protection locked="0"/>
    </xf>
    <xf numFmtId="0" fontId="53" fillId="2" borderId="0" xfId="0" applyFont="1" applyFill="1" applyAlignment="1" applyProtection="1">
      <alignment horizontal="left" vertical="center" wrapText="1"/>
      <protection locked="0"/>
    </xf>
    <xf numFmtId="3" fontId="48" fillId="2" borderId="70" xfId="0" applyNumberFormat="1" applyFont="1" applyFill="1" applyBorder="1" applyAlignment="1" applyProtection="1">
      <alignment horizontal="center" vertical="center" wrapText="1"/>
      <protection locked="0"/>
    </xf>
    <xf numFmtId="166" fontId="48" fillId="2" borderId="70" xfId="0" applyNumberFormat="1" applyFont="1" applyFill="1" applyBorder="1" applyAlignment="1" applyProtection="1">
      <alignment horizontal="center" vertical="center" wrapText="1"/>
      <protection locked="0"/>
    </xf>
    <xf numFmtId="169" fontId="73" fillId="2" borderId="0" xfId="0" applyNumberFormat="1" applyFont="1" applyFill="1" applyBorder="1" applyAlignment="1" applyProtection="1">
      <alignment horizontal="center" vertical="center" wrapText="1"/>
      <protection locked="0"/>
    </xf>
    <xf numFmtId="164" fontId="73" fillId="2" borderId="0" xfId="39" applyFont="1" applyFill="1" applyAlignment="1" applyProtection="1">
      <alignment vertical="center" wrapText="1"/>
      <protection locked="0"/>
    </xf>
    <xf numFmtId="43" fontId="54" fillId="2" borderId="0" xfId="1" applyFont="1" applyFill="1" applyAlignment="1" applyProtection="1">
      <alignment horizontal="right" vertical="center" wrapText="1"/>
      <protection locked="0"/>
    </xf>
    <xf numFmtId="164" fontId="54" fillId="2" borderId="0" xfId="39" applyFont="1" applyFill="1" applyAlignment="1" applyProtection="1">
      <alignment vertical="center" wrapText="1"/>
      <protection locked="0"/>
    </xf>
    <xf numFmtId="164" fontId="50" fillId="2" borderId="0" xfId="39" applyFont="1" applyFill="1" applyAlignment="1" applyProtection="1">
      <alignment horizontal="center" vertical="center" wrapText="1"/>
      <protection locked="0"/>
    </xf>
    <xf numFmtId="164" fontId="50" fillId="2" borderId="0" xfId="39" applyFont="1" applyFill="1" applyAlignment="1" applyProtection="1">
      <alignment vertical="center" wrapText="1"/>
      <protection locked="0"/>
    </xf>
    <xf numFmtId="164" fontId="52" fillId="2" borderId="0" xfId="39" applyFont="1" applyFill="1" applyAlignment="1" applyProtection="1">
      <alignment vertical="center" wrapText="1"/>
      <protection locked="0"/>
    </xf>
    <xf numFmtId="164" fontId="47" fillId="2" borderId="0" xfId="39" applyFont="1" applyFill="1" applyAlignment="1" applyProtection="1">
      <alignment vertical="center" wrapText="1"/>
      <protection locked="0"/>
    </xf>
    <xf numFmtId="164" fontId="81" fillId="2" borderId="0" xfId="39" applyFont="1" applyFill="1" applyAlignment="1" applyProtection="1">
      <alignment vertical="center" wrapText="1"/>
      <protection locked="0"/>
    </xf>
    <xf numFmtId="170" fontId="54" fillId="10" borderId="0" xfId="0" applyNumberFormat="1" applyFont="1" applyFill="1" applyAlignment="1" applyProtection="1">
      <alignment horizontal="right" vertical="center" wrapText="1"/>
      <protection locked="0"/>
    </xf>
    <xf numFmtId="166" fontId="54" fillId="6" borderId="0" xfId="0" applyNumberFormat="1" applyFont="1" applyFill="1" applyAlignment="1" applyProtection="1">
      <alignment vertical="center" wrapText="1"/>
      <protection locked="0"/>
    </xf>
    <xf numFmtId="166" fontId="52" fillId="9" borderId="0" xfId="0" applyNumberFormat="1" applyFont="1" applyFill="1" applyAlignment="1" applyProtection="1">
      <alignment horizontal="right" vertical="center" wrapText="1"/>
      <protection locked="0"/>
    </xf>
    <xf numFmtId="166" fontId="54" fillId="11" borderId="0" xfId="0" applyNumberFormat="1" applyFont="1" applyFill="1" applyAlignment="1" applyProtection="1">
      <alignment horizontal="right" vertical="center" wrapText="1"/>
      <protection locked="0"/>
    </xf>
    <xf numFmtId="166" fontId="54" fillId="4" borderId="0" xfId="0" applyNumberFormat="1" applyFont="1" applyFill="1" applyAlignment="1" applyProtection="1">
      <alignment horizontal="right" vertical="center" wrapText="1"/>
      <protection locked="0"/>
    </xf>
    <xf numFmtId="166" fontId="54" fillId="3" borderId="0" xfId="0" applyNumberFormat="1" applyFont="1" applyFill="1" applyAlignment="1" applyProtection="1">
      <alignment horizontal="right" vertical="center" wrapText="1"/>
      <protection locked="0"/>
    </xf>
    <xf numFmtId="166" fontId="51" fillId="2" borderId="0" xfId="0" applyNumberFormat="1" applyFont="1" applyFill="1" applyAlignment="1" applyProtection="1">
      <alignment horizontal="right" vertical="center" wrapText="1"/>
      <protection locked="0"/>
    </xf>
    <xf numFmtId="164" fontId="55" fillId="2" borderId="0" xfId="39" applyFont="1" applyFill="1" applyAlignment="1" applyProtection="1">
      <alignment vertical="center" wrapText="1"/>
      <protection locked="0"/>
    </xf>
    <xf numFmtId="166" fontId="50" fillId="7" borderId="0" xfId="0" applyNumberFormat="1" applyFont="1" applyFill="1" applyAlignment="1" applyProtection="1">
      <alignment horizontal="right" vertical="center" wrapText="1"/>
      <protection locked="0"/>
    </xf>
    <xf numFmtId="164" fontId="50" fillId="7" borderId="0" xfId="39" applyFont="1" applyFill="1" applyAlignment="1" applyProtection="1">
      <alignment vertical="center" wrapText="1"/>
      <protection locked="0"/>
    </xf>
    <xf numFmtId="166" fontId="50" fillId="6" borderId="0" xfId="0" applyNumberFormat="1" applyFont="1" applyFill="1" applyAlignment="1" applyProtection="1">
      <alignment horizontal="right" vertical="center" wrapText="1"/>
      <protection locked="0"/>
    </xf>
    <xf numFmtId="164" fontId="50" fillId="6" borderId="0" xfId="39" applyFont="1" applyFill="1" applyAlignment="1" applyProtection="1">
      <alignment vertical="center" wrapText="1"/>
      <protection locked="0"/>
    </xf>
    <xf numFmtId="170" fontId="48" fillId="2" borderId="70" xfId="0" applyNumberFormat="1" applyFont="1" applyFill="1" applyBorder="1" applyAlignment="1" applyProtection="1">
      <alignment vertical="center" wrapText="1"/>
      <protection locked="0"/>
    </xf>
    <xf numFmtId="43" fontId="50" fillId="0" borderId="70" xfId="1" applyNumberFormat="1" applyFont="1" applyFill="1" applyBorder="1" applyAlignment="1" applyProtection="1">
      <alignment horizontal="center" vertical="center" wrapText="1"/>
      <protection locked="0"/>
    </xf>
    <xf numFmtId="4" fontId="50" fillId="6" borderId="70" xfId="27" applyNumberFormat="1" applyFont="1" applyFill="1" applyBorder="1" applyAlignment="1" applyProtection="1">
      <alignment horizontal="right" vertical="center" wrapText="1"/>
      <protection locked="0"/>
    </xf>
    <xf numFmtId="4" fontId="122" fillId="6" borderId="70" xfId="27" applyNumberFormat="1" applyFont="1" applyFill="1" applyBorder="1" applyAlignment="1" applyProtection="1">
      <alignment horizontal="right" vertical="center" wrapText="1"/>
      <protection locked="0"/>
    </xf>
    <xf numFmtId="4" fontId="50" fillId="6" borderId="70" xfId="27" applyNumberFormat="1" applyFont="1" applyFill="1" applyBorder="1" applyAlignment="1" applyProtection="1">
      <alignment horizontal="center" vertical="center" wrapText="1"/>
      <protection locked="0"/>
    </xf>
    <xf numFmtId="0" fontId="50" fillId="2" borderId="70" xfId="0" applyFont="1" applyFill="1" applyBorder="1" applyAlignment="1" applyProtection="1">
      <alignment horizontal="center" vertical="center" wrapText="1"/>
      <protection locked="0"/>
    </xf>
    <xf numFmtId="184" fontId="50" fillId="2" borderId="70" xfId="39" quotePrefix="1" applyNumberFormat="1" applyFont="1" applyFill="1" applyBorder="1" applyAlignment="1" applyProtection="1">
      <alignment horizontal="center" vertical="center" wrapText="1"/>
      <protection locked="0"/>
    </xf>
    <xf numFmtId="175" fontId="50" fillId="2" borderId="70" xfId="1" applyNumberFormat="1" applyFont="1" applyFill="1" applyBorder="1" applyAlignment="1" applyProtection="1">
      <alignment horizontal="center" vertical="center" wrapText="1"/>
      <protection locked="0"/>
    </xf>
    <xf numFmtId="167" fontId="48" fillId="2" borderId="70" xfId="0" applyNumberFormat="1" applyFont="1" applyFill="1" applyBorder="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169" fontId="50" fillId="2" borderId="0" xfId="0" applyNumberFormat="1" applyFont="1" applyFill="1" applyAlignment="1">
      <alignment vertical="center" wrapText="1"/>
    </xf>
    <xf numFmtId="167" fontId="48" fillId="2" borderId="70" xfId="0" applyNumberFormat="1" applyFont="1" applyFill="1" applyBorder="1" applyAlignment="1" applyProtection="1">
      <alignment horizontal="center" vertical="center" wrapText="1"/>
      <protection locked="0"/>
    </xf>
    <xf numFmtId="3" fontId="48" fillId="2" borderId="70" xfId="0" applyNumberFormat="1" applyFont="1" applyFill="1" applyBorder="1" applyAlignment="1" applyProtection="1">
      <alignment horizontal="center" vertical="center" wrapText="1"/>
      <protection locked="0"/>
    </xf>
    <xf numFmtId="166" fontId="48" fillId="2" borderId="70" xfId="0" applyNumberFormat="1" applyFont="1" applyFill="1" applyBorder="1" applyAlignment="1" applyProtection="1">
      <alignment horizontal="center" vertical="center" wrapText="1"/>
      <protection locked="0"/>
    </xf>
    <xf numFmtId="3" fontId="48" fillId="0" borderId="70" xfId="0" applyNumberFormat="1" applyFont="1" applyFill="1" applyBorder="1" applyAlignment="1" applyProtection="1">
      <alignment horizontal="center" vertical="center" wrapText="1"/>
      <protection locked="0"/>
    </xf>
    <xf numFmtId="167" fontId="48" fillId="0" borderId="70" xfId="0" applyNumberFormat="1" applyFont="1" applyFill="1" applyBorder="1" applyAlignment="1" applyProtection="1">
      <alignment horizontal="center" vertical="center" wrapText="1"/>
      <protection locked="0"/>
    </xf>
    <xf numFmtId="3" fontId="48" fillId="0" borderId="70" xfId="0" applyNumberFormat="1" applyFont="1" applyFill="1" applyBorder="1" applyAlignment="1" applyProtection="1">
      <alignment vertical="center" wrapText="1"/>
      <protection locked="0"/>
    </xf>
    <xf numFmtId="0" fontId="50" fillId="2" borderId="70" xfId="0" applyFont="1" applyFill="1" applyBorder="1" applyAlignment="1" applyProtection="1">
      <alignment horizontal="center" vertical="center" wrapText="1"/>
      <protection locked="0"/>
    </xf>
    <xf numFmtId="170" fontId="50" fillId="2" borderId="70" xfId="42" applyNumberFormat="1" applyFont="1" applyFill="1" applyBorder="1" applyAlignment="1" applyProtection="1">
      <alignment horizontal="right" vertical="center"/>
      <protection locked="0"/>
    </xf>
    <xf numFmtId="170" fontId="51" fillId="2" borderId="70" xfId="42" applyNumberFormat="1" applyFont="1" applyFill="1" applyBorder="1" applyAlignment="1" applyProtection="1">
      <alignment horizontal="right" vertical="center"/>
      <protection locked="0"/>
    </xf>
    <xf numFmtId="166" fontId="50" fillId="2" borderId="70" xfId="42" applyNumberFormat="1" applyFont="1" applyFill="1" applyBorder="1" applyAlignment="1" applyProtection="1">
      <alignment horizontal="right" vertical="center"/>
      <protection locked="0"/>
    </xf>
    <xf numFmtId="169" fontId="50" fillId="2" borderId="70" xfId="27" applyNumberFormat="1" applyFont="1" applyBorder="1" applyAlignment="1">
      <alignment horizontal="right" vertical="center" wrapText="1"/>
    </xf>
    <xf numFmtId="166" fontId="50" fillId="2" borderId="70" xfId="42" applyNumberFormat="1" applyFont="1" applyFill="1" applyBorder="1" applyAlignment="1" applyProtection="1">
      <alignment horizontal="right" vertical="center" wrapText="1"/>
      <protection locked="0"/>
    </xf>
    <xf numFmtId="171" fontId="50" fillId="2" borderId="70" xfId="40" applyNumberFormat="1" applyFont="1" applyFill="1" applyBorder="1" applyAlignment="1" applyProtection="1">
      <alignment horizontal="right" vertical="center" wrapText="1" shrinkToFit="1"/>
      <protection locked="0"/>
    </xf>
    <xf numFmtId="166" fontId="50" fillId="2" borderId="70" xfId="18" applyNumberFormat="1" applyFont="1" applyBorder="1" applyAlignment="1" applyProtection="1">
      <alignment horizontal="right" vertical="center" wrapText="1"/>
      <protection locked="0"/>
    </xf>
    <xf numFmtId="176" fontId="50" fillId="2" borderId="70" xfId="0" applyNumberFormat="1" applyFont="1" applyFill="1" applyBorder="1" applyAlignment="1" applyProtection="1">
      <alignment horizontal="right" vertical="center" wrapText="1"/>
      <protection locked="0"/>
    </xf>
    <xf numFmtId="164" fontId="50" fillId="2" borderId="70" xfId="39" applyNumberFormat="1" applyFont="1" applyFill="1" applyBorder="1" applyAlignment="1" applyProtection="1">
      <alignment horizontal="right" vertical="center" wrapText="1"/>
      <protection locked="0"/>
    </xf>
    <xf numFmtId="43" fontId="50" fillId="2" borderId="70" xfId="27" applyNumberFormat="1" applyFont="1" applyFill="1" applyBorder="1" applyAlignment="1" applyProtection="1">
      <alignment horizontal="right" vertical="center" wrapText="1"/>
      <protection locked="0"/>
    </xf>
    <xf numFmtId="43" fontId="50" fillId="2" borderId="70" xfId="27" applyNumberFormat="1" applyFont="1" applyFill="1" applyBorder="1" applyAlignment="1" applyProtection="1">
      <alignment horizontal="center" vertical="center" wrapText="1"/>
      <protection locked="0"/>
    </xf>
    <xf numFmtId="1" fontId="50" fillId="2" borderId="70" xfId="30" applyNumberFormat="1" applyFont="1" applyFill="1" applyBorder="1" applyAlignment="1">
      <alignment horizontal="right" vertical="center" wrapText="1"/>
    </xf>
    <xf numFmtId="3" fontId="50" fillId="6" borderId="70" xfId="22" applyNumberFormat="1" applyFont="1" applyFill="1" applyBorder="1" applyAlignment="1">
      <alignment horizontal="right" vertical="center" wrapText="1"/>
    </xf>
    <xf numFmtId="0" fontId="50" fillId="6" borderId="33" xfId="0" applyFont="1" applyFill="1" applyBorder="1" applyAlignment="1" applyProtection="1">
      <alignment horizontal="right" vertical="center" wrapText="1"/>
      <protection locked="0"/>
    </xf>
    <xf numFmtId="170" fontId="48" fillId="6" borderId="70" xfId="30" applyNumberFormat="1" applyFont="1" applyFill="1" applyBorder="1" applyAlignment="1">
      <alignment horizontal="right" vertical="center" wrapText="1"/>
    </xf>
    <xf numFmtId="170" fontId="50" fillId="6" borderId="70" xfId="30" applyNumberFormat="1" applyFont="1" applyFill="1" applyBorder="1" applyAlignment="1">
      <alignment horizontal="right" vertical="center" wrapText="1"/>
    </xf>
    <xf numFmtId="173" fontId="50" fillId="6" borderId="70" xfId="22" applyNumberFormat="1" applyFont="1" applyFill="1" applyBorder="1" applyAlignment="1">
      <alignment horizontal="right" vertical="center" wrapText="1"/>
    </xf>
    <xf numFmtId="169" fontId="50" fillId="2" borderId="70" xfId="30" applyNumberFormat="1" applyFont="1" applyFill="1" applyBorder="1" applyAlignment="1">
      <alignment horizontal="right" vertical="center" wrapText="1"/>
    </xf>
    <xf numFmtId="173" fontId="50" fillId="6" borderId="70" xfId="22" applyNumberFormat="1" applyFont="1" applyFill="1" applyBorder="1" applyAlignment="1">
      <alignment vertical="center" wrapText="1"/>
    </xf>
    <xf numFmtId="170" fontId="51" fillId="6" borderId="70" xfId="30" applyNumberFormat="1" applyFont="1" applyFill="1" applyBorder="1" applyAlignment="1">
      <alignment horizontal="right" vertical="center" wrapText="1"/>
    </xf>
    <xf numFmtId="170" fontId="50" fillId="6" borderId="33" xfId="0" applyNumberFormat="1" applyFont="1" applyFill="1" applyBorder="1" applyAlignment="1" applyProtection="1">
      <alignment vertical="center"/>
      <protection locked="0"/>
    </xf>
    <xf numFmtId="170" fontId="50" fillId="6" borderId="70" xfId="0" applyNumberFormat="1" applyFont="1" applyFill="1" applyBorder="1" applyAlignment="1" applyProtection="1">
      <alignment vertical="center"/>
      <protection locked="0"/>
    </xf>
    <xf numFmtId="43" fontId="50" fillId="2" borderId="70" xfId="0" applyNumberFormat="1" applyFont="1" applyFill="1" applyBorder="1" applyAlignment="1" applyProtection="1">
      <alignment horizontal="right" vertical="center" wrapText="1"/>
      <protection locked="0"/>
    </xf>
    <xf numFmtId="175" fontId="50" fillId="2" borderId="70" xfId="27" applyNumberFormat="1" applyFont="1" applyFill="1" applyBorder="1" applyAlignment="1" applyProtection="1">
      <alignment horizontal="center" vertical="center" wrapText="1"/>
      <protection locked="0"/>
    </xf>
    <xf numFmtId="176" fontId="50" fillId="2" borderId="70" xfId="27" applyNumberFormat="1" applyFont="1" applyFill="1" applyBorder="1" applyAlignment="1" applyProtection="1">
      <alignment horizontal="center" vertical="center" wrapText="1"/>
      <protection locked="0"/>
    </xf>
    <xf numFmtId="0" fontId="50" fillId="2" borderId="70" xfId="0" applyFont="1" applyFill="1" applyBorder="1" applyAlignment="1" applyProtection="1">
      <alignment vertical="center" wrapText="1"/>
    </xf>
    <xf numFmtId="0" fontId="50" fillId="2" borderId="70" xfId="0" applyFont="1" applyFill="1" applyBorder="1" applyAlignment="1" applyProtection="1">
      <alignment horizontal="center" vertical="center" wrapText="1"/>
    </xf>
    <xf numFmtId="2" fontId="50" fillId="6" borderId="70" xfId="22" applyNumberFormat="1" applyFont="1" applyFill="1" applyBorder="1" applyAlignment="1">
      <alignment vertical="center" wrapText="1"/>
    </xf>
    <xf numFmtId="165" fontId="50" fillId="2" borderId="70" xfId="28" applyNumberFormat="1" applyFont="1" applyFill="1" applyBorder="1" applyAlignment="1">
      <alignment horizontal="center" vertical="center" wrapText="1"/>
    </xf>
    <xf numFmtId="2" fontId="50" fillId="0" borderId="0" xfId="0" applyNumberFormat="1" applyFont="1" applyAlignment="1">
      <alignment horizontal="center" vertical="center"/>
    </xf>
    <xf numFmtId="0" fontId="50" fillId="6" borderId="70" xfId="4" applyFont="1" applyFill="1" applyBorder="1" applyAlignment="1">
      <alignment horizontal="center" vertical="center"/>
    </xf>
    <xf numFmtId="190" fontId="50" fillId="6" borderId="70" xfId="14" applyNumberFormat="1" applyFont="1" applyFill="1" applyBorder="1" applyAlignment="1">
      <alignment horizontal="center" vertical="center" wrapText="1"/>
    </xf>
    <xf numFmtId="2" fontId="50" fillId="6" borderId="70" xfId="4" applyNumberFormat="1" applyFont="1" applyFill="1" applyBorder="1" applyAlignment="1">
      <alignment horizontal="center" vertical="center"/>
    </xf>
    <xf numFmtId="165" fontId="50" fillId="6" borderId="70" xfId="14" applyNumberFormat="1" applyFont="1" applyFill="1" applyBorder="1" applyAlignment="1">
      <alignment horizontal="center" vertical="center" wrapText="1"/>
    </xf>
    <xf numFmtId="164" fontId="50" fillId="2" borderId="70" xfId="39" applyNumberFormat="1" applyFont="1" applyFill="1" applyBorder="1" applyAlignment="1" applyProtection="1">
      <alignment horizontal="right" vertical="center" wrapText="1"/>
    </xf>
    <xf numFmtId="165" fontId="146" fillId="2" borderId="70" xfId="28" applyNumberFormat="1" applyFont="1" applyFill="1" applyBorder="1" applyAlignment="1">
      <alignment horizontal="center" vertical="center" wrapText="1"/>
    </xf>
    <xf numFmtId="0" fontId="147" fillId="6" borderId="70" xfId="4" applyNumberFormat="1" applyFont="1" applyFill="1" applyBorder="1" applyAlignment="1">
      <alignment horizontal="center" vertical="center"/>
    </xf>
    <xf numFmtId="0" fontId="53" fillId="0" borderId="0" xfId="0" applyFont="1" applyAlignment="1">
      <alignment horizontal="center" vertical="center"/>
    </xf>
    <xf numFmtId="191" fontId="53" fillId="6" borderId="70" xfId="43" applyNumberFormat="1" applyFont="1" applyFill="1" applyBorder="1" applyAlignment="1">
      <alignment horizontal="center" vertical="center" wrapText="1"/>
    </xf>
    <xf numFmtId="186" fontId="50" fillId="2" borderId="70" xfId="39" applyNumberFormat="1" applyFont="1" applyFill="1" applyBorder="1" applyAlignment="1" applyProtection="1">
      <alignment horizontal="right" vertical="center" wrapText="1"/>
    </xf>
    <xf numFmtId="164" fontId="122" fillId="2" borderId="70" xfId="39" applyNumberFormat="1" applyFont="1" applyFill="1" applyBorder="1" applyAlignment="1">
      <alignment horizontal="center" vertical="center"/>
    </xf>
    <xf numFmtId="186" fontId="122" fillId="2" borderId="70" xfId="39" applyNumberFormat="1" applyFont="1" applyFill="1" applyBorder="1" applyAlignment="1">
      <alignment horizontal="center" vertical="center"/>
    </xf>
    <xf numFmtId="184" fontId="122" fillId="2" borderId="70" xfId="39" applyNumberFormat="1" applyFont="1" applyFill="1" applyBorder="1" applyAlignment="1">
      <alignment horizontal="center" vertical="center"/>
    </xf>
    <xf numFmtId="186" fontId="50" fillId="2" borderId="70" xfId="39" applyNumberFormat="1" applyFont="1" applyFill="1" applyBorder="1" applyAlignment="1">
      <alignment horizontal="right" vertical="center" wrapText="1"/>
    </xf>
    <xf numFmtId="186" fontId="50" fillId="2" borderId="70" xfId="39" applyNumberFormat="1" applyFont="1" applyFill="1" applyBorder="1" applyAlignment="1">
      <alignment horizontal="center" vertical="center" wrapText="1"/>
    </xf>
    <xf numFmtId="164" fontId="50" fillId="2" borderId="70" xfId="39" applyNumberFormat="1" applyFont="1" applyFill="1" applyBorder="1" applyAlignment="1">
      <alignment horizontal="center" vertical="center" wrapText="1"/>
    </xf>
    <xf numFmtId="186" fontId="50" fillId="2" borderId="70" xfId="39" applyNumberFormat="1" applyFont="1" applyFill="1" applyBorder="1" applyAlignment="1">
      <alignment horizontal="center" vertical="center"/>
    </xf>
    <xf numFmtId="169" fontId="50" fillId="2" borderId="70" xfId="39" applyNumberFormat="1" applyFont="1" applyFill="1" applyBorder="1" applyAlignment="1">
      <alignment horizontal="center" vertical="center" wrapText="1"/>
    </xf>
    <xf numFmtId="164" fontId="50" fillId="6" borderId="70" xfId="0" applyNumberFormat="1" applyFont="1" applyFill="1" applyBorder="1" applyAlignment="1" applyProtection="1">
      <alignment horizontal="center" vertical="center" wrapText="1"/>
    </xf>
    <xf numFmtId="169" fontId="50" fillId="6" borderId="70" xfId="0" applyNumberFormat="1" applyFont="1" applyFill="1" applyBorder="1" applyAlignment="1" applyProtection="1">
      <alignment horizontal="right" vertical="center" wrapText="1"/>
    </xf>
    <xf numFmtId="2" fontId="50" fillId="2" borderId="70" xfId="0" applyNumberFormat="1" applyFont="1" applyFill="1" applyBorder="1" applyAlignment="1" applyProtection="1">
      <alignment horizontal="center" vertical="center" wrapText="1"/>
    </xf>
    <xf numFmtId="186" fontId="50" fillId="2" borderId="70" xfId="39" applyNumberFormat="1" applyFont="1" applyFill="1" applyBorder="1" applyAlignment="1" applyProtection="1">
      <alignment horizontal="center" vertical="center" wrapText="1"/>
    </xf>
    <xf numFmtId="0" fontId="50" fillId="2" borderId="70" xfId="0" applyFont="1" applyFill="1" applyBorder="1" applyAlignment="1" applyProtection="1">
      <alignment horizontal="right" vertical="center" wrapText="1"/>
    </xf>
    <xf numFmtId="170" fontId="35" fillId="6" borderId="70" xfId="0" applyNumberFormat="1" applyFont="1" applyFill="1" applyBorder="1" applyAlignment="1" applyProtection="1">
      <alignment horizontal="right" vertical="center" wrapText="1"/>
      <protection locked="0"/>
    </xf>
    <xf numFmtId="170" fontId="48" fillId="4" borderId="70" xfId="0" applyNumberFormat="1" applyFont="1" applyFill="1" applyBorder="1" applyAlignment="1" applyProtection="1">
      <alignment horizontal="right" vertical="center" wrapText="1"/>
      <protection locked="0"/>
    </xf>
    <xf numFmtId="0" fontId="50" fillId="4" borderId="70" xfId="0" applyFont="1" applyFill="1" applyBorder="1" applyAlignment="1" applyProtection="1">
      <alignment horizontal="right" vertical="center" wrapText="1"/>
      <protection locked="0"/>
    </xf>
    <xf numFmtId="186" fontId="50" fillId="6" borderId="70" xfId="39" applyNumberFormat="1" applyFont="1" applyFill="1" applyBorder="1" applyAlignment="1" applyProtection="1">
      <alignment horizontal="right" vertical="center" wrapText="1"/>
    </xf>
    <xf numFmtId="184" fontId="47" fillId="2" borderId="0" xfId="39" applyNumberFormat="1" applyFont="1" applyFill="1" applyAlignment="1" applyProtection="1">
      <alignment vertical="center" wrapText="1"/>
    </xf>
    <xf numFmtId="164" fontId="50" fillId="6" borderId="70" xfId="39" applyFont="1" applyFill="1" applyBorder="1" applyAlignment="1">
      <alignment horizontal="right" vertical="center" wrapText="1"/>
    </xf>
    <xf numFmtId="176" fontId="56" fillId="6" borderId="70" xfId="0" applyNumberFormat="1" applyFont="1" applyFill="1" applyBorder="1" applyAlignment="1">
      <alignment horizontal="right" vertical="center" wrapText="1"/>
    </xf>
    <xf numFmtId="176" fontId="53" fillId="6" borderId="70" xfId="0" applyNumberFormat="1" applyFont="1" applyFill="1" applyBorder="1" applyAlignment="1">
      <alignment horizontal="right" vertical="center" wrapText="1"/>
    </xf>
    <xf numFmtId="171" fontId="53" fillId="2" borderId="70" xfId="39" applyNumberFormat="1" applyFont="1" applyFill="1" applyBorder="1" applyAlignment="1" applyProtection="1">
      <alignment horizontal="right" vertical="center" wrapText="1"/>
      <protection locked="0"/>
    </xf>
    <xf numFmtId="170" fontId="76" fillId="6" borderId="0" xfId="0" applyNumberFormat="1" applyFont="1" applyFill="1" applyAlignment="1" applyProtection="1">
      <alignment horizontal="center" vertical="center" wrapText="1"/>
    </xf>
    <xf numFmtId="166" fontId="76" fillId="6" borderId="0" xfId="0" applyNumberFormat="1" applyFont="1" applyFill="1" applyAlignment="1" applyProtection="1">
      <alignment horizontal="center" vertical="center" wrapText="1"/>
    </xf>
    <xf numFmtId="167" fontId="57" fillId="6" borderId="70" xfId="0" applyNumberFormat="1" applyFont="1" applyFill="1" applyBorder="1" applyAlignment="1" applyProtection="1">
      <alignment horizontal="center" vertical="center" wrapText="1"/>
      <protection locked="0"/>
    </xf>
    <xf numFmtId="166" fontId="57" fillId="6" borderId="70" xfId="0" applyNumberFormat="1" applyFont="1" applyFill="1" applyBorder="1" applyAlignment="1" applyProtection="1">
      <alignment horizontal="center" vertical="center" wrapText="1"/>
      <protection locked="0"/>
    </xf>
    <xf numFmtId="170" fontId="53" fillId="6" borderId="33" xfId="0" applyNumberFormat="1" applyFont="1" applyFill="1" applyBorder="1" applyAlignment="1" applyProtection="1">
      <alignment horizontal="right" vertical="center" wrapText="1"/>
      <protection locked="0"/>
    </xf>
    <xf numFmtId="43" fontId="53" fillId="6" borderId="70" xfId="27" applyFont="1" applyFill="1" applyBorder="1" applyAlignment="1" applyProtection="1">
      <alignment horizontal="right" vertical="center" wrapText="1"/>
      <protection locked="0"/>
    </xf>
    <xf numFmtId="43" fontId="56" fillId="6" borderId="70" xfId="27" applyFont="1" applyFill="1" applyBorder="1" applyAlignment="1" applyProtection="1">
      <alignment horizontal="right" vertical="center" wrapText="1"/>
      <protection locked="0"/>
    </xf>
    <xf numFmtId="43" fontId="53" fillId="6" borderId="70" xfId="0" applyNumberFormat="1" applyFont="1" applyFill="1" applyBorder="1" applyAlignment="1">
      <alignment horizontal="right" vertical="center" wrapText="1"/>
    </xf>
    <xf numFmtId="166" fontId="53" fillId="6" borderId="70" xfId="1" applyNumberFormat="1" applyFont="1" applyFill="1" applyBorder="1" applyAlignment="1" applyProtection="1">
      <alignment horizontal="right" vertical="center" wrapText="1"/>
      <protection locked="0"/>
    </xf>
    <xf numFmtId="166" fontId="53" fillId="6" borderId="70" xfId="27" applyNumberFormat="1" applyFont="1" applyFill="1" applyBorder="1" applyAlignment="1" applyProtection="1">
      <alignment horizontal="right" vertical="center" wrapText="1"/>
      <protection locked="0"/>
    </xf>
    <xf numFmtId="175" fontId="57" fillId="6" borderId="70" xfId="1" applyNumberFormat="1" applyFont="1" applyFill="1" applyBorder="1" applyAlignment="1" applyProtection="1">
      <alignment horizontal="right" vertical="center" wrapText="1"/>
      <protection locked="0"/>
    </xf>
    <xf numFmtId="175" fontId="59" fillId="6" borderId="70" xfId="1" applyNumberFormat="1" applyFont="1" applyFill="1" applyBorder="1" applyAlignment="1" applyProtection="1">
      <alignment horizontal="right" vertical="center" wrapText="1"/>
      <protection locked="0"/>
    </xf>
    <xf numFmtId="174" fontId="57" fillId="6" borderId="70" xfId="1" applyNumberFormat="1" applyFont="1" applyFill="1" applyBorder="1" applyAlignment="1" applyProtection="1">
      <alignment horizontal="right" vertical="center" wrapText="1"/>
      <protection locked="0"/>
    </xf>
    <xf numFmtId="175" fontId="56" fillId="6" borderId="70" xfId="0" applyNumberFormat="1" applyFont="1" applyFill="1" applyBorder="1" applyAlignment="1">
      <alignment horizontal="right" vertical="center" wrapText="1"/>
    </xf>
    <xf numFmtId="176" fontId="53" fillId="6" borderId="0" xfId="1" applyNumberFormat="1" applyFont="1" applyFill="1" applyBorder="1" applyAlignment="1" applyProtection="1">
      <alignment horizontal="center" vertical="center" wrapText="1"/>
      <protection locked="0"/>
    </xf>
    <xf numFmtId="43" fontId="59" fillId="6" borderId="0" xfId="1" applyNumberFormat="1" applyFont="1" applyFill="1" applyBorder="1" applyAlignment="1" applyProtection="1">
      <alignment horizontal="center" vertical="center" wrapText="1"/>
      <protection locked="0"/>
    </xf>
    <xf numFmtId="175" fontId="59" fillId="6" borderId="0" xfId="1" applyNumberFormat="1" applyFont="1" applyFill="1" applyBorder="1" applyAlignment="1" applyProtection="1">
      <alignment horizontal="center" vertical="center" wrapText="1"/>
      <protection locked="0"/>
    </xf>
    <xf numFmtId="175" fontId="56" fillId="6" borderId="0" xfId="1" applyNumberFormat="1" applyFont="1" applyFill="1" applyBorder="1" applyAlignment="1" applyProtection="1">
      <alignment horizontal="center" vertical="center" wrapText="1"/>
      <protection locked="0"/>
    </xf>
    <xf numFmtId="175" fontId="57" fillId="6" borderId="0" xfId="1" applyNumberFormat="1" applyFont="1" applyFill="1" applyBorder="1" applyAlignment="1" applyProtection="1">
      <alignment horizontal="center" vertical="center" wrapText="1"/>
      <protection locked="0"/>
    </xf>
    <xf numFmtId="175" fontId="57" fillId="7" borderId="0" xfId="1" applyNumberFormat="1" applyFont="1" applyFill="1" applyBorder="1" applyAlignment="1" applyProtection="1">
      <alignment horizontal="right" vertical="center" wrapText="1"/>
      <protection locked="0"/>
    </xf>
    <xf numFmtId="166" fontId="57" fillId="6" borderId="0" xfId="0" applyNumberFormat="1" applyFont="1" applyFill="1" applyBorder="1" applyAlignment="1" applyProtection="1">
      <alignment vertical="center" wrapText="1"/>
    </xf>
    <xf numFmtId="170" fontId="57" fillId="6" borderId="0" xfId="0" applyNumberFormat="1" applyFont="1" applyFill="1" applyBorder="1" applyAlignment="1" applyProtection="1">
      <alignment horizontal="right" vertical="center" wrapText="1"/>
      <protection locked="0"/>
    </xf>
    <xf numFmtId="166" fontId="53" fillId="6" borderId="0" xfId="0" applyNumberFormat="1" applyFont="1" applyFill="1" applyBorder="1" applyAlignment="1" applyProtection="1">
      <alignment horizontal="right" vertical="center" wrapText="1"/>
      <protection locked="0"/>
    </xf>
    <xf numFmtId="43" fontId="53" fillId="6" borderId="0" xfId="15" applyNumberFormat="1" applyFont="1" applyFill="1" applyBorder="1" applyAlignment="1" applyProtection="1">
      <alignment horizontal="center" vertical="center" wrapText="1"/>
      <protection locked="0"/>
    </xf>
    <xf numFmtId="166" fontId="53" fillId="6" borderId="0" xfId="0" applyNumberFormat="1" applyFont="1" applyFill="1" applyBorder="1" applyAlignment="1" applyProtection="1">
      <alignment vertical="center" wrapText="1"/>
      <protection locked="0"/>
    </xf>
    <xf numFmtId="175" fontId="56" fillId="6" borderId="0" xfId="1" applyNumberFormat="1" applyFont="1" applyFill="1" applyBorder="1" applyAlignment="1" applyProtection="1">
      <alignment horizontal="right" vertical="center" wrapText="1"/>
      <protection locked="0"/>
    </xf>
    <xf numFmtId="176" fontId="53" fillId="6" borderId="0" xfId="15" applyNumberFormat="1" applyFont="1" applyFill="1" applyBorder="1" applyAlignment="1" applyProtection="1">
      <alignment horizontal="center" vertical="center" wrapText="1"/>
      <protection locked="0"/>
    </xf>
    <xf numFmtId="170" fontId="59" fillId="6" borderId="0" xfId="0" applyNumberFormat="1" applyFont="1" applyFill="1" applyBorder="1" applyAlignment="1" applyProtection="1">
      <alignment vertical="center" wrapText="1"/>
      <protection locked="0"/>
    </xf>
    <xf numFmtId="171" fontId="50" fillId="6" borderId="0" xfId="0" applyNumberFormat="1" applyFont="1" applyFill="1" applyBorder="1" applyAlignment="1">
      <alignment horizontal="right" vertical="center" wrapText="1"/>
    </xf>
    <xf numFmtId="171" fontId="50" fillId="6" borderId="0" xfId="27" applyNumberFormat="1" applyFont="1" applyFill="1" applyBorder="1" applyAlignment="1">
      <alignment vertical="center" wrapText="1"/>
    </xf>
    <xf numFmtId="176" fontId="57" fillId="6" borderId="0" xfId="1" applyNumberFormat="1" applyFont="1" applyFill="1" applyBorder="1" applyAlignment="1" applyProtection="1">
      <alignment horizontal="center" vertical="center" wrapText="1"/>
      <protection locked="0"/>
    </xf>
    <xf numFmtId="166" fontId="50" fillId="6" borderId="0" xfId="0" applyNumberFormat="1" applyFont="1" applyFill="1" applyBorder="1" applyAlignment="1" applyProtection="1">
      <alignment horizontal="center" vertical="center" wrapText="1"/>
    </xf>
    <xf numFmtId="166" fontId="64" fillId="6" borderId="0" xfId="0" applyNumberFormat="1" applyFont="1" applyFill="1" applyAlignment="1" applyProtection="1">
      <alignment horizontal="center" vertical="center" wrapText="1"/>
    </xf>
    <xf numFmtId="175" fontId="50" fillId="6" borderId="0" xfId="1" applyNumberFormat="1" applyFont="1" applyFill="1" applyAlignment="1" applyProtection="1">
      <alignment horizontal="center" vertical="center" wrapText="1"/>
      <protection locked="0"/>
    </xf>
    <xf numFmtId="186" fontId="54" fillId="0" borderId="0" xfId="39" applyNumberFormat="1" applyFont="1" applyFill="1" applyAlignment="1" applyProtection="1">
      <alignment vertical="center" wrapText="1"/>
      <protection locked="0"/>
    </xf>
    <xf numFmtId="43" fontId="50" fillId="6" borderId="70" xfId="27" applyNumberFormat="1" applyFont="1" applyFill="1" applyBorder="1" applyAlignment="1" applyProtection="1">
      <alignment horizontal="right" vertical="center" wrapText="1"/>
      <protection locked="0"/>
    </xf>
    <xf numFmtId="43" fontId="54" fillId="2" borderId="0" xfId="0" applyNumberFormat="1" applyFont="1" applyFill="1" applyAlignment="1" applyProtection="1">
      <alignment horizontal="right" vertical="center" wrapText="1"/>
    </xf>
    <xf numFmtId="167" fontId="48" fillId="2" borderId="70" xfId="0" applyNumberFormat="1" applyFont="1" applyFill="1" applyBorder="1" applyAlignment="1" applyProtection="1">
      <alignment horizontal="center" vertical="center" wrapText="1"/>
      <protection locked="0"/>
    </xf>
    <xf numFmtId="3" fontId="48" fillId="2" borderId="70" xfId="0" applyNumberFormat="1" applyFont="1" applyFill="1" applyBorder="1" applyAlignment="1" applyProtection="1">
      <alignment horizontal="center" vertical="center" wrapText="1"/>
      <protection locked="0"/>
    </xf>
    <xf numFmtId="0" fontId="50" fillId="2" borderId="70" xfId="0" applyFont="1" applyFill="1" applyBorder="1" applyAlignment="1" applyProtection="1">
      <alignment horizontal="center" vertical="center" wrapText="1"/>
      <protection locked="0"/>
    </xf>
    <xf numFmtId="166" fontId="48" fillId="2" borderId="70" xfId="0" applyNumberFormat="1" applyFont="1" applyFill="1" applyBorder="1" applyAlignment="1" applyProtection="1">
      <alignment horizontal="center" vertical="center" wrapText="1"/>
      <protection locked="0"/>
    </xf>
    <xf numFmtId="0" fontId="48" fillId="2" borderId="70" xfId="0" applyFont="1" applyFill="1" applyBorder="1" applyAlignment="1" applyProtection="1">
      <alignment horizontal="center" vertical="center" wrapText="1"/>
      <protection locked="0"/>
    </xf>
    <xf numFmtId="167" fontId="50" fillId="2" borderId="70" xfId="0" applyNumberFormat="1" applyFont="1" applyFill="1" applyBorder="1" applyAlignment="1" applyProtection="1">
      <alignment horizontal="center" vertical="center" wrapText="1"/>
      <protection locked="0"/>
    </xf>
    <xf numFmtId="3" fontId="48" fillId="0" borderId="70" xfId="0" applyNumberFormat="1" applyFont="1" applyFill="1" applyBorder="1" applyAlignment="1" applyProtection="1">
      <alignment horizontal="center" vertical="center" wrapText="1"/>
      <protection locked="0"/>
    </xf>
    <xf numFmtId="3" fontId="25" fillId="2" borderId="70" xfId="0" applyNumberFormat="1" applyFont="1" applyFill="1" applyBorder="1" applyAlignment="1" applyProtection="1">
      <alignment horizontal="center" vertical="center" wrapText="1"/>
      <protection locked="0"/>
    </xf>
    <xf numFmtId="0" fontId="54" fillId="2" borderId="0" xfId="0" applyFont="1" applyFill="1" applyAlignment="1" applyProtection="1">
      <alignment horizontal="center" vertical="center" wrapText="1"/>
    </xf>
    <xf numFmtId="3" fontId="57" fillId="6" borderId="70" xfId="0" applyNumberFormat="1" applyFont="1" applyFill="1" applyBorder="1" applyAlignment="1" applyProtection="1">
      <alignment horizontal="center" vertical="center" wrapText="1"/>
      <protection locked="0"/>
    </xf>
    <xf numFmtId="3" fontId="57" fillId="2" borderId="70" xfId="0" applyNumberFormat="1" applyFont="1" applyFill="1" applyBorder="1" applyAlignment="1" applyProtection="1">
      <alignment horizontal="center" vertical="center" wrapText="1"/>
      <protection locked="0"/>
    </xf>
    <xf numFmtId="0" fontId="57" fillId="2" borderId="70" xfId="0" applyFont="1" applyFill="1" applyBorder="1" applyAlignment="1" applyProtection="1">
      <alignment horizontal="center" vertical="center" wrapText="1"/>
      <protection locked="0"/>
    </xf>
    <xf numFmtId="166" fontId="57" fillId="2" borderId="70" xfId="0" applyNumberFormat="1" applyFont="1" applyFill="1" applyBorder="1" applyAlignment="1" applyProtection="1">
      <alignment horizontal="center" vertical="center" wrapText="1"/>
      <protection locked="0"/>
    </xf>
    <xf numFmtId="0" fontId="48" fillId="0" borderId="70" xfId="0" applyFont="1" applyFill="1" applyBorder="1" applyAlignment="1" applyProtection="1">
      <alignment horizontal="center" vertical="center" wrapText="1"/>
      <protection locked="0"/>
    </xf>
    <xf numFmtId="167" fontId="57" fillId="2" borderId="70" xfId="0" applyNumberFormat="1" applyFont="1" applyFill="1" applyBorder="1" applyAlignment="1" applyProtection="1">
      <alignment horizontal="center" vertical="center" wrapText="1"/>
      <protection locked="0"/>
    </xf>
    <xf numFmtId="1" fontId="57" fillId="2" borderId="70" xfId="0" applyNumberFormat="1" applyFont="1" applyFill="1" applyBorder="1" applyAlignment="1" applyProtection="1">
      <alignment horizontal="center" vertical="center" wrapText="1"/>
      <protection locked="0"/>
    </xf>
    <xf numFmtId="167" fontId="57" fillId="2" borderId="70" xfId="0" applyNumberFormat="1" applyFont="1" applyFill="1" applyBorder="1" applyAlignment="1" applyProtection="1">
      <alignment vertical="center" wrapText="1"/>
      <protection locked="0"/>
    </xf>
    <xf numFmtId="167" fontId="53" fillId="2" borderId="70" xfId="0" applyNumberFormat="1" applyFont="1" applyFill="1" applyBorder="1" applyAlignment="1" applyProtection="1">
      <alignment vertical="center" wrapText="1"/>
      <protection locked="0"/>
    </xf>
    <xf numFmtId="0" fontId="53" fillId="2" borderId="70" xfId="0" applyFont="1" applyFill="1" applyBorder="1" applyAlignment="1" applyProtection="1">
      <alignment vertical="center" wrapText="1"/>
      <protection locked="0"/>
    </xf>
    <xf numFmtId="3" fontId="53" fillId="2" borderId="70" xfId="0" applyNumberFormat="1" applyFont="1" applyFill="1" applyBorder="1" applyAlignment="1" applyProtection="1">
      <alignment vertical="center" wrapText="1"/>
      <protection locked="0"/>
    </xf>
    <xf numFmtId="0" fontId="57" fillId="2" borderId="70" xfId="0" applyFont="1" applyFill="1" applyBorder="1" applyAlignment="1" applyProtection="1">
      <alignment vertical="center" wrapText="1"/>
      <protection locked="0"/>
    </xf>
    <xf numFmtId="166" fontId="57" fillId="2" borderId="70" xfId="0" applyNumberFormat="1" applyFont="1" applyFill="1" applyBorder="1" applyAlignment="1" applyProtection="1">
      <alignment horizontal="right" vertical="center" wrapText="1"/>
      <protection locked="0"/>
    </xf>
    <xf numFmtId="164" fontId="57" fillId="2" borderId="70" xfId="39" applyFont="1" applyFill="1" applyBorder="1" applyAlignment="1" applyProtection="1">
      <alignment horizontal="right" vertical="center" wrapText="1"/>
      <protection locked="0"/>
    </xf>
    <xf numFmtId="176" fontId="57" fillId="2" borderId="70" xfId="1" applyNumberFormat="1" applyFont="1" applyFill="1" applyBorder="1" applyAlignment="1" applyProtection="1">
      <alignment horizontal="center" vertical="center" wrapText="1"/>
      <protection locked="0"/>
    </xf>
    <xf numFmtId="176" fontId="57" fillId="2" borderId="70" xfId="1" applyNumberFormat="1" applyFont="1" applyFill="1" applyBorder="1" applyAlignment="1" applyProtection="1">
      <alignment horizontal="justify" vertical="center" wrapText="1"/>
      <protection locked="0"/>
    </xf>
    <xf numFmtId="176" fontId="57" fillId="2" borderId="70" xfId="1" applyNumberFormat="1" applyFont="1" applyFill="1" applyBorder="1" applyAlignment="1" applyProtection="1">
      <alignment horizontal="left" vertical="center" wrapText="1"/>
      <protection locked="0"/>
    </xf>
    <xf numFmtId="176" fontId="53" fillId="2" borderId="70" xfId="1" applyNumberFormat="1" applyFont="1" applyFill="1" applyBorder="1" applyAlignment="1" applyProtection="1">
      <alignment horizontal="center" vertical="center" wrapText="1"/>
      <protection locked="0"/>
    </xf>
    <xf numFmtId="176" fontId="53" fillId="2" borderId="70" xfId="1" applyNumberFormat="1" applyFont="1" applyFill="1" applyBorder="1" applyAlignment="1" applyProtection="1">
      <alignment horizontal="justify" vertical="center" wrapText="1"/>
      <protection locked="0"/>
    </xf>
    <xf numFmtId="176" fontId="57" fillId="2" borderId="70" xfId="1" applyNumberFormat="1" applyFont="1" applyFill="1" applyBorder="1" applyAlignment="1" applyProtection="1">
      <alignment vertical="center" wrapText="1"/>
      <protection locked="0"/>
    </xf>
    <xf numFmtId="176" fontId="53" fillId="2" borderId="70" xfId="1" applyNumberFormat="1" applyFont="1" applyFill="1" applyBorder="1" applyAlignment="1" applyProtection="1">
      <alignment vertical="center" wrapText="1"/>
      <protection locked="0"/>
    </xf>
    <xf numFmtId="171" fontId="57" fillId="2" borderId="70" xfId="0" applyNumberFormat="1" applyFont="1" applyFill="1" applyBorder="1" applyAlignment="1" applyProtection="1">
      <alignment horizontal="justify" vertical="center" wrapText="1"/>
      <protection locked="0"/>
    </xf>
    <xf numFmtId="171" fontId="57" fillId="2" borderId="70" xfId="0" applyNumberFormat="1" applyFont="1" applyFill="1" applyBorder="1" applyAlignment="1" applyProtection="1">
      <alignment horizontal="center" vertical="center" wrapText="1"/>
      <protection locked="0"/>
    </xf>
    <xf numFmtId="171" fontId="57" fillId="2" borderId="70" xfId="0" applyNumberFormat="1" applyFont="1" applyFill="1" applyBorder="1" applyAlignment="1" applyProtection="1">
      <alignment vertical="center" wrapText="1"/>
      <protection locked="0"/>
    </xf>
    <xf numFmtId="170" fontId="59" fillId="2" borderId="70" xfId="0" applyNumberFormat="1" applyFont="1" applyFill="1" applyBorder="1" applyAlignment="1" applyProtection="1">
      <alignment horizontal="center" vertical="center" wrapText="1"/>
      <protection locked="0"/>
    </xf>
    <xf numFmtId="171" fontId="59" fillId="2" borderId="70" xfId="0" applyNumberFormat="1" applyFont="1" applyFill="1" applyBorder="1" applyAlignment="1" applyProtection="1">
      <alignment horizontal="justify" vertical="center" wrapText="1"/>
      <protection locked="0"/>
    </xf>
    <xf numFmtId="171" fontId="59" fillId="2" borderId="70" xfId="0" applyNumberFormat="1" applyFont="1" applyFill="1" applyBorder="1" applyAlignment="1" applyProtection="1">
      <alignment horizontal="center" vertical="center" wrapText="1"/>
      <protection locked="0"/>
    </xf>
    <xf numFmtId="170" fontId="59" fillId="2" borderId="70" xfId="0" applyNumberFormat="1" applyFont="1" applyFill="1" applyBorder="1" applyAlignment="1" applyProtection="1">
      <alignment horizontal="right" vertical="center" wrapText="1"/>
      <protection locked="0"/>
    </xf>
    <xf numFmtId="171" fontId="59" fillId="2" borderId="70" xfId="0" applyNumberFormat="1" applyFont="1" applyFill="1" applyBorder="1" applyAlignment="1" applyProtection="1">
      <alignment horizontal="right" vertical="center" wrapText="1"/>
      <protection locked="0"/>
    </xf>
    <xf numFmtId="171" fontId="59" fillId="6" borderId="70" xfId="0" applyNumberFormat="1" applyFont="1" applyFill="1" applyBorder="1" applyAlignment="1" applyProtection="1">
      <alignment horizontal="right" vertical="center" wrapText="1"/>
      <protection locked="0"/>
    </xf>
    <xf numFmtId="171" fontId="59" fillId="2" borderId="70" xfId="0" applyNumberFormat="1" applyFont="1" applyFill="1" applyBorder="1" applyAlignment="1" applyProtection="1">
      <alignment vertical="center" wrapText="1"/>
      <protection locked="0"/>
    </xf>
    <xf numFmtId="167" fontId="53" fillId="2" borderId="70" xfId="0" applyNumberFormat="1" applyFont="1" applyFill="1" applyBorder="1" applyAlignment="1" applyProtection="1">
      <alignment horizontal="center" vertical="center" wrapText="1"/>
      <protection locked="0"/>
    </xf>
    <xf numFmtId="170" fontId="59" fillId="6" borderId="70" xfId="0" applyNumberFormat="1" applyFont="1" applyFill="1" applyBorder="1" applyAlignment="1" applyProtection="1">
      <alignment horizontal="right" vertical="center" wrapText="1"/>
      <protection locked="0"/>
    </xf>
    <xf numFmtId="171" fontId="53" fillId="2" borderId="70" xfId="0" applyNumberFormat="1" applyFont="1" applyFill="1" applyBorder="1" applyAlignment="1" applyProtection="1">
      <alignment vertical="center" wrapText="1"/>
      <protection locked="0"/>
    </xf>
    <xf numFmtId="176" fontId="53" fillId="6" borderId="70" xfId="27" applyNumberFormat="1" applyFont="1" applyFill="1" applyBorder="1" applyAlignment="1">
      <alignment horizontal="right" vertical="center" wrapText="1"/>
    </xf>
    <xf numFmtId="171" fontId="57" fillId="2" borderId="70" xfId="1" applyNumberFormat="1" applyFont="1" applyFill="1" applyBorder="1" applyAlignment="1" applyProtection="1">
      <alignment horizontal="right" vertical="center" wrapText="1"/>
      <protection locked="0"/>
    </xf>
    <xf numFmtId="175" fontId="57" fillId="6" borderId="70" xfId="27" applyNumberFormat="1" applyFont="1" applyFill="1" applyBorder="1" applyAlignment="1" applyProtection="1">
      <alignment horizontal="right" vertical="center" wrapText="1"/>
      <protection locked="0"/>
    </xf>
    <xf numFmtId="167" fontId="59" fillId="2" borderId="70" xfId="0" applyNumberFormat="1" applyFont="1" applyFill="1" applyBorder="1" applyAlignment="1" applyProtection="1">
      <alignment horizontal="center" vertical="center" wrapText="1"/>
      <protection locked="0"/>
    </xf>
    <xf numFmtId="0" fontId="59" fillId="2" borderId="70" xfId="0" applyFont="1" applyFill="1" applyBorder="1" applyAlignment="1" applyProtection="1">
      <alignment horizontal="justify" vertical="center" wrapText="1"/>
      <protection locked="0"/>
    </xf>
    <xf numFmtId="171" fontId="59" fillId="2" borderId="70" xfId="1" applyNumberFormat="1" applyFont="1" applyFill="1" applyBorder="1" applyAlignment="1" applyProtection="1">
      <alignment horizontal="right" vertical="center" wrapText="1"/>
      <protection locked="0"/>
    </xf>
    <xf numFmtId="175" fontId="59" fillId="6" borderId="70" xfId="27" applyNumberFormat="1" applyFont="1" applyFill="1" applyBorder="1" applyAlignment="1" applyProtection="1">
      <alignment horizontal="right" vertical="center" wrapText="1"/>
      <protection locked="0"/>
    </xf>
    <xf numFmtId="176" fontId="59" fillId="2" borderId="70" xfId="1" applyNumberFormat="1" applyFont="1" applyFill="1" applyBorder="1" applyAlignment="1" applyProtection="1">
      <alignment vertical="center" wrapText="1"/>
      <protection locked="0"/>
    </xf>
    <xf numFmtId="171" fontId="53" fillId="6" borderId="70" xfId="5" applyNumberFormat="1" applyFont="1" applyFill="1" applyBorder="1" applyAlignment="1">
      <alignment horizontal="right" vertical="center" wrapText="1"/>
    </xf>
    <xf numFmtId="170" fontId="53" fillId="2" borderId="70" xfId="1" applyNumberFormat="1" applyFont="1" applyFill="1" applyBorder="1" applyAlignment="1" applyProtection="1">
      <alignment horizontal="right" vertical="center" wrapText="1"/>
      <protection locked="0"/>
    </xf>
    <xf numFmtId="167" fontId="57" fillId="2" borderId="70" xfId="0" applyNumberFormat="1" applyFont="1" applyFill="1" applyBorder="1" applyAlignment="1" applyProtection="1">
      <alignment horizontal="left" vertical="center" wrapText="1"/>
      <protection locked="0"/>
    </xf>
    <xf numFmtId="0" fontId="59" fillId="2" borderId="70" xfId="0" applyFont="1" applyFill="1" applyBorder="1" applyAlignment="1" applyProtection="1">
      <alignment vertical="center" wrapText="1"/>
      <protection locked="0"/>
    </xf>
    <xf numFmtId="176" fontId="59" fillId="6" borderId="70" xfId="27" applyNumberFormat="1" applyFont="1" applyFill="1" applyBorder="1" applyAlignment="1" applyProtection="1">
      <alignment horizontal="right" vertical="center" wrapText="1"/>
      <protection locked="0"/>
    </xf>
    <xf numFmtId="167" fontId="59" fillId="2" borderId="70" xfId="0" applyNumberFormat="1" applyFont="1" applyFill="1" applyBorder="1" applyAlignment="1" applyProtection="1">
      <alignment horizontal="left" vertical="center" wrapText="1"/>
      <protection locked="0"/>
    </xf>
    <xf numFmtId="167" fontId="59" fillId="2" borderId="70" xfId="0" applyNumberFormat="1" applyFont="1" applyFill="1" applyBorder="1" applyAlignment="1" applyProtection="1">
      <alignment vertical="center" wrapText="1"/>
      <protection locked="0"/>
    </xf>
    <xf numFmtId="164" fontId="53" fillId="6" borderId="70" xfId="39" applyNumberFormat="1" applyFont="1" applyFill="1" applyBorder="1" applyAlignment="1" applyProtection="1">
      <alignment horizontal="right" vertical="center" wrapText="1"/>
      <protection locked="0"/>
    </xf>
    <xf numFmtId="0" fontId="59" fillId="6" borderId="70" xfId="0" applyFont="1" applyFill="1" applyBorder="1" applyAlignment="1" applyProtection="1">
      <alignment horizontal="justify" vertical="center" wrapText="1"/>
      <protection locked="0"/>
    </xf>
    <xf numFmtId="169" fontId="53" fillId="6" borderId="70" xfId="23" applyNumberFormat="1" applyFont="1" applyFill="1" applyBorder="1" applyAlignment="1">
      <alignment horizontal="right" vertical="center" wrapText="1"/>
    </xf>
    <xf numFmtId="175" fontId="53" fillId="6" borderId="70" xfId="27" applyNumberFormat="1" applyFont="1" applyFill="1" applyBorder="1" applyAlignment="1">
      <alignment horizontal="right" vertical="center" wrapText="1"/>
    </xf>
    <xf numFmtId="176" fontId="59" fillId="2" borderId="70" xfId="1" applyNumberFormat="1" applyFont="1" applyFill="1" applyBorder="1" applyAlignment="1" applyProtection="1">
      <alignment horizontal="center" vertical="center" wrapText="1"/>
      <protection locked="0"/>
    </xf>
    <xf numFmtId="171" fontId="57" fillId="6" borderId="70" xfId="1" applyNumberFormat="1" applyFont="1" applyFill="1" applyBorder="1" applyAlignment="1">
      <alignment horizontal="right" vertical="center" wrapText="1"/>
    </xf>
    <xf numFmtId="170" fontId="57" fillId="6" borderId="70" xfId="1" applyNumberFormat="1" applyFont="1" applyFill="1" applyBorder="1" applyAlignment="1">
      <alignment horizontal="right" vertical="center" wrapText="1"/>
    </xf>
    <xf numFmtId="171" fontId="57" fillId="6" borderId="70" xfId="27" applyNumberFormat="1" applyFont="1" applyFill="1" applyBorder="1" applyAlignment="1">
      <alignment horizontal="right" vertical="center" wrapText="1"/>
    </xf>
    <xf numFmtId="170" fontId="57" fillId="6" borderId="70" xfId="27" applyNumberFormat="1" applyFont="1" applyFill="1" applyBorder="1" applyAlignment="1">
      <alignment horizontal="right" vertical="center" wrapText="1"/>
    </xf>
    <xf numFmtId="170" fontId="53" fillId="6" borderId="70" xfId="5" applyNumberFormat="1" applyFont="1" applyFill="1" applyBorder="1" applyAlignment="1">
      <alignment horizontal="right" vertical="center" wrapText="1"/>
    </xf>
    <xf numFmtId="171" fontId="53" fillId="6" borderId="70" xfId="27" applyNumberFormat="1" applyFont="1" applyFill="1" applyBorder="1" applyAlignment="1">
      <alignment horizontal="right" vertical="center" wrapText="1"/>
    </xf>
    <xf numFmtId="170" fontId="53" fillId="6" borderId="70" xfId="27" applyNumberFormat="1" applyFont="1" applyFill="1" applyBorder="1" applyAlignment="1">
      <alignment horizontal="right" vertical="center" wrapText="1"/>
    </xf>
    <xf numFmtId="43" fontId="56" fillId="2" borderId="70" xfId="1" applyFont="1" applyFill="1" applyBorder="1" applyAlignment="1" applyProtection="1">
      <alignment horizontal="left" vertical="center" wrapText="1"/>
      <protection locked="0"/>
    </xf>
    <xf numFmtId="167" fontId="56" fillId="2" borderId="70" xfId="0" applyNumberFormat="1" applyFont="1" applyFill="1" applyBorder="1" applyAlignment="1" applyProtection="1">
      <alignment horizontal="center" vertical="center" wrapText="1"/>
      <protection locked="0"/>
    </xf>
    <xf numFmtId="43" fontId="56" fillId="2" borderId="70" xfId="1" applyNumberFormat="1" applyFont="1" applyFill="1" applyBorder="1" applyAlignment="1" applyProtection="1">
      <alignment horizontal="left" vertical="center" wrapText="1"/>
      <protection locked="0"/>
    </xf>
    <xf numFmtId="176" fontId="56" fillId="2" borderId="70" xfId="1" applyNumberFormat="1" applyFont="1" applyFill="1" applyBorder="1" applyAlignment="1" applyProtection="1">
      <alignment horizontal="center" vertical="center" wrapText="1"/>
      <protection locked="0"/>
    </xf>
    <xf numFmtId="176" fontId="53" fillId="2" borderId="70" xfId="1" quotePrefix="1" applyNumberFormat="1" applyFont="1" applyFill="1" applyBorder="1" applyAlignment="1" applyProtection="1">
      <alignment horizontal="justify" vertical="center" wrapText="1"/>
      <protection locked="0"/>
    </xf>
    <xf numFmtId="170" fontId="53" fillId="6" borderId="70" xfId="27" applyNumberFormat="1" applyFont="1" applyFill="1" applyBorder="1" applyAlignment="1" applyProtection="1">
      <alignment horizontal="right" vertical="center" wrapText="1"/>
      <protection locked="0"/>
    </xf>
    <xf numFmtId="176" fontId="56" fillId="2" borderId="70" xfId="1" applyNumberFormat="1" applyFont="1" applyFill="1" applyBorder="1" applyAlignment="1" applyProtection="1">
      <alignment horizontal="left" vertical="center" wrapText="1"/>
      <protection locked="0"/>
    </xf>
    <xf numFmtId="174" fontId="57" fillId="2" borderId="70" xfId="0" applyNumberFormat="1" applyFont="1" applyFill="1" applyBorder="1" applyAlignment="1" applyProtection="1">
      <alignment horizontal="center" vertical="center" wrapText="1"/>
      <protection locked="0"/>
    </xf>
    <xf numFmtId="174" fontId="57" fillId="2" borderId="70" xfId="0" applyNumberFormat="1" applyFont="1" applyFill="1" applyBorder="1" applyAlignment="1" applyProtection="1">
      <alignment horizontal="justify" vertical="center" wrapText="1"/>
      <protection locked="0"/>
    </xf>
    <xf numFmtId="174" fontId="57" fillId="6" borderId="70" xfId="5" applyNumberFormat="1" applyFont="1" applyFill="1" applyBorder="1" applyAlignment="1">
      <alignment horizontal="right" vertical="center" wrapText="1"/>
    </xf>
    <xf numFmtId="175" fontId="57" fillId="6" borderId="70" xfId="15" applyNumberFormat="1" applyFont="1" applyFill="1" applyBorder="1" applyAlignment="1" applyProtection="1">
      <alignment horizontal="right" vertical="center" wrapText="1"/>
      <protection locked="0"/>
    </xf>
    <xf numFmtId="174" fontId="57" fillId="2" borderId="70" xfId="0" applyNumberFormat="1" applyFont="1" applyFill="1" applyBorder="1" applyAlignment="1" applyProtection="1">
      <alignment vertical="center" wrapText="1"/>
      <protection locked="0"/>
    </xf>
    <xf numFmtId="174" fontId="53" fillId="2" borderId="70" xfId="0" applyNumberFormat="1" applyFont="1" applyFill="1" applyBorder="1" applyAlignment="1" applyProtection="1">
      <alignment horizontal="center" vertical="center" wrapText="1"/>
      <protection locked="0"/>
    </xf>
    <xf numFmtId="174" fontId="53" fillId="2" borderId="70" xfId="0" applyNumberFormat="1" applyFont="1" applyFill="1" applyBorder="1" applyAlignment="1" applyProtection="1">
      <alignment horizontal="justify" vertical="center" wrapText="1"/>
      <protection locked="0"/>
    </xf>
    <xf numFmtId="174" fontId="53" fillId="6" borderId="70" xfId="5" applyNumberFormat="1" applyFont="1" applyFill="1" applyBorder="1" applyAlignment="1">
      <alignment horizontal="right" vertical="center" wrapText="1"/>
    </xf>
    <xf numFmtId="174" fontId="53" fillId="2" borderId="70" xfId="0" applyNumberFormat="1" applyFont="1" applyFill="1" applyBorder="1" applyAlignment="1" applyProtection="1">
      <alignment vertical="center" wrapText="1"/>
      <protection locked="0"/>
    </xf>
    <xf numFmtId="167" fontId="53" fillId="6" borderId="70" xfId="5" applyNumberFormat="1" applyFont="1" applyFill="1" applyBorder="1" applyAlignment="1">
      <alignment horizontal="right" vertical="center" wrapText="1"/>
    </xf>
    <xf numFmtId="167" fontId="53" fillId="2" borderId="70" xfId="0" applyNumberFormat="1" applyFont="1" applyFill="1" applyBorder="1" applyAlignment="1" applyProtection="1">
      <alignment horizontal="left" vertical="center" wrapText="1"/>
      <protection locked="0"/>
    </xf>
    <xf numFmtId="43" fontId="53" fillId="6" borderId="70" xfId="15" applyNumberFormat="1" applyFont="1" applyFill="1" applyBorder="1" applyAlignment="1" applyProtection="1">
      <alignment horizontal="right" vertical="center" wrapText="1"/>
      <protection locked="0"/>
    </xf>
    <xf numFmtId="175" fontId="148" fillId="6" borderId="70" xfId="27" applyNumberFormat="1" applyFont="1" applyFill="1" applyBorder="1" applyAlignment="1" applyProtection="1">
      <alignment horizontal="right" vertical="center" wrapText="1"/>
      <protection locked="0"/>
    </xf>
    <xf numFmtId="167" fontId="57" fillId="6" borderId="70" xfId="0" applyNumberFormat="1" applyFont="1" applyFill="1" applyBorder="1" applyAlignment="1" applyProtection="1">
      <alignment vertical="center" wrapText="1"/>
    </xf>
    <xf numFmtId="170" fontId="57" fillId="0" borderId="70" xfId="0" applyNumberFormat="1" applyFont="1" applyFill="1" applyBorder="1" applyAlignment="1" applyProtection="1">
      <alignment horizontal="right" vertical="center" wrapText="1"/>
      <protection locked="0"/>
    </xf>
    <xf numFmtId="176" fontId="57" fillId="2" borderId="70" xfId="1" applyNumberFormat="1" applyFont="1" applyFill="1" applyBorder="1" applyAlignment="1" applyProtection="1">
      <alignment horizontal="right" vertical="center" wrapText="1"/>
      <protection locked="0"/>
    </xf>
    <xf numFmtId="175" fontId="57" fillId="6" borderId="70" xfId="27" applyNumberFormat="1" applyFont="1" applyFill="1" applyBorder="1" applyAlignment="1">
      <alignment horizontal="right" vertical="center" wrapText="1"/>
    </xf>
    <xf numFmtId="176" fontId="57" fillId="6" borderId="70" xfId="27" applyNumberFormat="1" applyFont="1" applyFill="1" applyBorder="1" applyAlignment="1">
      <alignment horizontal="right" vertical="center" wrapText="1"/>
    </xf>
    <xf numFmtId="167" fontId="53" fillId="6" borderId="70" xfId="0" applyNumberFormat="1" applyFont="1" applyFill="1" applyBorder="1" applyAlignment="1" applyProtection="1">
      <alignment horizontal="right" vertical="center" wrapText="1"/>
      <protection locked="0"/>
    </xf>
    <xf numFmtId="167" fontId="57" fillId="2" borderId="70" xfId="0" applyNumberFormat="1" applyFont="1" applyFill="1" applyBorder="1" applyAlignment="1" applyProtection="1">
      <alignment horizontal="justify" vertical="center" wrapText="1"/>
      <protection locked="0"/>
    </xf>
    <xf numFmtId="171" fontId="57" fillId="6" borderId="70" xfId="15" applyNumberFormat="1" applyFont="1" applyFill="1" applyBorder="1" applyAlignment="1" applyProtection="1">
      <alignment horizontal="right" vertical="center" wrapText="1"/>
      <protection locked="0"/>
    </xf>
    <xf numFmtId="176" fontId="57" fillId="4" borderId="70" xfId="1" applyNumberFormat="1" applyFont="1" applyFill="1" applyBorder="1" applyAlignment="1" applyProtection="1">
      <alignment horizontal="right" vertical="center" wrapText="1"/>
      <protection locked="0"/>
    </xf>
    <xf numFmtId="175" fontId="57" fillId="4" borderId="70" xfId="1" applyNumberFormat="1" applyFont="1" applyFill="1" applyBorder="1" applyAlignment="1" applyProtection="1">
      <alignment horizontal="right" vertical="center" wrapText="1"/>
      <protection locked="0"/>
    </xf>
    <xf numFmtId="176" fontId="57" fillId="7" borderId="70" xfId="27" applyNumberFormat="1" applyFont="1" applyFill="1" applyBorder="1" applyAlignment="1" applyProtection="1">
      <alignment horizontal="right" vertical="center" wrapText="1"/>
      <protection locked="0"/>
    </xf>
    <xf numFmtId="175" fontId="57" fillId="7" borderId="70" xfId="27" applyNumberFormat="1" applyFont="1" applyFill="1" applyBorder="1" applyAlignment="1" applyProtection="1">
      <alignment horizontal="right" vertical="center" wrapText="1"/>
      <protection locked="0"/>
    </xf>
    <xf numFmtId="43" fontId="57" fillId="2" borderId="70" xfId="1" applyNumberFormat="1" applyFont="1" applyFill="1" applyBorder="1" applyAlignment="1" applyProtection="1">
      <alignment horizontal="left" vertical="center" wrapText="1"/>
      <protection locked="0"/>
    </xf>
    <xf numFmtId="167" fontId="56" fillId="2" borderId="70" xfId="0" applyNumberFormat="1" applyFont="1" applyFill="1" applyBorder="1" applyAlignment="1" applyProtection="1">
      <alignment horizontal="left" vertical="center" wrapText="1"/>
      <protection locked="0"/>
    </xf>
    <xf numFmtId="166" fontId="57" fillId="6" borderId="70" xfId="0" applyNumberFormat="1" applyFont="1" applyFill="1" applyBorder="1" applyAlignment="1" applyProtection="1">
      <alignment horizontal="right" vertical="center" wrapText="1"/>
    </xf>
    <xf numFmtId="171" fontId="57" fillId="6" borderId="70" xfId="0" applyNumberFormat="1" applyFont="1" applyFill="1" applyBorder="1" applyAlignment="1" applyProtection="1">
      <alignment horizontal="right" vertical="center" wrapText="1"/>
    </xf>
    <xf numFmtId="171" fontId="57" fillId="0" borderId="70" xfId="0" applyNumberFormat="1" applyFont="1" applyFill="1" applyBorder="1" applyAlignment="1" applyProtection="1">
      <alignment horizontal="right" vertical="center" wrapText="1"/>
    </xf>
    <xf numFmtId="166" fontId="57" fillId="2" borderId="70" xfId="0" applyNumberFormat="1" applyFont="1" applyFill="1" applyBorder="1" applyAlignment="1" applyProtection="1">
      <alignment vertical="center" wrapText="1"/>
    </xf>
    <xf numFmtId="166" fontId="53" fillId="0" borderId="70" xfId="0" applyNumberFormat="1" applyFont="1" applyFill="1" applyBorder="1" applyAlignment="1" applyProtection="1">
      <alignment horizontal="right" vertical="center" wrapText="1"/>
      <protection locked="0"/>
    </xf>
    <xf numFmtId="170" fontId="53" fillId="6" borderId="70" xfId="15" applyNumberFormat="1" applyFont="1" applyFill="1" applyBorder="1" applyAlignment="1" applyProtection="1">
      <alignment horizontal="right" vertical="center" wrapText="1"/>
      <protection locked="0"/>
    </xf>
    <xf numFmtId="166" fontId="56" fillId="6" borderId="70" xfId="27" applyNumberFormat="1" applyFont="1" applyFill="1" applyBorder="1" applyAlignment="1" applyProtection="1">
      <alignment horizontal="right" vertical="center" wrapText="1"/>
      <protection locked="0"/>
    </xf>
    <xf numFmtId="164" fontId="56" fillId="2" borderId="70" xfId="39" applyNumberFormat="1" applyFont="1" applyFill="1" applyBorder="1" applyAlignment="1" applyProtection="1">
      <alignment horizontal="right" vertical="center" wrapText="1"/>
      <protection locked="0"/>
    </xf>
    <xf numFmtId="184" fontId="56" fillId="6" borderId="70" xfId="39" applyNumberFormat="1" applyFont="1" applyFill="1" applyBorder="1" applyAlignment="1" applyProtection="1">
      <alignment horizontal="right" vertical="center" wrapText="1"/>
      <protection locked="0"/>
    </xf>
    <xf numFmtId="167" fontId="56" fillId="0" borderId="70" xfId="0" applyNumberFormat="1" applyFont="1" applyFill="1" applyBorder="1" applyAlignment="1" applyProtection="1">
      <alignment vertical="center" wrapText="1"/>
      <protection locked="0"/>
    </xf>
    <xf numFmtId="164" fontId="56" fillId="6" borderId="70" xfId="39" applyNumberFormat="1" applyFont="1" applyFill="1" applyBorder="1" applyAlignment="1" applyProtection="1">
      <alignment horizontal="right" vertical="center" wrapText="1"/>
      <protection locked="0"/>
    </xf>
    <xf numFmtId="167" fontId="56" fillId="2" borderId="70" xfId="0" applyNumberFormat="1" applyFont="1" applyFill="1" applyBorder="1" applyAlignment="1" applyProtection="1">
      <alignment vertical="center" wrapText="1"/>
      <protection locked="0"/>
    </xf>
    <xf numFmtId="170" fontId="59" fillId="2" borderId="70" xfId="0" applyNumberFormat="1" applyFont="1" applyFill="1" applyBorder="1" applyAlignment="1" applyProtection="1">
      <alignment horizontal="justify" vertical="center" wrapText="1"/>
      <protection locked="0"/>
    </xf>
    <xf numFmtId="164" fontId="59" fillId="2" borderId="70" xfId="39" applyFont="1" applyFill="1" applyBorder="1" applyAlignment="1" applyProtection="1">
      <alignment horizontal="right" vertical="center" wrapText="1"/>
      <protection locked="0"/>
    </xf>
    <xf numFmtId="170" fontId="59" fillId="2" borderId="70" xfId="0" applyNumberFormat="1" applyFont="1" applyFill="1" applyBorder="1" applyAlignment="1" applyProtection="1">
      <alignment vertical="center" wrapText="1"/>
      <protection locked="0"/>
    </xf>
    <xf numFmtId="176" fontId="53" fillId="0" borderId="70" xfId="15" applyNumberFormat="1" applyFont="1" applyFill="1" applyBorder="1" applyAlignment="1" applyProtection="1">
      <alignment horizontal="right" vertical="center" wrapText="1"/>
      <protection locked="0"/>
    </xf>
    <xf numFmtId="0" fontId="59" fillId="2" borderId="70" xfId="0" applyFont="1" applyFill="1" applyBorder="1" applyAlignment="1" applyProtection="1">
      <alignment horizontal="justify" vertical="center" wrapText="1"/>
    </xf>
    <xf numFmtId="3" fontId="53" fillId="2" borderId="70" xfId="0" quotePrefix="1" applyNumberFormat="1" applyFont="1" applyFill="1" applyBorder="1" applyAlignment="1" applyProtection="1">
      <alignment horizontal="justify" vertical="center" wrapText="1"/>
      <protection locked="0"/>
    </xf>
    <xf numFmtId="170" fontId="59" fillId="0" borderId="70" xfId="0" applyNumberFormat="1" applyFont="1" applyFill="1" applyBorder="1" applyAlignment="1" applyProtection="1">
      <alignment horizontal="right" vertical="center" wrapText="1"/>
      <protection locked="0"/>
    </xf>
    <xf numFmtId="166" fontId="56" fillId="2" borderId="70" xfId="0" applyNumberFormat="1" applyFont="1" applyFill="1" applyBorder="1" applyAlignment="1" applyProtection="1">
      <alignment horizontal="center" vertical="center" wrapText="1"/>
      <protection locked="0"/>
    </xf>
    <xf numFmtId="166" fontId="56" fillId="2" borderId="70" xfId="0" applyNumberFormat="1" applyFont="1" applyFill="1" applyBorder="1" applyAlignment="1" applyProtection="1">
      <alignment horizontal="justify" vertical="center" wrapText="1"/>
    </xf>
    <xf numFmtId="176" fontId="56" fillId="0" borderId="70" xfId="27" applyNumberFormat="1" applyFont="1" applyFill="1" applyBorder="1" applyAlignment="1" applyProtection="1">
      <alignment horizontal="right" vertical="center" wrapText="1"/>
      <protection locked="0"/>
    </xf>
    <xf numFmtId="166" fontId="56" fillId="2" borderId="70" xfId="0" applyNumberFormat="1" applyFont="1" applyFill="1" applyBorder="1" applyAlignment="1" applyProtection="1">
      <alignment vertical="center" wrapText="1"/>
      <protection locked="0"/>
    </xf>
    <xf numFmtId="166" fontId="53" fillId="2" borderId="70" xfId="0" applyNumberFormat="1" applyFont="1" applyFill="1" applyBorder="1" applyAlignment="1" applyProtection="1">
      <alignment horizontal="center" vertical="center" wrapText="1"/>
      <protection locked="0"/>
    </xf>
    <xf numFmtId="166" fontId="53" fillId="2" borderId="70" xfId="0" applyNumberFormat="1" applyFont="1" applyFill="1" applyBorder="1" applyAlignment="1" applyProtection="1">
      <alignment horizontal="justify" vertical="center" wrapText="1"/>
    </xf>
    <xf numFmtId="176" fontId="53" fillId="0" borderId="70" xfId="27" applyNumberFormat="1" applyFont="1" applyFill="1" applyBorder="1" applyAlignment="1" applyProtection="1">
      <alignment horizontal="right" vertical="center" wrapText="1"/>
      <protection locked="0"/>
    </xf>
    <xf numFmtId="166" fontId="53" fillId="2" borderId="70" xfId="0" applyNumberFormat="1" applyFont="1" applyFill="1" applyBorder="1" applyAlignment="1" applyProtection="1">
      <alignment vertical="center" wrapText="1"/>
      <protection locked="0"/>
    </xf>
    <xf numFmtId="166" fontId="53" fillId="0" borderId="70" xfId="0" applyNumberFormat="1" applyFont="1" applyFill="1" applyBorder="1" applyAlignment="1" applyProtection="1">
      <alignment vertical="center" wrapText="1"/>
    </xf>
    <xf numFmtId="164" fontId="53" fillId="2" borderId="70" xfId="39" applyFont="1" applyFill="1" applyBorder="1" applyAlignment="1" applyProtection="1">
      <alignment vertical="center" wrapText="1"/>
    </xf>
    <xf numFmtId="43" fontId="53" fillId="0" borderId="70" xfId="27" applyFont="1" applyFill="1" applyBorder="1" applyAlignment="1" applyProtection="1">
      <alignment horizontal="right" vertical="center" wrapText="1"/>
      <protection locked="0"/>
    </xf>
    <xf numFmtId="3" fontId="56" fillId="2" borderId="70" xfId="0" applyNumberFormat="1" applyFont="1" applyFill="1" applyBorder="1" applyAlignment="1" applyProtection="1">
      <alignment horizontal="justify" vertical="center" wrapText="1"/>
      <protection locked="0"/>
    </xf>
    <xf numFmtId="164" fontId="56" fillId="2" borderId="70" xfId="39" applyFont="1" applyFill="1" applyBorder="1" applyAlignment="1" applyProtection="1">
      <alignment horizontal="right" vertical="center" wrapText="1"/>
      <protection locked="0"/>
    </xf>
    <xf numFmtId="186" fontId="53" fillId="2" borderId="70" xfId="27" applyNumberFormat="1" applyFont="1" applyFill="1" applyBorder="1" applyAlignment="1" applyProtection="1">
      <alignment horizontal="right" vertical="center" wrapText="1"/>
      <protection locked="0"/>
    </xf>
    <xf numFmtId="3" fontId="59" fillId="2" borderId="70" xfId="0" applyNumberFormat="1" applyFont="1" applyFill="1" applyBorder="1" applyAlignment="1" applyProtection="1">
      <alignment horizontal="justify" vertical="center" wrapText="1"/>
      <protection locked="0"/>
    </xf>
    <xf numFmtId="175" fontId="59" fillId="2" borderId="70" xfId="27" applyNumberFormat="1" applyFont="1" applyFill="1" applyBorder="1" applyAlignment="1" applyProtection="1">
      <alignment horizontal="right" vertical="center" wrapText="1"/>
      <protection locked="0"/>
    </xf>
    <xf numFmtId="176" fontId="59" fillId="6" borderId="70" xfId="1" applyNumberFormat="1" applyFont="1" applyFill="1" applyBorder="1" applyAlignment="1" applyProtection="1">
      <alignment horizontal="right" vertical="center" wrapText="1"/>
      <protection locked="0"/>
    </xf>
    <xf numFmtId="164" fontId="59" fillId="6" borderId="70" xfId="39" applyFont="1" applyFill="1" applyBorder="1" applyAlignment="1" applyProtection="1">
      <alignment horizontal="right" vertical="center" wrapText="1"/>
      <protection locked="0"/>
    </xf>
    <xf numFmtId="176" fontId="59" fillId="2" borderId="70" xfId="1" applyNumberFormat="1" applyFont="1" applyFill="1" applyBorder="1" applyAlignment="1" applyProtection="1">
      <alignment horizontal="right" vertical="center" wrapText="1"/>
      <protection locked="0"/>
    </xf>
    <xf numFmtId="175" fontId="59" fillId="6" borderId="70" xfId="39" applyNumberFormat="1" applyFont="1" applyFill="1" applyBorder="1" applyAlignment="1" applyProtection="1">
      <alignment horizontal="right" vertical="center" wrapText="1"/>
      <protection locked="0"/>
    </xf>
    <xf numFmtId="175" fontId="56" fillId="6" borderId="70" xfId="1" applyNumberFormat="1" applyFont="1" applyFill="1" applyBorder="1" applyAlignment="1" applyProtection="1">
      <alignment horizontal="right" vertical="center" wrapText="1"/>
      <protection locked="0"/>
    </xf>
    <xf numFmtId="176" fontId="56" fillId="6" borderId="70" xfId="1" applyNumberFormat="1" applyFont="1" applyFill="1" applyBorder="1" applyAlignment="1" applyProtection="1">
      <alignment horizontal="right" vertical="center" wrapText="1"/>
      <protection locked="0"/>
    </xf>
    <xf numFmtId="167" fontId="57" fillId="6" borderId="70" xfId="0" quotePrefix="1" applyNumberFormat="1" applyFont="1" applyFill="1" applyBorder="1" applyAlignment="1" applyProtection="1">
      <alignment horizontal="center" vertical="center" wrapText="1"/>
      <protection locked="0"/>
    </xf>
    <xf numFmtId="175" fontId="59" fillId="0" borderId="70" xfId="1" applyNumberFormat="1" applyFont="1" applyFill="1" applyBorder="1" applyAlignment="1" applyProtection="1">
      <alignment horizontal="right" vertical="center" wrapText="1"/>
      <protection locked="0"/>
    </xf>
    <xf numFmtId="186" fontId="59" fillId="2" borderId="70" xfId="39" applyNumberFormat="1" applyFont="1" applyFill="1" applyBorder="1" applyAlignment="1" applyProtection="1">
      <alignment horizontal="right" vertical="center" wrapText="1"/>
      <protection locked="0"/>
    </xf>
    <xf numFmtId="43" fontId="56" fillId="0" borderId="70" xfId="1" applyNumberFormat="1" applyFont="1" applyFill="1" applyBorder="1" applyAlignment="1" applyProtection="1">
      <alignment horizontal="right" vertical="center" wrapText="1"/>
      <protection locked="0"/>
    </xf>
    <xf numFmtId="43" fontId="59" fillId="2" borderId="70" xfId="1" applyNumberFormat="1" applyFont="1" applyFill="1" applyBorder="1" applyAlignment="1" applyProtection="1">
      <alignment horizontal="right" vertical="center" wrapText="1"/>
      <protection locked="0"/>
    </xf>
    <xf numFmtId="0" fontId="57" fillId="0" borderId="70" xfId="0" applyFont="1" applyFill="1" applyBorder="1" applyAlignment="1" applyProtection="1">
      <alignment horizontal="center" vertical="center" wrapText="1"/>
      <protection locked="0"/>
    </xf>
    <xf numFmtId="0" fontId="57" fillId="0" borderId="70" xfId="0" applyFont="1" applyFill="1" applyBorder="1" applyAlignment="1" applyProtection="1">
      <alignment horizontal="justify" vertical="center" wrapText="1"/>
      <protection locked="0"/>
    </xf>
    <xf numFmtId="176" fontId="57" fillId="0" borderId="70" xfId="1" applyNumberFormat="1" applyFont="1" applyFill="1" applyBorder="1" applyAlignment="1" applyProtection="1">
      <alignment horizontal="right" vertical="center" wrapText="1"/>
      <protection locked="0"/>
    </xf>
    <xf numFmtId="167" fontId="57" fillId="0" borderId="70" xfId="0" quotePrefix="1" applyNumberFormat="1" applyFont="1" applyFill="1" applyBorder="1" applyAlignment="1" applyProtection="1">
      <alignment horizontal="center" vertical="center" wrapText="1"/>
      <protection locked="0"/>
    </xf>
    <xf numFmtId="43" fontId="57" fillId="2" borderId="70" xfId="27" applyNumberFormat="1" applyFont="1" applyFill="1" applyBorder="1" applyAlignment="1" applyProtection="1">
      <alignment horizontal="right" vertical="center" wrapText="1"/>
      <protection locked="0"/>
    </xf>
    <xf numFmtId="0" fontId="31" fillId="2" borderId="0" xfId="0" applyFont="1" applyFill="1" applyAlignment="1" applyProtection="1">
      <alignment vertical="center" wrapText="1"/>
    </xf>
    <xf numFmtId="3" fontId="25" fillId="2" borderId="70" xfId="0" applyNumberFormat="1" applyFont="1" applyFill="1" applyBorder="1" applyAlignment="1" applyProtection="1">
      <alignment vertical="center" wrapText="1"/>
      <protection locked="0"/>
    </xf>
    <xf numFmtId="167" fontId="50" fillId="2" borderId="70" xfId="0" quotePrefix="1" applyNumberFormat="1" applyFont="1" applyFill="1" applyBorder="1" applyAlignment="1" applyProtection="1">
      <alignment horizontal="center" vertical="center" wrapText="1"/>
      <protection locked="0"/>
    </xf>
    <xf numFmtId="173" fontId="50" fillId="2" borderId="70" xfId="0" applyNumberFormat="1" applyFont="1" applyFill="1" applyBorder="1" applyAlignment="1" applyProtection="1">
      <alignment vertical="center" wrapText="1"/>
      <protection locked="0"/>
    </xf>
    <xf numFmtId="167" fontId="51" fillId="2" borderId="70" xfId="0" quotePrefix="1" applyNumberFormat="1" applyFont="1" applyFill="1" applyBorder="1" applyAlignment="1" applyProtection="1">
      <alignment horizontal="center" vertical="center" wrapText="1"/>
      <protection locked="0"/>
    </xf>
    <xf numFmtId="0" fontId="53" fillId="2" borderId="0" xfId="0" applyFont="1" applyFill="1" applyAlignment="1" applyProtection="1">
      <alignment horizontal="justify" vertical="center" wrapText="1"/>
    </xf>
    <xf numFmtId="3" fontId="51" fillId="2" borderId="16" xfId="0" applyNumberFormat="1" applyFont="1" applyFill="1" applyBorder="1" applyAlignment="1" applyProtection="1">
      <alignment horizontal="center" vertical="center" wrapText="1"/>
      <protection locked="0"/>
    </xf>
    <xf numFmtId="43" fontId="50" fillId="2" borderId="0" xfId="1" applyFont="1" applyFill="1" applyBorder="1" applyAlignment="1" applyProtection="1">
      <alignment vertical="center" wrapText="1"/>
    </xf>
    <xf numFmtId="0" fontId="79" fillId="2" borderId="70" xfId="0" applyFont="1" applyFill="1" applyBorder="1" applyAlignment="1" applyProtection="1">
      <alignment vertical="center" wrapText="1"/>
      <protection locked="0"/>
    </xf>
    <xf numFmtId="1" fontId="79" fillId="2" borderId="70" xfId="0" applyNumberFormat="1" applyFont="1" applyFill="1" applyBorder="1" applyAlignment="1" applyProtection="1">
      <alignment horizontal="right" vertical="center" wrapText="1"/>
      <protection locked="0"/>
    </xf>
    <xf numFmtId="1" fontId="98" fillId="2" borderId="70" xfId="0" applyNumberFormat="1" applyFont="1" applyFill="1" applyBorder="1" applyAlignment="1" applyProtection="1">
      <alignment horizontal="right" vertical="center" wrapText="1"/>
      <protection locked="0"/>
    </xf>
    <xf numFmtId="1" fontId="50" fillId="2" borderId="70" xfId="0" applyNumberFormat="1" applyFont="1" applyFill="1" applyBorder="1" applyAlignment="1" applyProtection="1">
      <alignment horizontal="right" vertical="center" wrapText="1"/>
      <protection locked="0"/>
    </xf>
    <xf numFmtId="0" fontId="79" fillId="2" borderId="70" xfId="0" applyFont="1" applyFill="1" applyBorder="1" applyAlignment="1" applyProtection="1">
      <alignment horizontal="right" vertical="center" wrapText="1"/>
      <protection locked="0"/>
    </xf>
    <xf numFmtId="0" fontId="50" fillId="2" borderId="70" xfId="40" applyFont="1" applyFill="1" applyBorder="1" applyAlignment="1" applyProtection="1">
      <alignment horizontal="right" vertical="center"/>
    </xf>
    <xf numFmtId="166" fontId="50" fillId="0" borderId="70" xfId="0" applyNumberFormat="1" applyFont="1" applyFill="1" applyBorder="1" applyAlignment="1" applyProtection="1">
      <alignment horizontal="justify" vertical="center" wrapText="1"/>
      <protection locked="0"/>
    </xf>
    <xf numFmtId="0" fontId="50" fillId="0" borderId="70" xfId="0" applyNumberFormat="1" applyFont="1" applyFill="1" applyBorder="1" applyAlignment="1">
      <alignment horizontal="justify" vertical="center" wrapText="1"/>
    </xf>
    <xf numFmtId="0" fontId="50" fillId="0" borderId="70" xfId="0" applyFont="1" applyFill="1" applyBorder="1" applyAlignment="1">
      <alignment horizontal="justify" vertical="center" wrapText="1"/>
    </xf>
    <xf numFmtId="164" fontId="73" fillId="2" borderId="0" xfId="39" applyFont="1" applyFill="1" applyAlignment="1" applyProtection="1">
      <alignment horizontal="center" vertical="center" wrapText="1"/>
      <protection locked="0"/>
    </xf>
    <xf numFmtId="173" fontId="50" fillId="7" borderId="70" xfId="0" applyNumberFormat="1" applyFont="1" applyFill="1" applyBorder="1" applyAlignment="1" applyProtection="1">
      <alignment horizontal="right" vertical="center" wrapText="1"/>
      <protection locked="0"/>
    </xf>
    <xf numFmtId="171" fontId="50" fillId="0" borderId="70" xfId="0" applyNumberFormat="1" applyFont="1" applyFill="1" applyBorder="1" applyAlignment="1" applyProtection="1">
      <alignment vertical="center" wrapText="1"/>
      <protection locked="0"/>
    </xf>
    <xf numFmtId="171" fontId="50" fillId="0" borderId="70" xfId="39" applyNumberFormat="1" applyFont="1" applyFill="1" applyBorder="1" applyAlignment="1" applyProtection="1">
      <alignment horizontal="right" vertical="center" wrapText="1"/>
      <protection locked="0"/>
    </xf>
    <xf numFmtId="171" fontId="73" fillId="2" borderId="0" xfId="0" applyNumberFormat="1" applyFont="1" applyFill="1" applyAlignment="1" applyProtection="1">
      <alignment horizontal="center" vertical="center" wrapText="1"/>
      <protection locked="0"/>
    </xf>
    <xf numFmtId="169" fontId="54" fillId="2" borderId="0" xfId="0" applyNumberFormat="1" applyFont="1" applyFill="1" applyAlignment="1" applyProtection="1">
      <alignment horizontal="center" vertical="center" wrapText="1"/>
    </xf>
    <xf numFmtId="166" fontId="50" fillId="0" borderId="70" xfId="12" quotePrefix="1" applyNumberFormat="1" applyFont="1" applyFill="1" applyBorder="1" applyAlignment="1">
      <alignment horizontal="justify" vertical="center" wrapText="1"/>
    </xf>
    <xf numFmtId="2" fontId="50" fillId="0" borderId="70" xfId="22" applyNumberFormat="1" applyFont="1" applyFill="1" applyBorder="1" applyAlignment="1">
      <alignment vertical="center" wrapText="1"/>
    </xf>
    <xf numFmtId="165" fontId="50" fillId="0" borderId="70" xfId="28" applyNumberFormat="1" applyFont="1" applyFill="1" applyBorder="1" applyAlignment="1">
      <alignment horizontal="center" vertical="center" wrapText="1"/>
    </xf>
    <xf numFmtId="2" fontId="50" fillId="0" borderId="70" xfId="0" applyNumberFormat="1" applyFont="1" applyFill="1" applyBorder="1" applyAlignment="1">
      <alignment horizontal="center" vertical="center"/>
    </xf>
    <xf numFmtId="0" fontId="50" fillId="0" borderId="70" xfId="4" applyFont="1" applyFill="1" applyBorder="1" applyAlignment="1">
      <alignment horizontal="center" vertical="center"/>
    </xf>
    <xf numFmtId="190" fontId="50" fillId="0" borderId="70" xfId="14" applyNumberFormat="1" applyFont="1" applyFill="1" applyBorder="1" applyAlignment="1">
      <alignment horizontal="center" vertical="center" wrapText="1"/>
    </xf>
    <xf numFmtId="184" fontId="50" fillId="0" borderId="70" xfId="41" applyNumberFormat="1" applyFont="1" applyFill="1" applyBorder="1" applyAlignment="1">
      <alignment horizontal="center" vertical="center" wrapText="1"/>
    </xf>
    <xf numFmtId="184" fontId="50" fillId="6" borderId="70" xfId="41" applyNumberFormat="1" applyFont="1" applyFill="1" applyBorder="1" applyAlignment="1">
      <alignment horizontal="center" vertical="center" wrapText="1"/>
    </xf>
    <xf numFmtId="176" fontId="50" fillId="2" borderId="70" xfId="27" applyNumberFormat="1" applyFont="1" applyFill="1" applyBorder="1" applyAlignment="1">
      <alignment horizontal="right" vertical="center" wrapText="1"/>
    </xf>
    <xf numFmtId="169" fontId="50" fillId="6" borderId="70" xfId="0" applyNumberFormat="1" applyFont="1" applyFill="1" applyBorder="1" applyAlignment="1" applyProtection="1">
      <alignment vertical="center" wrapText="1"/>
      <protection locked="0"/>
    </xf>
    <xf numFmtId="166" fontId="73" fillId="6" borderId="0" xfId="0" applyNumberFormat="1" applyFont="1" applyFill="1" applyAlignment="1" applyProtection="1">
      <alignment horizontal="center" vertical="center" wrapText="1"/>
      <protection locked="0"/>
    </xf>
    <xf numFmtId="170" fontId="53" fillId="6" borderId="0" xfId="0" applyNumberFormat="1" applyFont="1" applyFill="1" applyAlignment="1" applyProtection="1">
      <alignment vertical="center" wrapText="1"/>
    </xf>
    <xf numFmtId="43" fontId="53" fillId="6" borderId="0" xfId="1" applyFont="1" applyFill="1" applyAlignment="1" applyProtection="1">
      <alignment vertical="center" wrapText="1"/>
    </xf>
    <xf numFmtId="0" fontId="53" fillId="6" borderId="0" xfId="0" applyFont="1" applyFill="1" applyAlignment="1" applyProtection="1">
      <alignment vertical="center" wrapText="1"/>
    </xf>
    <xf numFmtId="166" fontId="53" fillId="6" borderId="0" xfId="0" applyNumberFormat="1" applyFont="1" applyFill="1" applyAlignment="1" applyProtection="1">
      <alignment horizontal="center" vertical="center" wrapText="1"/>
    </xf>
    <xf numFmtId="166" fontId="50" fillId="0" borderId="70" xfId="0" applyNumberFormat="1" applyFont="1" applyFill="1" applyBorder="1" applyAlignment="1">
      <alignment horizontal="right" vertical="center" wrapText="1"/>
    </xf>
    <xf numFmtId="186" fontId="50" fillId="0" borderId="70" xfId="41" applyNumberFormat="1" applyFont="1" applyFill="1" applyBorder="1" applyAlignment="1" applyProtection="1">
      <alignment vertical="center" wrapText="1"/>
    </xf>
    <xf numFmtId="186" fontId="50" fillId="0" borderId="70" xfId="41" applyNumberFormat="1" applyFont="1" applyFill="1" applyBorder="1" applyAlignment="1" applyProtection="1">
      <alignment horizontal="center" vertical="center" wrapText="1"/>
    </xf>
    <xf numFmtId="186" fontId="50" fillId="6" borderId="70" xfId="41" applyNumberFormat="1" applyFont="1" applyFill="1" applyBorder="1" applyAlignment="1" applyProtection="1">
      <alignment horizontal="center" vertical="center" wrapText="1"/>
    </xf>
    <xf numFmtId="169" fontId="50" fillId="2" borderId="70" xfId="0" applyNumberFormat="1" applyFont="1" applyFill="1" applyBorder="1" applyAlignment="1" applyProtection="1">
      <alignment vertical="center" wrapText="1"/>
    </xf>
    <xf numFmtId="1" fontId="53" fillId="6" borderId="0" xfId="0" applyNumberFormat="1" applyFont="1" applyFill="1" applyAlignment="1" applyProtection="1">
      <alignment vertical="center" wrapText="1"/>
    </xf>
    <xf numFmtId="9" fontId="50" fillId="0" borderId="70" xfId="0" applyNumberFormat="1" applyFont="1" applyFill="1" applyBorder="1" applyAlignment="1" applyProtection="1">
      <alignment horizontal="center" vertical="center" wrapText="1"/>
      <protection locked="0"/>
    </xf>
    <xf numFmtId="0" fontId="50" fillId="2" borderId="70" xfId="39" applyNumberFormat="1" applyFont="1" applyFill="1" applyBorder="1" applyAlignment="1" applyProtection="1">
      <alignment horizontal="right" vertical="center" wrapText="1"/>
    </xf>
    <xf numFmtId="164" fontId="50" fillId="0" borderId="70" xfId="39" applyNumberFormat="1" applyFont="1" applyFill="1" applyBorder="1" applyAlignment="1" applyProtection="1">
      <alignment vertical="center" wrapText="1"/>
    </xf>
    <xf numFmtId="164" fontId="50" fillId="0" borderId="70" xfId="39" applyNumberFormat="1" applyFont="1" applyFill="1" applyBorder="1" applyAlignment="1" applyProtection="1">
      <alignment horizontal="center" vertical="center" wrapText="1"/>
    </xf>
    <xf numFmtId="164" fontId="50" fillId="6" borderId="70" xfId="39" applyNumberFormat="1" applyFont="1" applyFill="1" applyBorder="1" applyAlignment="1" applyProtection="1">
      <alignment horizontal="center" vertical="center" wrapText="1"/>
    </xf>
    <xf numFmtId="164" fontId="50" fillId="2" borderId="70" xfId="39" applyNumberFormat="1" applyFont="1" applyFill="1" applyBorder="1" applyAlignment="1" applyProtection="1">
      <alignment horizontal="center" vertical="center" wrapText="1"/>
    </xf>
    <xf numFmtId="2" fontId="50" fillId="0" borderId="70" xfId="22" applyNumberFormat="1" applyFont="1" applyFill="1" applyBorder="1" applyAlignment="1">
      <alignment horizontal="right" vertical="center" wrapText="1"/>
    </xf>
    <xf numFmtId="184" fontId="50" fillId="0" borderId="70" xfId="39" applyNumberFormat="1" applyFont="1" applyFill="1" applyBorder="1" applyAlignment="1" applyProtection="1">
      <alignment vertical="center" wrapText="1"/>
    </xf>
    <xf numFmtId="2" fontId="50" fillId="2" borderId="70" xfId="22" applyNumberFormat="1" applyFont="1" applyFill="1" applyBorder="1" applyAlignment="1">
      <alignment horizontal="right" vertical="center" wrapText="1"/>
    </xf>
    <xf numFmtId="2" fontId="50" fillId="6" borderId="70" xfId="39" applyNumberFormat="1" applyFont="1" applyFill="1" applyBorder="1" applyAlignment="1" applyProtection="1">
      <alignment horizontal="center" vertical="center" wrapText="1"/>
    </xf>
    <xf numFmtId="184" fontId="56" fillId="2" borderId="70" xfId="39" applyNumberFormat="1" applyFont="1" applyFill="1" applyBorder="1" applyAlignment="1" applyProtection="1">
      <alignment horizontal="right" vertical="center" wrapText="1"/>
      <protection locked="0"/>
    </xf>
    <xf numFmtId="0" fontId="50" fillId="2" borderId="70" xfId="0" quotePrefix="1" applyFont="1" applyFill="1" applyBorder="1" applyAlignment="1" applyProtection="1">
      <alignment horizontal="justify" vertical="center" wrapText="1"/>
    </xf>
    <xf numFmtId="0" fontId="48" fillId="0" borderId="70" xfId="0" applyFont="1" applyBorder="1" applyAlignment="1">
      <alignment horizontal="center" vertical="center" wrapText="1"/>
    </xf>
    <xf numFmtId="1" fontId="48" fillId="2" borderId="70" xfId="0" applyNumberFormat="1" applyFont="1" applyFill="1" applyBorder="1" applyAlignment="1" applyProtection="1">
      <alignment vertical="center" wrapText="1"/>
      <protection locked="0"/>
    </xf>
    <xf numFmtId="1" fontId="52" fillId="2" borderId="0" xfId="0" applyNumberFormat="1" applyFont="1" applyFill="1" applyAlignment="1" applyProtection="1">
      <alignment horizontal="right" vertical="center" wrapText="1"/>
      <protection locked="0"/>
    </xf>
    <xf numFmtId="170" fontId="129" fillId="2" borderId="0" xfId="0" applyNumberFormat="1" applyFont="1" applyFill="1" applyAlignment="1" applyProtection="1">
      <alignment horizontal="right" vertical="center" wrapText="1"/>
      <protection locked="0"/>
    </xf>
    <xf numFmtId="1" fontId="129" fillId="2" borderId="0" xfId="0" applyNumberFormat="1" applyFont="1" applyFill="1" applyAlignment="1" applyProtection="1">
      <alignment horizontal="right" vertical="center" wrapText="1"/>
      <protection locked="0"/>
    </xf>
    <xf numFmtId="170" fontId="81" fillId="2" borderId="0" xfId="0" applyNumberFormat="1" applyFont="1" applyFill="1" applyAlignment="1" applyProtection="1">
      <alignment vertical="center" wrapText="1"/>
    </xf>
    <xf numFmtId="1" fontId="81" fillId="2" borderId="0" xfId="0" applyNumberFormat="1" applyFont="1" applyFill="1" applyAlignment="1" applyProtection="1">
      <alignment vertical="center" wrapText="1"/>
    </xf>
    <xf numFmtId="176" fontId="81" fillId="2" borderId="0" xfId="1" applyNumberFormat="1" applyFont="1" applyFill="1" applyAlignment="1" applyProtection="1">
      <alignment vertical="center" wrapText="1"/>
    </xf>
    <xf numFmtId="171" fontId="56" fillId="2" borderId="70" xfId="39" applyNumberFormat="1" applyFont="1" applyFill="1" applyBorder="1" applyAlignment="1" applyProtection="1">
      <alignment horizontal="right" vertical="center" wrapText="1"/>
      <protection locked="0"/>
    </xf>
    <xf numFmtId="176" fontId="56" fillId="6" borderId="70" xfId="1" applyNumberFormat="1" applyFont="1" applyFill="1" applyBorder="1" applyAlignment="1">
      <alignment horizontal="right" vertical="center" wrapText="1"/>
    </xf>
    <xf numFmtId="43" fontId="57" fillId="6" borderId="70" xfId="27" applyNumberFormat="1" applyFont="1" applyFill="1" applyBorder="1" applyAlignment="1" applyProtection="1">
      <alignment horizontal="right" vertical="center" wrapText="1"/>
      <protection locked="0"/>
    </xf>
    <xf numFmtId="0" fontId="43" fillId="2" borderId="0" xfId="0" applyFont="1" applyFill="1" applyAlignment="1" applyProtection="1">
      <alignment horizontal="center" wrapText="1"/>
    </xf>
    <xf numFmtId="0" fontId="44" fillId="2" borderId="0" xfId="0" applyFont="1" applyFill="1" applyAlignment="1" applyProtection="1">
      <alignment horizontal="center" vertical="center"/>
    </xf>
    <xf numFmtId="0" fontId="44" fillId="2" borderId="0" xfId="0" applyFont="1" applyFill="1" applyAlignment="1" applyProtection="1">
      <alignment horizontal="center" vertical="center" wrapText="1"/>
    </xf>
    <xf numFmtId="0" fontId="45" fillId="2" borderId="0" xfId="0" applyFont="1" applyFill="1" applyAlignment="1" applyProtection="1">
      <alignment horizontal="center" vertical="center"/>
    </xf>
    <xf numFmtId="184" fontId="50" fillId="2" borderId="71" xfId="39" quotePrefix="1" applyNumberFormat="1" applyFont="1" applyFill="1" applyBorder="1" applyAlignment="1" applyProtection="1">
      <alignment horizontal="center" vertical="center" wrapText="1"/>
      <protection locked="0"/>
    </xf>
    <xf numFmtId="184" fontId="50" fillId="2" borderId="26" xfId="39" quotePrefix="1" applyNumberFormat="1" applyFont="1" applyFill="1" applyBorder="1" applyAlignment="1" applyProtection="1">
      <alignment horizontal="center" vertical="center" wrapText="1"/>
      <protection locked="0"/>
    </xf>
    <xf numFmtId="184" fontId="50" fillId="2" borderId="64" xfId="39" quotePrefix="1" applyNumberFormat="1" applyFont="1" applyFill="1" applyBorder="1" applyAlignment="1" applyProtection="1">
      <alignment horizontal="center" vertical="center" wrapText="1"/>
      <protection locked="0"/>
    </xf>
    <xf numFmtId="0" fontId="52" fillId="2" borderId="0" xfId="0" applyFont="1" applyFill="1" applyBorder="1" applyAlignment="1">
      <alignment horizontal="center" vertical="center" wrapText="1"/>
    </xf>
    <xf numFmtId="169" fontId="55" fillId="2" borderId="67" xfId="0" applyNumberFormat="1" applyFont="1" applyFill="1" applyBorder="1" applyAlignment="1" applyProtection="1">
      <alignment horizontal="center" vertical="center" wrapText="1"/>
      <protection locked="0"/>
    </xf>
    <xf numFmtId="167" fontId="48" fillId="2" borderId="70" xfId="0" applyNumberFormat="1" applyFont="1" applyFill="1" applyBorder="1" applyAlignment="1" applyProtection="1">
      <alignment horizontal="center" vertical="center" wrapText="1"/>
      <protection locked="0"/>
    </xf>
    <xf numFmtId="0" fontId="122" fillId="2" borderId="0" xfId="0" applyFont="1" applyFill="1" applyAlignment="1" applyProtection="1">
      <alignment horizontal="center" vertical="center" wrapText="1"/>
      <protection locked="0"/>
    </xf>
    <xf numFmtId="170" fontId="54" fillId="2" borderId="0" xfId="0" applyNumberFormat="1" applyFont="1" applyFill="1" applyAlignment="1" applyProtection="1">
      <alignment horizontal="center" vertical="center" wrapText="1"/>
      <protection locked="0"/>
    </xf>
    <xf numFmtId="3" fontId="48" fillId="2" borderId="62" xfId="0" applyNumberFormat="1" applyFont="1" applyFill="1" applyBorder="1" applyAlignment="1" applyProtection="1">
      <alignment horizontal="center" vertical="center" wrapText="1"/>
      <protection locked="0"/>
    </xf>
    <xf numFmtId="3" fontId="48" fillId="2" borderId="72" xfId="0" applyNumberFormat="1" applyFont="1" applyFill="1" applyBorder="1" applyAlignment="1" applyProtection="1">
      <alignment horizontal="center" vertical="center" wrapText="1"/>
      <protection locked="0"/>
    </xf>
    <xf numFmtId="169" fontId="139" fillId="2" borderId="0" xfId="0" applyNumberFormat="1" applyFont="1" applyFill="1" applyBorder="1" applyAlignment="1" applyProtection="1">
      <alignment horizontal="center" vertical="center" wrapText="1"/>
      <protection locked="0"/>
    </xf>
    <xf numFmtId="3" fontId="48" fillId="2" borderId="70" xfId="0" applyNumberFormat="1" applyFont="1" applyFill="1" applyBorder="1" applyAlignment="1" applyProtection="1">
      <alignment horizontal="center" vertical="center" wrapText="1"/>
      <protection locked="0"/>
    </xf>
    <xf numFmtId="0" fontId="50" fillId="2" borderId="70" xfId="0" applyFont="1" applyFill="1" applyBorder="1" applyAlignment="1" applyProtection="1">
      <alignment horizontal="center" vertical="center" wrapText="1"/>
      <protection locked="0"/>
    </xf>
    <xf numFmtId="166" fontId="48" fillId="2" borderId="7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right" vertical="center" wrapText="1"/>
      <protection locked="0"/>
    </xf>
    <xf numFmtId="0" fontId="48" fillId="2" borderId="70" xfId="0" applyFont="1" applyFill="1" applyBorder="1" applyAlignment="1" applyProtection="1">
      <alignment horizontal="center" vertical="center" wrapText="1"/>
      <protection locked="0"/>
    </xf>
    <xf numFmtId="0" fontId="53" fillId="2" borderId="0" xfId="0" applyFont="1" applyFill="1" applyAlignment="1" applyProtection="1">
      <alignment horizontal="left" vertical="center" wrapText="1"/>
      <protection locked="0"/>
    </xf>
    <xf numFmtId="0" fontId="50" fillId="6" borderId="0" xfId="0" quotePrefix="1" applyFont="1" applyFill="1" applyAlignment="1">
      <alignment horizontal="left" vertical="center" wrapText="1"/>
    </xf>
    <xf numFmtId="0" fontId="50" fillId="6" borderId="0" xfId="0" applyFont="1" applyFill="1" applyAlignment="1">
      <alignment horizontal="left" vertical="center" wrapText="1"/>
    </xf>
    <xf numFmtId="0" fontId="100" fillId="6" borderId="0" xfId="0" applyFont="1" applyFill="1" applyAlignment="1">
      <alignment horizontal="left" vertical="center" wrapText="1"/>
    </xf>
    <xf numFmtId="176" fontId="50" fillId="0" borderId="70" xfId="0" quotePrefix="1" applyNumberFormat="1" applyFont="1" applyFill="1" applyBorder="1" applyAlignment="1" applyProtection="1">
      <alignment horizontal="center" vertical="center" wrapText="1"/>
      <protection locked="0"/>
    </xf>
    <xf numFmtId="169" fontId="80" fillId="2" borderId="0" xfId="0" applyNumberFormat="1" applyFont="1" applyFill="1" applyBorder="1" applyAlignment="1" applyProtection="1">
      <alignment horizontal="center" vertical="center" wrapText="1"/>
      <protection locked="0"/>
    </xf>
    <xf numFmtId="167" fontId="50" fillId="2" borderId="0" xfId="0" applyNumberFormat="1" applyFont="1" applyFill="1" applyAlignment="1" applyProtection="1">
      <alignment horizontal="center" vertical="center" wrapText="1"/>
      <protection locked="0"/>
    </xf>
    <xf numFmtId="3" fontId="53" fillId="2" borderId="0" xfId="0" applyNumberFormat="1" applyFont="1" applyFill="1" applyBorder="1" applyAlignment="1" applyProtection="1">
      <alignment horizontal="center" vertical="center" wrapText="1"/>
      <protection locked="0"/>
    </xf>
    <xf numFmtId="0" fontId="78" fillId="2" borderId="0" xfId="0" applyFont="1" applyFill="1" applyAlignment="1" applyProtection="1">
      <alignment horizontal="right" vertical="center" wrapText="1"/>
    </xf>
    <xf numFmtId="0" fontId="80" fillId="2" borderId="0" xfId="0" applyFont="1" applyFill="1" applyAlignment="1" applyProtection="1">
      <alignment horizontal="center" vertical="center" wrapText="1"/>
    </xf>
    <xf numFmtId="0" fontId="139" fillId="2" borderId="0" xfId="0" applyFont="1" applyFill="1" applyAlignment="1" applyProtection="1">
      <alignment horizontal="center" vertical="center" wrapText="1"/>
    </xf>
    <xf numFmtId="0" fontId="57" fillId="2" borderId="70" xfId="0" applyFont="1" applyFill="1" applyBorder="1" applyAlignment="1" applyProtection="1">
      <alignment horizontal="center" vertical="center" wrapText="1"/>
      <protection locked="0"/>
    </xf>
    <xf numFmtId="167" fontId="57" fillId="2" borderId="70" xfId="0" applyNumberFormat="1" applyFont="1" applyFill="1" applyBorder="1" applyAlignment="1" applyProtection="1">
      <alignment horizontal="center" vertical="center" wrapText="1"/>
      <protection locked="0"/>
    </xf>
    <xf numFmtId="3" fontId="57" fillId="2" borderId="70" xfId="0" applyNumberFormat="1" applyFont="1" applyFill="1" applyBorder="1" applyAlignment="1" applyProtection="1">
      <alignment horizontal="center" vertical="center" wrapText="1"/>
      <protection locked="0"/>
    </xf>
    <xf numFmtId="3" fontId="57" fillId="2" borderId="71" xfId="0" applyNumberFormat="1" applyFont="1" applyFill="1" applyBorder="1" applyAlignment="1" applyProtection="1">
      <alignment horizontal="center" vertical="center" wrapText="1"/>
      <protection locked="0"/>
    </xf>
    <xf numFmtId="3" fontId="57" fillId="2" borderId="64" xfId="0" applyNumberFormat="1" applyFont="1" applyFill="1" applyBorder="1" applyAlignment="1" applyProtection="1">
      <alignment horizontal="center" vertical="center" wrapText="1"/>
      <protection locked="0"/>
    </xf>
    <xf numFmtId="3" fontId="57" fillId="2" borderId="62" xfId="0" applyNumberFormat="1" applyFont="1" applyFill="1" applyBorder="1" applyAlignment="1" applyProtection="1">
      <alignment horizontal="center" vertical="center" wrapText="1"/>
      <protection locked="0"/>
    </xf>
    <xf numFmtId="3" fontId="57" fillId="2" borderId="72" xfId="0" applyNumberFormat="1" applyFont="1" applyFill="1" applyBorder="1" applyAlignment="1" applyProtection="1">
      <alignment horizontal="center" vertical="center" wrapText="1"/>
      <protection locked="0"/>
    </xf>
    <xf numFmtId="3" fontId="57" fillId="2" borderId="65" xfId="0" applyNumberFormat="1" applyFont="1" applyFill="1" applyBorder="1" applyAlignment="1" applyProtection="1">
      <alignment horizontal="center" vertical="center" wrapText="1"/>
      <protection locked="0"/>
    </xf>
    <xf numFmtId="0" fontId="50" fillId="2" borderId="0" xfId="0" quotePrefix="1" applyFont="1" applyFill="1" applyAlignment="1" applyProtection="1">
      <alignment horizontal="left" vertical="center" wrapText="1"/>
    </xf>
    <xf numFmtId="167" fontId="53" fillId="2" borderId="70" xfId="0" applyNumberFormat="1" applyFont="1" applyFill="1" applyBorder="1" applyAlignment="1" applyProtection="1">
      <alignment horizontal="center" vertical="center" wrapText="1"/>
      <protection locked="0"/>
    </xf>
    <xf numFmtId="0" fontId="140" fillId="2" borderId="0" xfId="0" applyFont="1" applyFill="1" applyAlignment="1" applyProtection="1">
      <alignment horizontal="right" vertical="center" wrapText="1"/>
    </xf>
    <xf numFmtId="0" fontId="45" fillId="2" borderId="0" xfId="0" applyFont="1" applyFill="1" applyAlignment="1" applyProtection="1">
      <alignment horizontal="center" vertical="center" wrapText="1"/>
    </xf>
    <xf numFmtId="0" fontId="10" fillId="2" borderId="0" xfId="0" applyFont="1" applyFill="1" applyAlignment="1" applyProtection="1">
      <alignment horizontal="center" vertical="center" wrapText="1"/>
    </xf>
    <xf numFmtId="0" fontId="25" fillId="2" borderId="70" xfId="0"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xf>
    <xf numFmtId="3" fontId="25" fillId="2" borderId="70" xfId="0" applyNumberFormat="1" applyFont="1" applyFill="1" applyBorder="1" applyAlignment="1" applyProtection="1">
      <alignment horizontal="center" vertical="center" wrapText="1"/>
      <protection locked="0"/>
    </xf>
    <xf numFmtId="167" fontId="25" fillId="2" borderId="70" xfId="0" applyNumberFormat="1" applyFont="1" applyFill="1" applyBorder="1" applyAlignment="1" applyProtection="1">
      <alignment horizontal="center" vertical="center" wrapText="1"/>
      <protection locked="0"/>
    </xf>
    <xf numFmtId="3" fontId="25" fillId="2" borderId="62" xfId="0" applyNumberFormat="1" applyFont="1" applyFill="1" applyBorder="1" applyAlignment="1" applyProtection="1">
      <alignment horizontal="center" vertical="center" wrapText="1"/>
      <protection locked="0"/>
    </xf>
    <xf numFmtId="3" fontId="25" fillId="2" borderId="72" xfId="0" applyNumberFormat="1" applyFont="1" applyFill="1" applyBorder="1" applyAlignment="1" applyProtection="1">
      <alignment horizontal="center" vertical="center" wrapText="1"/>
      <protection locked="0"/>
    </xf>
    <xf numFmtId="3" fontId="25" fillId="2" borderId="65" xfId="0" applyNumberFormat="1" applyFont="1" applyFill="1" applyBorder="1" applyAlignment="1" applyProtection="1">
      <alignment horizontal="center" vertical="center" wrapText="1"/>
      <protection locked="0"/>
    </xf>
    <xf numFmtId="3" fontId="48" fillId="2" borderId="71" xfId="0" applyNumberFormat="1" applyFont="1" applyFill="1" applyBorder="1" applyAlignment="1" applyProtection="1">
      <alignment horizontal="center" vertical="center" wrapText="1"/>
      <protection locked="0"/>
    </xf>
    <xf numFmtId="3" fontId="48" fillId="2" borderId="64" xfId="0" applyNumberFormat="1" applyFont="1" applyFill="1" applyBorder="1" applyAlignment="1" applyProtection="1">
      <alignment horizontal="center" vertical="center" wrapText="1"/>
      <protection locked="0"/>
    </xf>
    <xf numFmtId="3" fontId="25" fillId="2" borderId="71" xfId="0" applyNumberFormat="1" applyFont="1" applyFill="1" applyBorder="1" applyAlignment="1" applyProtection="1">
      <alignment horizontal="center" vertical="center" wrapText="1"/>
      <protection locked="0"/>
    </xf>
    <xf numFmtId="3" fontId="25" fillId="2" borderId="64" xfId="0" applyNumberFormat="1" applyFont="1" applyFill="1" applyBorder="1" applyAlignment="1" applyProtection="1">
      <alignment horizontal="center" vertical="center" wrapText="1"/>
      <protection locked="0"/>
    </xf>
    <xf numFmtId="0" fontId="31" fillId="9" borderId="0" xfId="0" applyFont="1" applyFill="1" applyAlignment="1" applyProtection="1">
      <alignment horizontal="center" vertical="center" wrapText="1"/>
    </xf>
    <xf numFmtId="0" fontId="34" fillId="2" borderId="31" xfId="0" applyFont="1" applyFill="1" applyBorder="1" applyAlignment="1" applyProtection="1">
      <alignment horizontal="center" vertical="center" wrapText="1"/>
    </xf>
    <xf numFmtId="0" fontId="34" fillId="2" borderId="26" xfId="0" applyFont="1" applyFill="1" applyBorder="1" applyAlignment="1" applyProtection="1">
      <alignment horizontal="center" vertical="center"/>
    </xf>
    <xf numFmtId="0" fontId="34" fillId="2" borderId="22" xfId="0" applyFont="1" applyFill="1" applyBorder="1" applyAlignment="1" applyProtection="1">
      <alignment horizontal="center" vertical="center"/>
    </xf>
    <xf numFmtId="0" fontId="27" fillId="2" borderId="0" xfId="0" applyFont="1" applyFill="1" applyAlignment="1" applyProtection="1">
      <alignment horizontal="center"/>
    </xf>
    <xf numFmtId="0" fontId="13" fillId="2" borderId="67" xfId="0" applyFont="1" applyFill="1" applyBorder="1" applyAlignment="1" applyProtection="1">
      <alignment horizontal="center" vertical="center"/>
    </xf>
    <xf numFmtId="0" fontId="38" fillId="2" borderId="63"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wrapText="1"/>
    </xf>
    <xf numFmtId="0" fontId="38" fillId="2" borderId="32" xfId="0" applyFont="1" applyFill="1" applyBorder="1" applyAlignment="1" applyProtection="1">
      <alignment horizontal="center"/>
    </xf>
    <xf numFmtId="0" fontId="57" fillId="2" borderId="32" xfId="35" applyFont="1" applyFill="1" applyBorder="1" applyAlignment="1">
      <alignment horizontal="center" vertical="center" wrapText="1"/>
    </xf>
    <xf numFmtId="0" fontId="38" fillId="2" borderId="32" xfId="0" applyFont="1" applyFill="1" applyBorder="1" applyAlignment="1" applyProtection="1">
      <alignment horizontal="center" vertical="center" wrapText="1"/>
    </xf>
    <xf numFmtId="0" fontId="38" fillId="2" borderId="62" xfId="0" applyFont="1" applyFill="1" applyBorder="1" applyAlignment="1" applyProtection="1">
      <alignment horizontal="center"/>
    </xf>
    <xf numFmtId="0" fontId="38" fillId="2" borderId="65" xfId="0" applyFont="1" applyFill="1" applyBorder="1" applyAlignment="1" applyProtection="1">
      <alignment horizontal="center"/>
    </xf>
    <xf numFmtId="0" fontId="38" fillId="2" borderId="62" xfId="0" applyFont="1" applyFill="1" applyBorder="1" applyAlignment="1" applyProtection="1">
      <alignment horizontal="center" vertical="center"/>
    </xf>
    <xf numFmtId="0" fontId="38" fillId="2" borderId="65" xfId="0" applyFont="1" applyFill="1" applyBorder="1" applyAlignment="1" applyProtection="1">
      <alignment horizontal="center" vertical="center"/>
    </xf>
    <xf numFmtId="0" fontId="27" fillId="2" borderId="0" xfId="0" applyFont="1" applyFill="1" applyBorder="1" applyAlignment="1" applyProtection="1">
      <alignment horizontal="center" vertical="center" wrapText="1"/>
    </xf>
    <xf numFmtId="3" fontId="48" fillId="0" borderId="70" xfId="0" applyNumberFormat="1" applyFont="1" applyFill="1" applyBorder="1" applyAlignment="1" applyProtection="1">
      <alignment horizontal="center" vertical="center" wrapText="1"/>
      <protection locked="0"/>
    </xf>
    <xf numFmtId="3" fontId="48" fillId="0" borderId="62" xfId="0" applyNumberFormat="1" applyFont="1" applyFill="1" applyBorder="1" applyAlignment="1" applyProtection="1">
      <alignment horizontal="center" vertical="center" wrapText="1"/>
      <protection locked="0"/>
    </xf>
    <xf numFmtId="3" fontId="48" fillId="0" borderId="65" xfId="0" applyNumberFormat="1" applyFont="1" applyFill="1" applyBorder="1" applyAlignment="1" applyProtection="1">
      <alignment horizontal="center" vertical="center" wrapText="1"/>
      <protection locked="0"/>
    </xf>
    <xf numFmtId="0" fontId="13" fillId="2" borderId="0" xfId="0" applyFont="1" applyFill="1" applyAlignment="1" applyProtection="1">
      <alignment horizontal="center" vertical="center" wrapText="1"/>
    </xf>
    <xf numFmtId="0" fontId="140" fillId="2" borderId="0" xfId="0" applyFont="1" applyFill="1" applyAlignment="1" applyProtection="1">
      <alignment horizontal="right" vertical="center" wrapText="1"/>
      <protection locked="0"/>
    </xf>
    <xf numFmtId="0" fontId="0" fillId="2" borderId="0" xfId="0" applyFill="1" applyAlignment="1" applyProtection="1">
      <alignment horizontal="center" vertical="center" wrapText="1"/>
    </xf>
    <xf numFmtId="0" fontId="149" fillId="2" borderId="0" xfId="0" applyFont="1" applyFill="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xf>
    <xf numFmtId="0" fontId="55" fillId="2" borderId="0" xfId="0" applyFont="1" applyFill="1" applyAlignment="1" applyProtection="1">
      <alignment horizontal="left" vertical="center" wrapText="1"/>
    </xf>
    <xf numFmtId="0" fontId="78" fillId="2" borderId="0" xfId="0" applyFont="1" applyFill="1" applyAlignment="1" applyProtection="1">
      <alignment horizontal="right" vertical="center" wrapText="1"/>
      <protection locked="0"/>
    </xf>
    <xf numFmtId="0" fontId="124" fillId="2" borderId="0" xfId="0" applyFont="1" applyFill="1" applyAlignment="1" applyProtection="1">
      <alignment horizontal="center" vertical="center" wrapText="1"/>
      <protection locked="0"/>
    </xf>
    <xf numFmtId="1"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1" fontId="106" fillId="2" borderId="0" xfId="0" applyNumberFormat="1" applyFont="1" applyFill="1" applyAlignment="1" applyProtection="1">
      <alignment horizontal="center" vertical="center" wrapText="1"/>
      <protection locked="0"/>
    </xf>
    <xf numFmtId="3" fontId="48" fillId="2" borderId="65" xfId="0" applyNumberFormat="1" applyFont="1" applyFill="1" applyBorder="1" applyAlignment="1" applyProtection="1">
      <alignment horizontal="center" vertical="center" wrapText="1"/>
      <protection locked="0"/>
    </xf>
    <xf numFmtId="176" fontId="47" fillId="0" borderId="0" xfId="1" applyNumberFormat="1" applyFont="1" applyFill="1" applyAlignment="1" applyProtection="1">
      <alignment horizontal="center" vertical="center" wrapText="1"/>
      <protection locked="0"/>
    </xf>
    <xf numFmtId="3" fontId="57" fillId="6" borderId="70" xfId="0" applyNumberFormat="1" applyFont="1" applyFill="1" applyBorder="1" applyAlignment="1" applyProtection="1">
      <alignment horizontal="center" vertical="center" wrapText="1"/>
      <protection locked="0"/>
    </xf>
    <xf numFmtId="1" fontId="139" fillId="2" borderId="0" xfId="0" applyNumberFormat="1" applyFont="1" applyFill="1" applyAlignment="1" applyProtection="1">
      <alignment horizontal="center" vertical="center" wrapText="1"/>
      <protection locked="0"/>
    </xf>
    <xf numFmtId="0" fontId="139"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166" fontId="57" fillId="2" borderId="70" xfId="0" applyNumberFormat="1" applyFont="1" applyFill="1" applyBorder="1" applyAlignment="1" applyProtection="1">
      <alignment horizontal="center" vertical="center" wrapText="1"/>
      <protection locked="0"/>
    </xf>
    <xf numFmtId="3" fontId="48" fillId="2" borderId="39" xfId="0" applyNumberFormat="1" applyFont="1" applyFill="1" applyBorder="1" applyAlignment="1" applyProtection="1">
      <alignment horizontal="center" vertical="center" wrapText="1"/>
      <protection locked="0"/>
    </xf>
    <xf numFmtId="3" fontId="48" fillId="2" borderId="40" xfId="0" applyNumberFormat="1" applyFont="1" applyFill="1" applyBorder="1" applyAlignment="1" applyProtection="1">
      <alignment horizontal="center" vertical="center" wrapText="1"/>
      <protection locked="0"/>
    </xf>
    <xf numFmtId="3" fontId="48" fillId="2" borderId="41" xfId="0" applyNumberFormat="1" applyFont="1" applyFill="1" applyBorder="1" applyAlignment="1" applyProtection="1">
      <alignment horizontal="center" vertical="center" wrapText="1"/>
      <protection locked="0"/>
    </xf>
    <xf numFmtId="3" fontId="48" fillId="2" borderId="34" xfId="0" applyNumberFormat="1" applyFont="1" applyFill="1" applyBorder="1" applyAlignment="1" applyProtection="1">
      <alignment horizontal="center" vertical="center" wrapText="1"/>
      <protection locked="0"/>
    </xf>
    <xf numFmtId="3" fontId="48" fillId="2" borderId="20" xfId="0" applyNumberFormat="1" applyFont="1" applyFill="1" applyBorder="1" applyAlignment="1" applyProtection="1">
      <alignment horizontal="center" vertical="center" wrapText="1"/>
      <protection locked="0"/>
    </xf>
    <xf numFmtId="2" fontId="48" fillId="2" borderId="13" xfId="0" applyNumberFormat="1" applyFont="1" applyFill="1" applyBorder="1" applyAlignment="1" applyProtection="1">
      <alignment horizontal="center" vertical="center" wrapText="1"/>
      <protection locked="0"/>
    </xf>
    <xf numFmtId="2" fontId="48" fillId="2" borderId="16" xfId="0" applyNumberFormat="1" applyFont="1" applyFill="1" applyBorder="1" applyAlignment="1" applyProtection="1">
      <alignment horizontal="center" vertical="center" wrapText="1"/>
      <protection locked="0"/>
    </xf>
    <xf numFmtId="1" fontId="71" fillId="2" borderId="0" xfId="0" applyNumberFormat="1" applyFont="1" applyFill="1" applyBorder="1" applyAlignment="1" applyProtection="1">
      <alignment horizontal="left" vertical="top" wrapText="1"/>
      <protection locked="0"/>
    </xf>
    <xf numFmtId="0" fontId="53" fillId="2" borderId="0" xfId="0" applyFont="1" applyFill="1" applyAlignment="1" applyProtection="1">
      <alignment horizontal="left"/>
      <protection locked="0"/>
    </xf>
    <xf numFmtId="3" fontId="48" fillId="2" borderId="2" xfId="0" applyNumberFormat="1" applyFont="1" applyFill="1" applyBorder="1" applyAlignment="1" applyProtection="1">
      <alignment horizontal="center" vertical="center" wrapText="1"/>
      <protection locked="0"/>
    </xf>
    <xf numFmtId="3" fontId="48" fillId="2" borderId="13" xfId="0" applyNumberFormat="1" applyFont="1" applyFill="1" applyBorder="1" applyAlignment="1" applyProtection="1">
      <alignment horizontal="center" vertical="center" wrapText="1"/>
      <protection locked="0"/>
    </xf>
    <xf numFmtId="3" fontId="48" fillId="2" borderId="16" xfId="0" applyNumberFormat="1" applyFont="1" applyFill="1" applyBorder="1" applyAlignment="1" applyProtection="1">
      <alignment horizontal="center" vertical="center" wrapText="1"/>
      <protection locked="0"/>
    </xf>
    <xf numFmtId="0" fontId="52" fillId="2" borderId="0" xfId="0" applyFont="1" applyFill="1" applyAlignment="1" applyProtection="1">
      <alignment horizontal="left" vertical="center"/>
      <protection locked="0"/>
    </xf>
    <xf numFmtId="0" fontId="48" fillId="2" borderId="2" xfId="0" applyFont="1" applyFill="1" applyBorder="1" applyAlignment="1" applyProtection="1">
      <alignment horizontal="center" vertical="center" wrapText="1"/>
      <protection locked="0"/>
    </xf>
    <xf numFmtId="1" fontId="55" fillId="2"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52" fillId="2" borderId="0" xfId="0" applyFont="1" applyFill="1" applyAlignment="1" applyProtection="1">
      <alignment horizontal="center" vertical="center" wrapText="1"/>
      <protection locked="0"/>
    </xf>
    <xf numFmtId="0" fontId="52" fillId="2" borderId="0" xfId="0" applyFont="1" applyFill="1" applyAlignment="1" applyProtection="1">
      <alignment horizontal="center" vertical="center"/>
      <protection locked="0"/>
    </xf>
    <xf numFmtId="167" fontId="48" fillId="2" borderId="2" xfId="0" applyNumberFormat="1" applyFont="1" applyFill="1" applyBorder="1" applyAlignment="1" applyProtection="1">
      <alignment horizontal="center" vertical="center" wrapText="1"/>
      <protection locked="0"/>
    </xf>
    <xf numFmtId="2" fontId="48" fillId="2" borderId="12" xfId="0" applyNumberFormat="1" applyFont="1" applyFill="1" applyBorder="1" applyAlignment="1" applyProtection="1">
      <alignment horizontal="center" vertical="center" wrapText="1"/>
      <protection locked="0"/>
    </xf>
    <xf numFmtId="2" fontId="48" fillId="2" borderId="35" xfId="0" applyNumberFormat="1" applyFont="1" applyFill="1" applyBorder="1" applyAlignment="1" applyProtection="1">
      <alignment horizontal="center" vertical="center" wrapText="1"/>
      <protection locked="0"/>
    </xf>
    <xf numFmtId="2" fontId="48" fillId="2" borderId="18" xfId="0" applyNumberFormat="1" applyFont="1" applyFill="1" applyBorder="1" applyAlignment="1" applyProtection="1">
      <alignment horizontal="center" vertical="center" wrapText="1"/>
      <protection locked="0"/>
    </xf>
    <xf numFmtId="3" fontId="48" fillId="2" borderId="66" xfId="0" applyNumberFormat="1" applyFont="1" applyFill="1" applyBorder="1" applyAlignment="1" applyProtection="1">
      <alignment horizontal="center" vertical="center" wrapText="1"/>
      <protection locked="0"/>
    </xf>
    <xf numFmtId="1" fontId="55" fillId="2" borderId="0" xfId="0" applyNumberFormat="1" applyFont="1" applyFill="1" applyAlignment="1" applyProtection="1">
      <alignment horizontal="left" vertical="center" wrapText="1"/>
    </xf>
    <xf numFmtId="1" fontId="48" fillId="2" borderId="70" xfId="0" applyNumberFormat="1" applyFont="1" applyFill="1" applyBorder="1" applyAlignment="1" applyProtection="1">
      <alignment horizontal="center" vertical="center" wrapText="1"/>
      <protection locked="0"/>
    </xf>
    <xf numFmtId="1" fontId="78" fillId="2" borderId="0" xfId="0" applyNumberFormat="1" applyFont="1" applyFill="1" applyAlignment="1" applyProtection="1">
      <alignment horizontal="right" vertical="center" wrapText="1"/>
    </xf>
    <xf numFmtId="169" fontId="80" fillId="2" borderId="0" xfId="0" applyNumberFormat="1" applyFont="1" applyFill="1" applyAlignment="1" applyProtection="1">
      <alignment horizontal="center" vertical="center" wrapText="1"/>
    </xf>
    <xf numFmtId="0" fontId="48" fillId="0" borderId="70" xfId="0" applyFont="1" applyFill="1" applyBorder="1" applyAlignment="1" applyProtection="1">
      <alignment horizontal="center" vertical="center" wrapText="1"/>
      <protection locked="0"/>
    </xf>
    <xf numFmtId="169" fontId="139" fillId="2" borderId="0" xfId="0" applyNumberFormat="1" applyFont="1" applyFill="1" applyAlignment="1" applyProtection="1">
      <alignment horizontal="center" vertical="center" wrapText="1"/>
    </xf>
    <xf numFmtId="0" fontId="59" fillId="2" borderId="0" xfId="0" applyFont="1" applyFill="1" applyAlignment="1" applyProtection="1">
      <alignment horizontal="right" vertical="center" wrapText="1"/>
    </xf>
    <xf numFmtId="1" fontId="57" fillId="2" borderId="70" xfId="0" applyNumberFormat="1" applyFont="1" applyFill="1" applyBorder="1" applyAlignment="1" applyProtection="1">
      <alignment horizontal="center" vertical="center" wrapText="1"/>
      <protection locked="0"/>
    </xf>
    <xf numFmtId="0" fontId="9" fillId="2" borderId="0" xfId="0" applyFont="1" applyFill="1" applyAlignment="1" applyProtection="1">
      <alignment horizontal="center" vertical="center" wrapText="1"/>
    </xf>
    <xf numFmtId="1" fontId="140" fillId="2" borderId="0" xfId="0" applyNumberFormat="1" applyFont="1" applyFill="1" applyAlignment="1" applyProtection="1">
      <alignment horizontal="right" vertical="center" wrapText="1"/>
    </xf>
    <xf numFmtId="1" fontId="125" fillId="2" borderId="0" xfId="0" applyNumberFormat="1" applyFont="1" applyFill="1" applyBorder="1" applyAlignment="1" applyProtection="1">
      <alignment horizontal="center" vertical="center" wrapText="1"/>
      <protection locked="0"/>
    </xf>
    <xf numFmtId="1" fontId="125" fillId="2" borderId="0" xfId="0" applyNumberFormat="1" applyFont="1" applyFill="1" applyAlignment="1" applyProtection="1">
      <alignment horizontal="center" vertical="center" wrapText="1"/>
      <protection locked="0"/>
    </xf>
    <xf numFmtId="1" fontId="25" fillId="2" borderId="70" xfId="0" applyNumberFormat="1" applyFont="1" applyFill="1" applyBorder="1" applyAlignment="1" applyProtection="1">
      <alignment horizontal="center" vertical="center" wrapText="1"/>
      <protection locked="0"/>
    </xf>
    <xf numFmtId="169" fontId="13" fillId="2" borderId="0" xfId="0" applyNumberFormat="1" applyFont="1" applyFill="1" applyAlignment="1" applyProtection="1">
      <alignment horizontal="center" vertical="center" wrapText="1"/>
    </xf>
    <xf numFmtId="169" fontId="27" fillId="2" borderId="0" xfId="0" applyNumberFormat="1" applyFont="1" applyFill="1" applyAlignment="1" applyProtection="1">
      <alignment horizontal="center" vertical="center" wrapText="1"/>
    </xf>
    <xf numFmtId="1" fontId="54" fillId="2" borderId="0" xfId="0" applyNumberFormat="1" applyFont="1" applyFill="1" applyAlignment="1" applyProtection="1">
      <alignment horizontal="left" vertical="center" wrapText="1"/>
    </xf>
    <xf numFmtId="0" fontId="28" fillId="2" borderId="31" xfId="0" applyFont="1" applyFill="1" applyBorder="1" applyAlignment="1" applyProtection="1">
      <alignment horizontal="center" vertical="center" wrapText="1"/>
    </xf>
    <xf numFmtId="0" fontId="28" fillId="2" borderId="22" xfId="0" applyFont="1" applyFill="1" applyBorder="1" applyAlignment="1" applyProtection="1">
      <alignment horizontal="center" vertical="center" wrapText="1"/>
    </xf>
    <xf numFmtId="0" fontId="27" fillId="2" borderId="0" xfId="0" applyFont="1" applyFill="1" applyAlignment="1" applyProtection="1">
      <alignment horizontal="center" vertical="center"/>
    </xf>
    <xf numFmtId="0" fontId="28" fillId="2" borderId="21" xfId="0" applyFont="1" applyFill="1" applyBorder="1" applyAlignment="1" applyProtection="1">
      <alignment horizontal="center" vertical="center" wrapText="1"/>
    </xf>
    <xf numFmtId="0" fontId="28" fillId="2" borderId="26" xfId="0" applyFont="1" applyFill="1" applyBorder="1" applyAlignment="1" applyProtection="1">
      <alignment horizontal="center" vertical="center" wrapText="1"/>
    </xf>
    <xf numFmtId="0" fontId="28" fillId="2" borderId="21" xfId="0" applyFont="1" applyFill="1" applyBorder="1" applyAlignment="1" applyProtection="1">
      <alignment horizontal="center" wrapText="1"/>
    </xf>
    <xf numFmtId="0" fontId="28" fillId="2" borderId="21" xfId="0" applyFont="1" applyFill="1" applyBorder="1" applyAlignment="1" applyProtection="1">
      <alignment horizontal="center"/>
    </xf>
    <xf numFmtId="0" fontId="38" fillId="8" borderId="50" xfId="0" applyFont="1" applyFill="1" applyBorder="1" applyAlignment="1" applyProtection="1">
      <alignment horizontal="left" vertical="center" wrapText="1"/>
    </xf>
    <xf numFmtId="0" fontId="38" fillId="8" borderId="51" xfId="0" applyFont="1" applyFill="1" applyBorder="1" applyAlignment="1" applyProtection="1">
      <alignment horizontal="left" vertical="center" wrapText="1"/>
    </xf>
    <xf numFmtId="0" fontId="38" fillId="8" borderId="52" xfId="0" applyFont="1" applyFill="1" applyBorder="1" applyAlignment="1" applyProtection="1">
      <alignment horizontal="left" vertical="center" wrapText="1"/>
    </xf>
    <xf numFmtId="0" fontId="38" fillId="8" borderId="53" xfId="0" applyFont="1" applyFill="1" applyBorder="1" applyAlignment="1" applyProtection="1">
      <alignment horizontal="left" vertical="center" wrapText="1"/>
    </xf>
    <xf numFmtId="0" fontId="11" fillId="2" borderId="59" xfId="0" applyFont="1" applyFill="1" applyBorder="1" applyAlignment="1" applyProtection="1">
      <alignment horizontal="center" vertical="center" wrapText="1"/>
    </xf>
    <xf numFmtId="0" fontId="11" fillId="2" borderId="61" xfId="0" applyFont="1" applyFill="1" applyBorder="1" applyAlignment="1" applyProtection="1">
      <alignment horizontal="center" vertical="center" wrapText="1"/>
    </xf>
    <xf numFmtId="0" fontId="11" fillId="2" borderId="60" xfId="0" applyFont="1" applyFill="1" applyBorder="1" applyAlignment="1" applyProtection="1">
      <alignment horizontal="center" vertical="center" wrapText="1"/>
    </xf>
    <xf numFmtId="0" fontId="11" fillId="2" borderId="59" xfId="0" applyFont="1" applyFill="1" applyBorder="1" applyAlignment="1" applyProtection="1">
      <alignment horizontal="center" vertical="center"/>
    </xf>
    <xf numFmtId="0" fontId="11" fillId="2" borderId="61" xfId="0" applyFont="1" applyFill="1" applyBorder="1" applyAlignment="1" applyProtection="1">
      <alignment horizontal="center" vertical="center"/>
    </xf>
    <xf numFmtId="0" fontId="11" fillId="2" borderId="60" xfId="0" applyFont="1" applyFill="1" applyBorder="1" applyAlignment="1" applyProtection="1">
      <alignment horizontal="center" vertical="center"/>
    </xf>
    <xf numFmtId="0" fontId="26" fillId="2" borderId="59" xfId="0" applyFont="1" applyFill="1" applyBorder="1" applyAlignment="1" applyProtection="1">
      <alignment horizontal="center" vertical="center" wrapText="1"/>
    </xf>
    <xf numFmtId="0" fontId="26" fillId="2" borderId="60" xfId="0" applyFont="1" applyFill="1" applyBorder="1" applyAlignment="1" applyProtection="1">
      <alignment horizontal="center" vertical="center" wrapText="1"/>
    </xf>
    <xf numFmtId="0" fontId="26" fillId="2" borderId="61" xfId="0" applyFont="1" applyFill="1" applyBorder="1" applyAlignment="1" applyProtection="1">
      <alignment horizontal="center" vertical="center" wrapText="1"/>
    </xf>
    <xf numFmtId="176" fontId="38" fillId="8" borderId="52" xfId="1" applyNumberFormat="1" applyFont="1" applyFill="1" applyBorder="1" applyAlignment="1" applyProtection="1">
      <alignment horizontal="left" vertical="center" wrapText="1"/>
    </xf>
    <xf numFmtId="176" fontId="38" fillId="8" borderId="53" xfId="1" applyNumberFormat="1" applyFont="1" applyFill="1" applyBorder="1" applyAlignment="1" applyProtection="1">
      <alignment horizontal="left" vertical="center" wrapText="1"/>
    </xf>
    <xf numFmtId="176" fontId="38" fillId="8" borderId="30" xfId="1" applyNumberFormat="1" applyFont="1" applyFill="1" applyBorder="1" applyAlignment="1" applyProtection="1">
      <alignment horizontal="left" vertical="center" wrapText="1"/>
    </xf>
    <xf numFmtId="0" fontId="27" fillId="2" borderId="71" xfId="0" applyFont="1" applyFill="1" applyBorder="1" applyAlignment="1" applyProtection="1">
      <alignment horizontal="center" vertical="center"/>
    </xf>
    <xf numFmtId="0" fontId="27" fillId="2" borderId="64" xfId="0" applyFont="1" applyFill="1" applyBorder="1" applyAlignment="1" applyProtection="1">
      <alignment horizontal="center" vertical="center"/>
    </xf>
    <xf numFmtId="0" fontId="11" fillId="2" borderId="71" xfId="0" applyFont="1" applyFill="1" applyBorder="1" applyAlignment="1" applyProtection="1">
      <alignment horizontal="center" vertical="center" wrapText="1"/>
    </xf>
    <xf numFmtId="0" fontId="11" fillId="2" borderId="64" xfId="0" applyFont="1" applyFill="1" applyBorder="1" applyAlignment="1" applyProtection="1">
      <alignment horizontal="center" vertical="center" wrapText="1"/>
    </xf>
    <xf numFmtId="0" fontId="27" fillId="2" borderId="0" xfId="0" applyFont="1" applyFill="1" applyAlignment="1" applyProtection="1">
      <alignment horizontal="center" vertical="center" wrapText="1"/>
    </xf>
    <xf numFmtId="0" fontId="27" fillId="2" borderId="70" xfId="0" applyFont="1" applyFill="1" applyBorder="1" applyAlignment="1" applyProtection="1">
      <alignment horizontal="center" vertical="center" wrapText="1"/>
    </xf>
  </cellXfs>
  <cellStyles count="44">
    <cellStyle name="Comma" xfId="1" builtinId="3"/>
    <cellStyle name="Comma [0]" xfId="39" builtinId="6"/>
    <cellStyle name="Comma [0] 2" xfId="41"/>
    <cellStyle name="Comma 10" xfId="30"/>
    <cellStyle name="Comma 10 4" xfId="27"/>
    <cellStyle name="Comma 100" xfId="31"/>
    <cellStyle name="Comma 11" xfId="12"/>
    <cellStyle name="Comma 2" xfId="9"/>
    <cellStyle name="Comma 2 10" xfId="28"/>
    <cellStyle name="Comma 2_bao cao cua UBND tinh quy II - 2011" xfId="10"/>
    <cellStyle name="Comma 3" xfId="15"/>
    <cellStyle name="Comma 3 2 2" xfId="26"/>
    <cellStyle name="Comma 3 2 3" xfId="8"/>
    <cellStyle name="Comma 3 2 3 2" xfId="19"/>
    <cellStyle name="Comma 4" xfId="20"/>
    <cellStyle name="Comma 4 2 2" xfId="29"/>
    <cellStyle name="Comma 4 5" xfId="33"/>
    <cellStyle name="Comma 5" xfId="5"/>
    <cellStyle name="Comma 6 2" xfId="3"/>
    <cellStyle name="Comma 6 2 2" xfId="16"/>
    <cellStyle name="Comma 8" xfId="7"/>
    <cellStyle name="Comma 8 2" xfId="18"/>
    <cellStyle name="Normal" xfId="0" builtinId="0"/>
    <cellStyle name="Normal 10" xfId="22"/>
    <cellStyle name="Normal 10 2" xfId="23"/>
    <cellStyle name="Normal 10 5" xfId="24"/>
    <cellStyle name="Normal 13 2" xfId="32"/>
    <cellStyle name="Normal 17" xfId="38"/>
    <cellStyle name="Normal 2" xfId="14"/>
    <cellStyle name="Normal 2 2_BÁO CÁO HIV-lũy tích năm 2024" xfId="43"/>
    <cellStyle name="Normal 3" xfId="35"/>
    <cellStyle name="Normal 4" xfId="40"/>
    <cellStyle name="Normal 41" xfId="6"/>
    <cellStyle name="Normal 41 2" xfId="17"/>
    <cellStyle name="Normal 51" xfId="42"/>
    <cellStyle name="Normal 53" xfId="11"/>
    <cellStyle name="Normal 8" xfId="37"/>
    <cellStyle name="Normal 9" xfId="34"/>
    <cellStyle name="Normal 9 2" xfId="36"/>
    <cellStyle name="Normal_CHI TIEU KH 2007 NGAY 7_12" xfId="13"/>
    <cellStyle name="Normal_Chi tieu KH 2008" xfId="2"/>
    <cellStyle name="Normal_Sheet1" xfId="4"/>
    <cellStyle name="Percent" xfId="25" builtinId="5"/>
    <cellStyle name="Percent 2" xfId="21"/>
  </cellStyles>
  <dxfs count="0"/>
  <tableStyles count="0" defaultTableStyle="TableStyleMedium9"/>
  <colors>
    <mruColors>
      <color rgb="FF0000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671" Type="http://schemas.openxmlformats.org/officeDocument/2006/relationships/worksheet" Target="worksheets/sheet671.xml"/><Relationship Id="rId769" Type="http://schemas.openxmlformats.org/officeDocument/2006/relationships/worksheet" Target="worksheets/sheet769.xml"/><Relationship Id="rId976" Type="http://schemas.openxmlformats.org/officeDocument/2006/relationships/worksheet" Target="worksheets/sheet976.xml"/><Relationship Id="rId21" Type="http://schemas.openxmlformats.org/officeDocument/2006/relationships/worksheet" Target="worksheets/sheet21.xml"/><Relationship Id="rId324" Type="http://schemas.openxmlformats.org/officeDocument/2006/relationships/worksheet" Target="worksheets/sheet324.xml"/><Relationship Id="rId531" Type="http://schemas.openxmlformats.org/officeDocument/2006/relationships/worksheet" Target="worksheets/sheet531.xml"/><Relationship Id="rId629" Type="http://schemas.openxmlformats.org/officeDocument/2006/relationships/worksheet" Target="worksheets/sheet629.xml"/><Relationship Id="rId1161" Type="http://schemas.openxmlformats.org/officeDocument/2006/relationships/worksheet" Target="worksheets/sheet1161.xml"/><Relationship Id="rId170" Type="http://schemas.openxmlformats.org/officeDocument/2006/relationships/worksheet" Target="worksheets/sheet170.xml"/><Relationship Id="rId836" Type="http://schemas.openxmlformats.org/officeDocument/2006/relationships/worksheet" Target="worksheets/sheet836.xml"/><Relationship Id="rId1021" Type="http://schemas.openxmlformats.org/officeDocument/2006/relationships/worksheet" Target="worksheets/sheet1021.xml"/><Relationship Id="rId1119" Type="http://schemas.openxmlformats.org/officeDocument/2006/relationships/worksheet" Target="worksheets/sheet1119.xml"/><Relationship Id="rId268" Type="http://schemas.openxmlformats.org/officeDocument/2006/relationships/worksheet" Target="worksheets/sheet268.xml"/><Relationship Id="rId475" Type="http://schemas.openxmlformats.org/officeDocument/2006/relationships/worksheet" Target="worksheets/sheet475.xml"/><Relationship Id="rId682" Type="http://schemas.openxmlformats.org/officeDocument/2006/relationships/worksheet" Target="worksheets/sheet682.xml"/><Relationship Id="rId903" Type="http://schemas.openxmlformats.org/officeDocument/2006/relationships/worksheet" Target="worksheets/sheet903.xml"/><Relationship Id="rId32" Type="http://schemas.openxmlformats.org/officeDocument/2006/relationships/worksheet" Target="worksheets/sheet3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987" Type="http://schemas.openxmlformats.org/officeDocument/2006/relationships/worksheet" Target="worksheets/sheet987.xml"/><Relationship Id="rId1172" Type="http://schemas.openxmlformats.org/officeDocument/2006/relationships/sharedStrings" Target="sharedStrings.xml"/><Relationship Id="rId181" Type="http://schemas.openxmlformats.org/officeDocument/2006/relationships/worksheet" Target="worksheets/sheet181.xml"/><Relationship Id="rId402" Type="http://schemas.openxmlformats.org/officeDocument/2006/relationships/worksheet" Target="worksheets/sheet402.xml"/><Relationship Id="rId847" Type="http://schemas.openxmlformats.org/officeDocument/2006/relationships/worksheet" Target="worksheets/sheet847.xml"/><Relationship Id="rId1032" Type="http://schemas.openxmlformats.org/officeDocument/2006/relationships/worksheet" Target="worksheets/sheet1032.xml"/><Relationship Id="rId279" Type="http://schemas.openxmlformats.org/officeDocument/2006/relationships/worksheet" Target="worksheets/sheet279.xml"/><Relationship Id="rId486" Type="http://schemas.openxmlformats.org/officeDocument/2006/relationships/worksheet" Target="worksheets/sheet486.xml"/><Relationship Id="rId693" Type="http://schemas.openxmlformats.org/officeDocument/2006/relationships/worksheet" Target="worksheets/sheet693.xml"/><Relationship Id="rId707" Type="http://schemas.openxmlformats.org/officeDocument/2006/relationships/worksheet" Target="worksheets/sheet707.xml"/><Relationship Id="rId914" Type="http://schemas.openxmlformats.org/officeDocument/2006/relationships/worksheet" Target="worksheets/sheet914.xml"/><Relationship Id="rId43" Type="http://schemas.openxmlformats.org/officeDocument/2006/relationships/worksheet" Target="worksheets/sheet43.xml"/><Relationship Id="rId139" Type="http://schemas.openxmlformats.org/officeDocument/2006/relationships/worksheet" Target="worksheets/sheet139.xml"/><Relationship Id="rId346" Type="http://schemas.openxmlformats.org/officeDocument/2006/relationships/worksheet" Target="worksheets/sheet346.xml"/><Relationship Id="rId553" Type="http://schemas.openxmlformats.org/officeDocument/2006/relationships/worksheet" Target="worksheets/sheet553.xml"/><Relationship Id="rId760" Type="http://schemas.openxmlformats.org/officeDocument/2006/relationships/worksheet" Target="worksheets/sheet760.xml"/><Relationship Id="rId998" Type="http://schemas.openxmlformats.org/officeDocument/2006/relationships/worksheet" Target="worksheets/sheet998.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858" Type="http://schemas.openxmlformats.org/officeDocument/2006/relationships/worksheet" Target="worksheets/sheet858.xml"/><Relationship Id="rId1043" Type="http://schemas.openxmlformats.org/officeDocument/2006/relationships/worksheet" Target="worksheets/sheet1043.xml"/><Relationship Id="rId497" Type="http://schemas.openxmlformats.org/officeDocument/2006/relationships/worksheet" Target="worksheets/sheet497.xml"/><Relationship Id="rId620" Type="http://schemas.openxmlformats.org/officeDocument/2006/relationships/worksheet" Target="worksheets/sheet620.xml"/><Relationship Id="rId718" Type="http://schemas.openxmlformats.org/officeDocument/2006/relationships/worksheet" Target="worksheets/sheet718.xml"/><Relationship Id="rId925" Type="http://schemas.openxmlformats.org/officeDocument/2006/relationships/worksheet" Target="worksheets/sheet925.xml"/><Relationship Id="rId357" Type="http://schemas.openxmlformats.org/officeDocument/2006/relationships/worksheet" Target="worksheets/sheet357.xml"/><Relationship Id="rId1110" Type="http://schemas.openxmlformats.org/officeDocument/2006/relationships/worksheet" Target="worksheets/sheet1110.xml"/><Relationship Id="rId54" Type="http://schemas.openxmlformats.org/officeDocument/2006/relationships/worksheet" Target="worksheets/sheet54.xml"/><Relationship Id="rId217" Type="http://schemas.openxmlformats.org/officeDocument/2006/relationships/worksheet" Target="worksheets/sheet217.xml"/><Relationship Id="rId564" Type="http://schemas.openxmlformats.org/officeDocument/2006/relationships/worksheet" Target="worksheets/sheet564.xml"/><Relationship Id="rId771" Type="http://schemas.openxmlformats.org/officeDocument/2006/relationships/worksheet" Target="worksheets/sheet771.xml"/><Relationship Id="rId869" Type="http://schemas.openxmlformats.org/officeDocument/2006/relationships/worksheet" Target="worksheets/sheet869.xml"/><Relationship Id="rId424" Type="http://schemas.openxmlformats.org/officeDocument/2006/relationships/worksheet" Target="worksheets/sheet424.xml"/><Relationship Id="rId631" Type="http://schemas.openxmlformats.org/officeDocument/2006/relationships/worksheet" Target="worksheets/sheet631.xml"/><Relationship Id="rId729" Type="http://schemas.openxmlformats.org/officeDocument/2006/relationships/worksheet" Target="worksheets/sheet729.xml"/><Relationship Id="rId1054" Type="http://schemas.openxmlformats.org/officeDocument/2006/relationships/worksheet" Target="worksheets/sheet1054.xml"/><Relationship Id="rId270" Type="http://schemas.openxmlformats.org/officeDocument/2006/relationships/worksheet" Target="worksheets/sheet270.xml"/><Relationship Id="rId936" Type="http://schemas.openxmlformats.org/officeDocument/2006/relationships/worksheet" Target="worksheets/sheet936.xml"/><Relationship Id="rId1121" Type="http://schemas.openxmlformats.org/officeDocument/2006/relationships/worksheet" Target="worksheets/sheet1121.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575" Type="http://schemas.openxmlformats.org/officeDocument/2006/relationships/worksheet" Target="worksheets/sheet575.xml"/><Relationship Id="rId782" Type="http://schemas.openxmlformats.org/officeDocument/2006/relationships/worksheet" Target="worksheets/sheet782.xml"/><Relationship Id="rId228" Type="http://schemas.openxmlformats.org/officeDocument/2006/relationships/worksheet" Target="worksheets/sheet228.xml"/><Relationship Id="rId435" Type="http://schemas.openxmlformats.org/officeDocument/2006/relationships/worksheet" Target="worksheets/sheet435.xml"/><Relationship Id="rId642" Type="http://schemas.openxmlformats.org/officeDocument/2006/relationships/worksheet" Target="worksheets/sheet642.xml"/><Relationship Id="rId1065" Type="http://schemas.openxmlformats.org/officeDocument/2006/relationships/worksheet" Target="worksheets/sheet1065.xml"/><Relationship Id="rId281" Type="http://schemas.openxmlformats.org/officeDocument/2006/relationships/worksheet" Target="worksheets/sheet281.xml"/><Relationship Id="rId502" Type="http://schemas.openxmlformats.org/officeDocument/2006/relationships/worksheet" Target="worksheets/sheet502.xml"/><Relationship Id="rId947" Type="http://schemas.openxmlformats.org/officeDocument/2006/relationships/worksheet" Target="worksheets/sheet947.xml"/><Relationship Id="rId1132" Type="http://schemas.openxmlformats.org/officeDocument/2006/relationships/worksheet" Target="worksheets/sheet1132.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86" Type="http://schemas.openxmlformats.org/officeDocument/2006/relationships/worksheet" Target="worksheets/sheet586.xml"/><Relationship Id="rId793" Type="http://schemas.openxmlformats.org/officeDocument/2006/relationships/worksheet" Target="worksheets/sheet793.xml"/><Relationship Id="rId807" Type="http://schemas.openxmlformats.org/officeDocument/2006/relationships/worksheet" Target="worksheets/sheet807.xml"/><Relationship Id="rId7" Type="http://schemas.openxmlformats.org/officeDocument/2006/relationships/worksheet" Target="worksheets/sheet7.xml"/><Relationship Id="rId239" Type="http://schemas.openxmlformats.org/officeDocument/2006/relationships/worksheet" Target="worksheets/sheet239.xml"/><Relationship Id="rId446" Type="http://schemas.openxmlformats.org/officeDocument/2006/relationships/worksheet" Target="worksheets/sheet446.xml"/><Relationship Id="rId653" Type="http://schemas.openxmlformats.org/officeDocument/2006/relationships/worksheet" Target="worksheets/sheet653.xml"/><Relationship Id="rId1076" Type="http://schemas.openxmlformats.org/officeDocument/2006/relationships/worksheet" Target="worksheets/sheet1076.xml"/><Relationship Id="rId292" Type="http://schemas.openxmlformats.org/officeDocument/2006/relationships/worksheet" Target="worksheets/sheet292.xml"/><Relationship Id="rId306" Type="http://schemas.openxmlformats.org/officeDocument/2006/relationships/worksheet" Target="worksheets/sheet306.xml"/><Relationship Id="rId860" Type="http://schemas.openxmlformats.org/officeDocument/2006/relationships/worksheet" Target="worksheets/sheet860.xml"/><Relationship Id="rId958" Type="http://schemas.openxmlformats.org/officeDocument/2006/relationships/worksheet" Target="worksheets/sheet958.xml"/><Relationship Id="rId1143" Type="http://schemas.openxmlformats.org/officeDocument/2006/relationships/worksheet" Target="worksheets/sheet1143.xml"/><Relationship Id="rId87" Type="http://schemas.openxmlformats.org/officeDocument/2006/relationships/worksheet" Target="worksheets/sheet87.xml"/><Relationship Id="rId513" Type="http://schemas.openxmlformats.org/officeDocument/2006/relationships/worksheet" Target="worksheets/sheet513.xml"/><Relationship Id="rId597" Type="http://schemas.openxmlformats.org/officeDocument/2006/relationships/worksheet" Target="worksheets/sheet597.xml"/><Relationship Id="rId720" Type="http://schemas.openxmlformats.org/officeDocument/2006/relationships/worksheet" Target="worksheets/sheet720.xml"/><Relationship Id="rId818" Type="http://schemas.openxmlformats.org/officeDocument/2006/relationships/worksheet" Target="worksheets/sheet818.xml"/><Relationship Id="rId152" Type="http://schemas.openxmlformats.org/officeDocument/2006/relationships/worksheet" Target="worksheets/sheet152.xml"/><Relationship Id="rId457" Type="http://schemas.openxmlformats.org/officeDocument/2006/relationships/worksheet" Target="worksheets/sheet457.xml"/><Relationship Id="rId1003" Type="http://schemas.openxmlformats.org/officeDocument/2006/relationships/worksheet" Target="worksheets/sheet1003.xml"/><Relationship Id="rId1087" Type="http://schemas.openxmlformats.org/officeDocument/2006/relationships/worksheet" Target="worksheets/sheet1087.xml"/><Relationship Id="rId664" Type="http://schemas.openxmlformats.org/officeDocument/2006/relationships/worksheet" Target="worksheets/sheet664.xml"/><Relationship Id="rId871" Type="http://schemas.openxmlformats.org/officeDocument/2006/relationships/worksheet" Target="worksheets/sheet871.xml"/><Relationship Id="rId969" Type="http://schemas.openxmlformats.org/officeDocument/2006/relationships/worksheet" Target="worksheets/sheet969.xml"/><Relationship Id="rId14" Type="http://schemas.openxmlformats.org/officeDocument/2006/relationships/worksheet" Target="worksheets/sheet14.xml"/><Relationship Id="rId317" Type="http://schemas.openxmlformats.org/officeDocument/2006/relationships/worksheet" Target="worksheets/sheet317.xml"/><Relationship Id="rId524" Type="http://schemas.openxmlformats.org/officeDocument/2006/relationships/worksheet" Target="worksheets/sheet524.xml"/><Relationship Id="rId731" Type="http://schemas.openxmlformats.org/officeDocument/2006/relationships/worksheet" Target="worksheets/sheet731.xml"/><Relationship Id="rId1154" Type="http://schemas.openxmlformats.org/officeDocument/2006/relationships/worksheet" Target="worksheets/sheet1154.xml"/><Relationship Id="rId98" Type="http://schemas.openxmlformats.org/officeDocument/2006/relationships/worksheet" Target="worksheets/sheet98.xml"/><Relationship Id="rId163" Type="http://schemas.openxmlformats.org/officeDocument/2006/relationships/worksheet" Target="worksheets/sheet163.xml"/><Relationship Id="rId370" Type="http://schemas.openxmlformats.org/officeDocument/2006/relationships/worksheet" Target="worksheets/sheet370.xml"/><Relationship Id="rId829" Type="http://schemas.openxmlformats.org/officeDocument/2006/relationships/worksheet" Target="worksheets/sheet829.xml"/><Relationship Id="rId1014" Type="http://schemas.openxmlformats.org/officeDocument/2006/relationships/worksheet" Target="worksheets/sheet1014.xml"/><Relationship Id="rId230" Type="http://schemas.openxmlformats.org/officeDocument/2006/relationships/worksheet" Target="worksheets/sheet230.xml"/><Relationship Id="rId468" Type="http://schemas.openxmlformats.org/officeDocument/2006/relationships/worksheet" Target="worksheets/sheet468.xml"/><Relationship Id="rId675" Type="http://schemas.openxmlformats.org/officeDocument/2006/relationships/worksheet" Target="worksheets/sheet675.xml"/><Relationship Id="rId882" Type="http://schemas.openxmlformats.org/officeDocument/2006/relationships/worksheet" Target="worksheets/sheet882.xml"/><Relationship Id="rId1098" Type="http://schemas.openxmlformats.org/officeDocument/2006/relationships/worksheet" Target="worksheets/sheet1098.xml"/><Relationship Id="rId25" Type="http://schemas.openxmlformats.org/officeDocument/2006/relationships/worksheet" Target="worksheets/sheet25.xml"/><Relationship Id="rId328" Type="http://schemas.openxmlformats.org/officeDocument/2006/relationships/worksheet" Target="worksheets/sheet328.xml"/><Relationship Id="rId535" Type="http://schemas.openxmlformats.org/officeDocument/2006/relationships/worksheet" Target="worksheets/sheet535.xml"/><Relationship Id="rId742" Type="http://schemas.openxmlformats.org/officeDocument/2006/relationships/worksheet" Target="worksheets/sheet742.xml"/><Relationship Id="rId1165" Type="http://schemas.openxmlformats.org/officeDocument/2006/relationships/worksheet" Target="worksheets/sheet1165.xml"/><Relationship Id="rId174" Type="http://schemas.openxmlformats.org/officeDocument/2006/relationships/worksheet" Target="worksheets/sheet174.xml"/><Relationship Id="rId381" Type="http://schemas.openxmlformats.org/officeDocument/2006/relationships/worksheet" Target="worksheets/sheet381.xml"/><Relationship Id="rId602" Type="http://schemas.openxmlformats.org/officeDocument/2006/relationships/worksheet" Target="worksheets/sheet602.xml"/><Relationship Id="rId1025" Type="http://schemas.openxmlformats.org/officeDocument/2006/relationships/worksheet" Target="worksheets/sheet1025.xml"/><Relationship Id="rId241" Type="http://schemas.openxmlformats.org/officeDocument/2006/relationships/worksheet" Target="worksheets/sheet241.xml"/><Relationship Id="rId479" Type="http://schemas.openxmlformats.org/officeDocument/2006/relationships/worksheet" Target="worksheets/sheet479.xml"/><Relationship Id="rId686" Type="http://schemas.openxmlformats.org/officeDocument/2006/relationships/worksheet" Target="worksheets/sheet686.xml"/><Relationship Id="rId893" Type="http://schemas.openxmlformats.org/officeDocument/2006/relationships/worksheet" Target="worksheets/sheet893.xml"/><Relationship Id="rId907" Type="http://schemas.openxmlformats.org/officeDocument/2006/relationships/worksheet" Target="worksheets/sheet907.xml"/><Relationship Id="rId36" Type="http://schemas.openxmlformats.org/officeDocument/2006/relationships/worksheet" Target="worksheets/sheet36.xml"/><Relationship Id="rId339" Type="http://schemas.openxmlformats.org/officeDocument/2006/relationships/worksheet" Target="worksheets/sheet339.xml"/><Relationship Id="rId546" Type="http://schemas.openxmlformats.org/officeDocument/2006/relationships/worksheet" Target="worksheets/sheet546.xml"/><Relationship Id="rId753" Type="http://schemas.openxmlformats.org/officeDocument/2006/relationships/worksheet" Target="worksheets/sheet753.xml"/><Relationship Id="rId101" Type="http://schemas.openxmlformats.org/officeDocument/2006/relationships/worksheet" Target="worksheets/sheet101.xml"/><Relationship Id="rId185" Type="http://schemas.openxmlformats.org/officeDocument/2006/relationships/worksheet" Target="worksheets/sheet185.xml"/><Relationship Id="rId406" Type="http://schemas.openxmlformats.org/officeDocument/2006/relationships/worksheet" Target="worksheets/sheet406.xml"/><Relationship Id="rId960" Type="http://schemas.openxmlformats.org/officeDocument/2006/relationships/worksheet" Target="worksheets/sheet960.xml"/><Relationship Id="rId1036" Type="http://schemas.openxmlformats.org/officeDocument/2006/relationships/worksheet" Target="worksheets/sheet1036.xml"/><Relationship Id="rId392" Type="http://schemas.openxmlformats.org/officeDocument/2006/relationships/worksheet" Target="worksheets/sheet392.xml"/><Relationship Id="rId613" Type="http://schemas.openxmlformats.org/officeDocument/2006/relationships/worksheet" Target="worksheets/sheet613.xml"/><Relationship Id="rId697" Type="http://schemas.openxmlformats.org/officeDocument/2006/relationships/worksheet" Target="worksheets/sheet697.xml"/><Relationship Id="rId820" Type="http://schemas.openxmlformats.org/officeDocument/2006/relationships/worksheet" Target="worksheets/sheet820.xml"/><Relationship Id="rId918" Type="http://schemas.openxmlformats.org/officeDocument/2006/relationships/worksheet" Target="worksheets/sheet918.xml"/><Relationship Id="rId252" Type="http://schemas.openxmlformats.org/officeDocument/2006/relationships/worksheet" Target="worksheets/sheet252.xml"/><Relationship Id="rId1103" Type="http://schemas.openxmlformats.org/officeDocument/2006/relationships/worksheet" Target="worksheets/sheet1103.xml"/><Relationship Id="rId47" Type="http://schemas.openxmlformats.org/officeDocument/2006/relationships/worksheet" Target="worksheets/sheet47.xml"/><Relationship Id="rId112" Type="http://schemas.openxmlformats.org/officeDocument/2006/relationships/worksheet" Target="worksheets/sheet112.xml"/><Relationship Id="rId557" Type="http://schemas.openxmlformats.org/officeDocument/2006/relationships/worksheet" Target="worksheets/sheet557.xml"/><Relationship Id="rId764" Type="http://schemas.openxmlformats.org/officeDocument/2006/relationships/worksheet" Target="worksheets/sheet764.xml"/><Relationship Id="rId971" Type="http://schemas.openxmlformats.org/officeDocument/2006/relationships/worksheet" Target="worksheets/sheet971.xml"/><Relationship Id="rId196" Type="http://schemas.openxmlformats.org/officeDocument/2006/relationships/worksheet" Target="worksheets/sheet196.xml"/><Relationship Id="rId417" Type="http://schemas.openxmlformats.org/officeDocument/2006/relationships/worksheet" Target="worksheets/sheet417.xml"/><Relationship Id="rId624" Type="http://schemas.openxmlformats.org/officeDocument/2006/relationships/worksheet" Target="worksheets/sheet624.xml"/><Relationship Id="rId831" Type="http://schemas.openxmlformats.org/officeDocument/2006/relationships/worksheet" Target="worksheets/sheet831.xml"/><Relationship Id="rId1047" Type="http://schemas.openxmlformats.org/officeDocument/2006/relationships/worksheet" Target="worksheets/sheet1047.xml"/><Relationship Id="rId263" Type="http://schemas.openxmlformats.org/officeDocument/2006/relationships/worksheet" Target="worksheets/sheet263.xml"/><Relationship Id="rId470" Type="http://schemas.openxmlformats.org/officeDocument/2006/relationships/worksheet" Target="worksheets/sheet470.xml"/><Relationship Id="rId929" Type="http://schemas.openxmlformats.org/officeDocument/2006/relationships/worksheet" Target="worksheets/sheet929.xml"/><Relationship Id="rId1114" Type="http://schemas.openxmlformats.org/officeDocument/2006/relationships/worksheet" Target="worksheets/sheet1114.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568" Type="http://schemas.openxmlformats.org/officeDocument/2006/relationships/worksheet" Target="worksheets/sheet568.xml"/><Relationship Id="rId775" Type="http://schemas.openxmlformats.org/officeDocument/2006/relationships/worksheet" Target="worksheets/sheet775.xml"/><Relationship Id="rId982" Type="http://schemas.openxmlformats.org/officeDocument/2006/relationships/worksheet" Target="worksheets/sheet982.xml"/><Relationship Id="rId428" Type="http://schemas.openxmlformats.org/officeDocument/2006/relationships/worksheet" Target="worksheets/sheet428.xml"/><Relationship Id="rId635" Type="http://schemas.openxmlformats.org/officeDocument/2006/relationships/worksheet" Target="worksheets/sheet635.xml"/><Relationship Id="rId842" Type="http://schemas.openxmlformats.org/officeDocument/2006/relationships/worksheet" Target="worksheets/sheet842.xml"/><Relationship Id="rId1058" Type="http://schemas.openxmlformats.org/officeDocument/2006/relationships/worksheet" Target="worksheets/sheet1058.xml"/><Relationship Id="rId274" Type="http://schemas.openxmlformats.org/officeDocument/2006/relationships/worksheet" Target="worksheets/sheet274.xml"/><Relationship Id="rId481" Type="http://schemas.openxmlformats.org/officeDocument/2006/relationships/worksheet" Target="worksheets/sheet481.xml"/><Relationship Id="rId702" Type="http://schemas.openxmlformats.org/officeDocument/2006/relationships/worksheet" Target="worksheets/sheet702.xml"/><Relationship Id="rId1125" Type="http://schemas.openxmlformats.org/officeDocument/2006/relationships/worksheet" Target="worksheets/sheet1125.xml"/><Relationship Id="rId69" Type="http://schemas.openxmlformats.org/officeDocument/2006/relationships/worksheet" Target="worksheets/sheet69.xml"/><Relationship Id="rId134" Type="http://schemas.openxmlformats.org/officeDocument/2006/relationships/worksheet" Target="worksheets/sheet134.xml"/><Relationship Id="rId579" Type="http://schemas.openxmlformats.org/officeDocument/2006/relationships/worksheet" Target="worksheets/sheet579.xml"/><Relationship Id="rId786" Type="http://schemas.openxmlformats.org/officeDocument/2006/relationships/worksheet" Target="worksheets/sheet786.xml"/><Relationship Id="rId993" Type="http://schemas.openxmlformats.org/officeDocument/2006/relationships/worksheet" Target="worksheets/sheet993.xml"/><Relationship Id="rId341" Type="http://schemas.openxmlformats.org/officeDocument/2006/relationships/worksheet" Target="worksheets/sheet341.xml"/><Relationship Id="rId439" Type="http://schemas.openxmlformats.org/officeDocument/2006/relationships/worksheet" Target="worksheets/sheet439.xml"/><Relationship Id="rId646" Type="http://schemas.openxmlformats.org/officeDocument/2006/relationships/worksheet" Target="worksheets/sheet646.xml"/><Relationship Id="rId1069" Type="http://schemas.openxmlformats.org/officeDocument/2006/relationships/worksheet" Target="worksheets/sheet1069.xml"/><Relationship Id="rId201" Type="http://schemas.openxmlformats.org/officeDocument/2006/relationships/worksheet" Target="worksheets/sheet201.xml"/><Relationship Id="rId285" Type="http://schemas.openxmlformats.org/officeDocument/2006/relationships/worksheet" Target="worksheets/sheet285.xml"/><Relationship Id="rId506" Type="http://schemas.openxmlformats.org/officeDocument/2006/relationships/worksheet" Target="worksheets/sheet506.xml"/><Relationship Id="rId853" Type="http://schemas.openxmlformats.org/officeDocument/2006/relationships/worksheet" Target="worksheets/sheet853.xml"/><Relationship Id="rId1136" Type="http://schemas.openxmlformats.org/officeDocument/2006/relationships/worksheet" Target="worksheets/sheet1136.xml"/><Relationship Id="rId492" Type="http://schemas.openxmlformats.org/officeDocument/2006/relationships/worksheet" Target="worksheets/sheet492.xml"/><Relationship Id="rId713" Type="http://schemas.openxmlformats.org/officeDocument/2006/relationships/worksheet" Target="worksheets/sheet713.xml"/><Relationship Id="rId797" Type="http://schemas.openxmlformats.org/officeDocument/2006/relationships/worksheet" Target="worksheets/sheet797.xml"/><Relationship Id="rId920" Type="http://schemas.openxmlformats.org/officeDocument/2006/relationships/worksheet" Target="worksheets/sheet920.xml"/><Relationship Id="rId145" Type="http://schemas.openxmlformats.org/officeDocument/2006/relationships/worksheet" Target="worksheets/sheet145.xml"/><Relationship Id="rId352" Type="http://schemas.openxmlformats.org/officeDocument/2006/relationships/worksheet" Target="worksheets/sheet352.xml"/><Relationship Id="rId212" Type="http://schemas.openxmlformats.org/officeDocument/2006/relationships/worksheet" Target="worksheets/sheet212.xml"/><Relationship Id="rId657" Type="http://schemas.openxmlformats.org/officeDocument/2006/relationships/worksheet" Target="worksheets/sheet657.xml"/><Relationship Id="rId864" Type="http://schemas.openxmlformats.org/officeDocument/2006/relationships/worksheet" Target="worksheets/sheet864.xml"/><Relationship Id="rId296" Type="http://schemas.openxmlformats.org/officeDocument/2006/relationships/worksheet" Target="worksheets/sheet296.xml"/><Relationship Id="rId517" Type="http://schemas.openxmlformats.org/officeDocument/2006/relationships/worksheet" Target="worksheets/sheet517.xml"/><Relationship Id="rId724" Type="http://schemas.openxmlformats.org/officeDocument/2006/relationships/worksheet" Target="worksheets/sheet724.xml"/><Relationship Id="rId931" Type="http://schemas.openxmlformats.org/officeDocument/2006/relationships/worksheet" Target="worksheets/sheet931.xml"/><Relationship Id="rId1147" Type="http://schemas.openxmlformats.org/officeDocument/2006/relationships/worksheet" Target="worksheets/sheet1147.xml"/><Relationship Id="rId60" Type="http://schemas.openxmlformats.org/officeDocument/2006/relationships/worksheet" Target="worksheets/sheet60.xml"/><Relationship Id="rId156" Type="http://schemas.openxmlformats.org/officeDocument/2006/relationships/worksheet" Target="worksheets/sheet156.xml"/><Relationship Id="rId363" Type="http://schemas.openxmlformats.org/officeDocument/2006/relationships/worksheet" Target="worksheets/sheet363.xml"/><Relationship Id="rId570" Type="http://schemas.openxmlformats.org/officeDocument/2006/relationships/worksheet" Target="worksheets/sheet570.xml"/><Relationship Id="rId1007" Type="http://schemas.openxmlformats.org/officeDocument/2006/relationships/worksheet" Target="worksheets/sheet1007.xml"/><Relationship Id="rId223" Type="http://schemas.openxmlformats.org/officeDocument/2006/relationships/worksheet" Target="worksheets/sheet223.xml"/><Relationship Id="rId430" Type="http://schemas.openxmlformats.org/officeDocument/2006/relationships/worksheet" Target="worksheets/sheet430.xml"/><Relationship Id="rId668" Type="http://schemas.openxmlformats.org/officeDocument/2006/relationships/worksheet" Target="worksheets/sheet668.xml"/><Relationship Id="rId875" Type="http://schemas.openxmlformats.org/officeDocument/2006/relationships/worksheet" Target="worksheets/sheet875.xml"/><Relationship Id="rId1060" Type="http://schemas.openxmlformats.org/officeDocument/2006/relationships/worksheet" Target="worksheets/sheet1060.xml"/><Relationship Id="rId18" Type="http://schemas.openxmlformats.org/officeDocument/2006/relationships/worksheet" Target="worksheets/sheet18.xml"/><Relationship Id="rId528" Type="http://schemas.openxmlformats.org/officeDocument/2006/relationships/worksheet" Target="worksheets/sheet528.xml"/><Relationship Id="rId735" Type="http://schemas.openxmlformats.org/officeDocument/2006/relationships/worksheet" Target="worksheets/sheet735.xml"/><Relationship Id="rId942" Type="http://schemas.openxmlformats.org/officeDocument/2006/relationships/worksheet" Target="worksheets/sheet942.xml"/><Relationship Id="rId1158" Type="http://schemas.openxmlformats.org/officeDocument/2006/relationships/worksheet" Target="worksheets/sheet1158.xml"/><Relationship Id="rId167" Type="http://schemas.openxmlformats.org/officeDocument/2006/relationships/worksheet" Target="worksheets/sheet167.xml"/><Relationship Id="rId374" Type="http://schemas.openxmlformats.org/officeDocument/2006/relationships/worksheet" Target="worksheets/sheet374.xml"/><Relationship Id="rId581" Type="http://schemas.openxmlformats.org/officeDocument/2006/relationships/worksheet" Target="worksheets/sheet581.xml"/><Relationship Id="rId1018" Type="http://schemas.openxmlformats.org/officeDocument/2006/relationships/worksheet" Target="worksheets/sheet1018.xml"/><Relationship Id="rId71" Type="http://schemas.openxmlformats.org/officeDocument/2006/relationships/worksheet" Target="worksheets/sheet71.xml"/><Relationship Id="rId234" Type="http://schemas.openxmlformats.org/officeDocument/2006/relationships/worksheet" Target="worksheets/sheet234.xml"/><Relationship Id="rId679" Type="http://schemas.openxmlformats.org/officeDocument/2006/relationships/worksheet" Target="worksheets/sheet679.xml"/><Relationship Id="rId802" Type="http://schemas.openxmlformats.org/officeDocument/2006/relationships/worksheet" Target="worksheets/sheet802.xml"/><Relationship Id="rId886" Type="http://schemas.openxmlformats.org/officeDocument/2006/relationships/worksheet" Target="worksheets/sheet886.xml"/><Relationship Id="rId2" Type="http://schemas.openxmlformats.org/officeDocument/2006/relationships/worksheet" Target="worksheets/sheet2.xml"/><Relationship Id="rId29" Type="http://schemas.openxmlformats.org/officeDocument/2006/relationships/worksheet" Target="worksheets/sheet29.xml"/><Relationship Id="rId441" Type="http://schemas.openxmlformats.org/officeDocument/2006/relationships/worksheet" Target="worksheets/sheet441.xml"/><Relationship Id="rId539" Type="http://schemas.openxmlformats.org/officeDocument/2006/relationships/worksheet" Target="worksheets/sheet539.xml"/><Relationship Id="rId746" Type="http://schemas.openxmlformats.org/officeDocument/2006/relationships/worksheet" Target="worksheets/sheet746.xml"/><Relationship Id="rId1071" Type="http://schemas.openxmlformats.org/officeDocument/2006/relationships/worksheet" Target="worksheets/sheet1071.xml"/><Relationship Id="rId1169" Type="http://schemas.openxmlformats.org/officeDocument/2006/relationships/externalLink" Target="externalLinks/externalLink1.xml"/><Relationship Id="rId178" Type="http://schemas.openxmlformats.org/officeDocument/2006/relationships/worksheet" Target="worksheets/sheet178.xml"/><Relationship Id="rId301" Type="http://schemas.openxmlformats.org/officeDocument/2006/relationships/worksheet" Target="worksheets/sheet301.xml"/><Relationship Id="rId953" Type="http://schemas.openxmlformats.org/officeDocument/2006/relationships/worksheet" Target="worksheets/sheet953.xml"/><Relationship Id="rId1029" Type="http://schemas.openxmlformats.org/officeDocument/2006/relationships/worksheet" Target="worksheets/sheet1029.xml"/><Relationship Id="rId82" Type="http://schemas.openxmlformats.org/officeDocument/2006/relationships/worksheet" Target="worksheets/sheet82.xml"/><Relationship Id="rId385" Type="http://schemas.openxmlformats.org/officeDocument/2006/relationships/worksheet" Target="worksheets/sheet385.xml"/><Relationship Id="rId592" Type="http://schemas.openxmlformats.org/officeDocument/2006/relationships/worksheet" Target="worksheets/sheet592.xml"/><Relationship Id="rId606" Type="http://schemas.openxmlformats.org/officeDocument/2006/relationships/worksheet" Target="worksheets/sheet606.xml"/><Relationship Id="rId813" Type="http://schemas.openxmlformats.org/officeDocument/2006/relationships/worksheet" Target="worksheets/sheet813.xml"/><Relationship Id="rId245" Type="http://schemas.openxmlformats.org/officeDocument/2006/relationships/worksheet" Target="worksheets/sheet245.xml"/><Relationship Id="rId452" Type="http://schemas.openxmlformats.org/officeDocument/2006/relationships/worksheet" Target="worksheets/sheet452.xml"/><Relationship Id="rId897" Type="http://schemas.openxmlformats.org/officeDocument/2006/relationships/worksheet" Target="worksheets/sheet897.xml"/><Relationship Id="rId1082" Type="http://schemas.openxmlformats.org/officeDocument/2006/relationships/worksheet" Target="worksheets/sheet1082.xml"/><Relationship Id="rId105" Type="http://schemas.openxmlformats.org/officeDocument/2006/relationships/worksheet" Target="worksheets/sheet105.xml"/><Relationship Id="rId312" Type="http://schemas.openxmlformats.org/officeDocument/2006/relationships/worksheet" Target="worksheets/sheet312.xml"/><Relationship Id="rId757" Type="http://schemas.openxmlformats.org/officeDocument/2006/relationships/worksheet" Target="worksheets/sheet757.xml"/><Relationship Id="rId964" Type="http://schemas.openxmlformats.org/officeDocument/2006/relationships/worksheet" Target="worksheets/sheet964.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617" Type="http://schemas.openxmlformats.org/officeDocument/2006/relationships/worksheet" Target="worksheets/sheet617.xml"/><Relationship Id="rId824" Type="http://schemas.openxmlformats.org/officeDocument/2006/relationships/worksheet" Target="worksheets/sheet824.xml"/><Relationship Id="rId256" Type="http://schemas.openxmlformats.org/officeDocument/2006/relationships/worksheet" Target="worksheets/sheet256.xml"/><Relationship Id="rId463" Type="http://schemas.openxmlformats.org/officeDocument/2006/relationships/worksheet" Target="worksheets/sheet463.xml"/><Relationship Id="rId670" Type="http://schemas.openxmlformats.org/officeDocument/2006/relationships/worksheet" Target="worksheets/sheet670.xml"/><Relationship Id="rId1093" Type="http://schemas.openxmlformats.org/officeDocument/2006/relationships/worksheet" Target="worksheets/sheet1093.xml"/><Relationship Id="rId1107" Type="http://schemas.openxmlformats.org/officeDocument/2006/relationships/worksheet" Target="worksheets/sheet1107.xml"/><Relationship Id="rId116" Type="http://schemas.openxmlformats.org/officeDocument/2006/relationships/worksheet" Target="worksheets/sheet116.xml"/><Relationship Id="rId323" Type="http://schemas.openxmlformats.org/officeDocument/2006/relationships/worksheet" Target="worksheets/sheet323.xml"/><Relationship Id="rId530" Type="http://schemas.openxmlformats.org/officeDocument/2006/relationships/worksheet" Target="worksheets/sheet530.xml"/><Relationship Id="rId768" Type="http://schemas.openxmlformats.org/officeDocument/2006/relationships/worksheet" Target="worksheets/sheet768.xml"/><Relationship Id="rId975" Type="http://schemas.openxmlformats.org/officeDocument/2006/relationships/worksheet" Target="worksheets/sheet975.xml"/><Relationship Id="rId1160" Type="http://schemas.openxmlformats.org/officeDocument/2006/relationships/worksheet" Target="worksheets/sheet1160.xml"/><Relationship Id="rId20" Type="http://schemas.openxmlformats.org/officeDocument/2006/relationships/worksheet" Target="worksheets/sheet20.xml"/><Relationship Id="rId628" Type="http://schemas.openxmlformats.org/officeDocument/2006/relationships/worksheet" Target="worksheets/sheet628.xml"/><Relationship Id="rId835" Type="http://schemas.openxmlformats.org/officeDocument/2006/relationships/worksheet" Target="worksheets/sheet835.xml"/><Relationship Id="rId267" Type="http://schemas.openxmlformats.org/officeDocument/2006/relationships/worksheet" Target="worksheets/sheet267.xml"/><Relationship Id="rId474" Type="http://schemas.openxmlformats.org/officeDocument/2006/relationships/worksheet" Target="worksheets/sheet474.xml"/><Relationship Id="rId1020" Type="http://schemas.openxmlformats.org/officeDocument/2006/relationships/worksheet" Target="worksheets/sheet1020.xml"/><Relationship Id="rId1118" Type="http://schemas.openxmlformats.org/officeDocument/2006/relationships/worksheet" Target="worksheets/sheet1118.xml"/><Relationship Id="rId127" Type="http://schemas.openxmlformats.org/officeDocument/2006/relationships/worksheet" Target="worksheets/sheet127.xml"/><Relationship Id="rId681" Type="http://schemas.openxmlformats.org/officeDocument/2006/relationships/worksheet" Target="worksheets/sheet681.xml"/><Relationship Id="rId779" Type="http://schemas.openxmlformats.org/officeDocument/2006/relationships/worksheet" Target="worksheets/sheet779.xml"/><Relationship Id="rId902" Type="http://schemas.openxmlformats.org/officeDocument/2006/relationships/worksheet" Target="worksheets/sheet902.xml"/><Relationship Id="rId986" Type="http://schemas.openxmlformats.org/officeDocument/2006/relationships/worksheet" Target="worksheets/sheet986.xml"/><Relationship Id="rId31" Type="http://schemas.openxmlformats.org/officeDocument/2006/relationships/worksheet" Target="worksheets/sheet31.xml"/><Relationship Id="rId334" Type="http://schemas.openxmlformats.org/officeDocument/2006/relationships/worksheet" Target="worksheets/sheet334.xml"/><Relationship Id="rId541" Type="http://schemas.openxmlformats.org/officeDocument/2006/relationships/worksheet" Target="worksheets/sheet541.xml"/><Relationship Id="rId639" Type="http://schemas.openxmlformats.org/officeDocument/2006/relationships/worksheet" Target="worksheets/sheet639.xml"/><Relationship Id="rId1171" Type="http://schemas.openxmlformats.org/officeDocument/2006/relationships/styles" Target="styles.xml"/><Relationship Id="rId180" Type="http://schemas.openxmlformats.org/officeDocument/2006/relationships/worksheet" Target="worksheets/sheet180.xml"/><Relationship Id="rId278" Type="http://schemas.openxmlformats.org/officeDocument/2006/relationships/worksheet" Target="worksheets/sheet278.xml"/><Relationship Id="rId401" Type="http://schemas.openxmlformats.org/officeDocument/2006/relationships/worksheet" Target="worksheets/sheet401.xml"/><Relationship Id="rId846" Type="http://schemas.openxmlformats.org/officeDocument/2006/relationships/worksheet" Target="worksheets/sheet846.xml"/><Relationship Id="rId1031" Type="http://schemas.openxmlformats.org/officeDocument/2006/relationships/worksheet" Target="worksheets/sheet1031.xml"/><Relationship Id="rId1129" Type="http://schemas.openxmlformats.org/officeDocument/2006/relationships/worksheet" Target="worksheets/sheet1129.xml"/><Relationship Id="rId485" Type="http://schemas.openxmlformats.org/officeDocument/2006/relationships/worksheet" Target="worksheets/sheet485.xml"/><Relationship Id="rId692" Type="http://schemas.openxmlformats.org/officeDocument/2006/relationships/worksheet" Target="worksheets/sheet692.xml"/><Relationship Id="rId706" Type="http://schemas.openxmlformats.org/officeDocument/2006/relationships/worksheet" Target="worksheets/sheet706.xml"/><Relationship Id="rId913" Type="http://schemas.openxmlformats.org/officeDocument/2006/relationships/worksheet" Target="worksheets/sheet913.xml"/><Relationship Id="rId42" Type="http://schemas.openxmlformats.org/officeDocument/2006/relationships/worksheet" Target="worksheets/sheet42.xml"/><Relationship Id="rId138" Type="http://schemas.openxmlformats.org/officeDocument/2006/relationships/worksheet" Target="worksheets/sheet138.xml"/><Relationship Id="rId345" Type="http://schemas.openxmlformats.org/officeDocument/2006/relationships/worksheet" Target="worksheets/sheet345.xml"/><Relationship Id="rId552" Type="http://schemas.openxmlformats.org/officeDocument/2006/relationships/worksheet" Target="worksheets/sheet552.xml"/><Relationship Id="rId997" Type="http://schemas.openxmlformats.org/officeDocument/2006/relationships/worksheet" Target="worksheets/sheet997.xml"/><Relationship Id="rId191" Type="http://schemas.openxmlformats.org/officeDocument/2006/relationships/worksheet" Target="worksheets/sheet191.xml"/><Relationship Id="rId205" Type="http://schemas.openxmlformats.org/officeDocument/2006/relationships/worksheet" Target="worksheets/sheet205.xml"/><Relationship Id="rId412" Type="http://schemas.openxmlformats.org/officeDocument/2006/relationships/worksheet" Target="worksheets/sheet412.xml"/><Relationship Id="rId857" Type="http://schemas.openxmlformats.org/officeDocument/2006/relationships/worksheet" Target="worksheets/sheet857.xml"/><Relationship Id="rId1042" Type="http://schemas.openxmlformats.org/officeDocument/2006/relationships/worksheet" Target="worksheets/sheet1042.xml"/><Relationship Id="rId289" Type="http://schemas.openxmlformats.org/officeDocument/2006/relationships/worksheet" Target="worksheets/sheet289.xml"/><Relationship Id="rId496" Type="http://schemas.openxmlformats.org/officeDocument/2006/relationships/worksheet" Target="worksheets/sheet496.xml"/><Relationship Id="rId717" Type="http://schemas.openxmlformats.org/officeDocument/2006/relationships/worksheet" Target="worksheets/sheet717.xml"/><Relationship Id="rId924" Type="http://schemas.openxmlformats.org/officeDocument/2006/relationships/worksheet" Target="worksheets/sheet924.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563" Type="http://schemas.openxmlformats.org/officeDocument/2006/relationships/worksheet" Target="worksheets/sheet563.xml"/><Relationship Id="rId619" Type="http://schemas.openxmlformats.org/officeDocument/2006/relationships/worksheet" Target="worksheets/sheet619.xml"/><Relationship Id="rId770" Type="http://schemas.openxmlformats.org/officeDocument/2006/relationships/worksheet" Target="worksheets/sheet770.xml"/><Relationship Id="rId1151" Type="http://schemas.openxmlformats.org/officeDocument/2006/relationships/worksheet" Target="worksheets/sheet1151.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826" Type="http://schemas.openxmlformats.org/officeDocument/2006/relationships/worksheet" Target="worksheets/sheet826.xml"/><Relationship Id="rId868" Type="http://schemas.openxmlformats.org/officeDocument/2006/relationships/worksheet" Target="worksheets/sheet868.xml"/><Relationship Id="rId1011" Type="http://schemas.openxmlformats.org/officeDocument/2006/relationships/worksheet" Target="worksheets/sheet1011.xml"/><Relationship Id="rId1053" Type="http://schemas.openxmlformats.org/officeDocument/2006/relationships/worksheet" Target="worksheets/sheet1053.xml"/><Relationship Id="rId1109" Type="http://schemas.openxmlformats.org/officeDocument/2006/relationships/worksheet" Target="worksheets/sheet1109.xml"/><Relationship Id="rId258" Type="http://schemas.openxmlformats.org/officeDocument/2006/relationships/worksheet" Target="worksheets/sheet258.xml"/><Relationship Id="rId465" Type="http://schemas.openxmlformats.org/officeDocument/2006/relationships/worksheet" Target="worksheets/sheet465.xml"/><Relationship Id="rId630" Type="http://schemas.openxmlformats.org/officeDocument/2006/relationships/worksheet" Target="worksheets/sheet630.xml"/><Relationship Id="rId672" Type="http://schemas.openxmlformats.org/officeDocument/2006/relationships/worksheet" Target="worksheets/sheet672.xml"/><Relationship Id="rId728" Type="http://schemas.openxmlformats.org/officeDocument/2006/relationships/worksheet" Target="worksheets/sheet728.xml"/><Relationship Id="rId935" Type="http://schemas.openxmlformats.org/officeDocument/2006/relationships/worksheet" Target="worksheets/sheet935.xml"/><Relationship Id="rId1095" Type="http://schemas.openxmlformats.org/officeDocument/2006/relationships/worksheet" Target="worksheets/sheet109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574" Type="http://schemas.openxmlformats.org/officeDocument/2006/relationships/worksheet" Target="worksheets/sheet574.xml"/><Relationship Id="rId977" Type="http://schemas.openxmlformats.org/officeDocument/2006/relationships/worksheet" Target="worksheets/sheet977.xml"/><Relationship Id="rId1120" Type="http://schemas.openxmlformats.org/officeDocument/2006/relationships/worksheet" Target="worksheets/sheet1120.xml"/><Relationship Id="rId1162" Type="http://schemas.openxmlformats.org/officeDocument/2006/relationships/worksheet" Target="worksheets/sheet1162.xml"/><Relationship Id="rId171" Type="http://schemas.openxmlformats.org/officeDocument/2006/relationships/worksheet" Target="worksheets/sheet171.xml"/><Relationship Id="rId227" Type="http://schemas.openxmlformats.org/officeDocument/2006/relationships/worksheet" Target="worksheets/sheet227.xml"/><Relationship Id="rId781" Type="http://schemas.openxmlformats.org/officeDocument/2006/relationships/worksheet" Target="worksheets/sheet781.xml"/><Relationship Id="rId837" Type="http://schemas.openxmlformats.org/officeDocument/2006/relationships/worksheet" Target="worksheets/sheet837.xml"/><Relationship Id="rId879" Type="http://schemas.openxmlformats.org/officeDocument/2006/relationships/worksheet" Target="worksheets/sheet879.xml"/><Relationship Id="rId1022" Type="http://schemas.openxmlformats.org/officeDocument/2006/relationships/worksheet" Target="worksheets/sheet1022.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641" Type="http://schemas.openxmlformats.org/officeDocument/2006/relationships/worksheet" Target="worksheets/sheet641.xml"/><Relationship Id="rId683" Type="http://schemas.openxmlformats.org/officeDocument/2006/relationships/worksheet" Target="worksheets/sheet683.xml"/><Relationship Id="rId739" Type="http://schemas.openxmlformats.org/officeDocument/2006/relationships/worksheet" Target="worksheets/sheet739.xml"/><Relationship Id="rId890" Type="http://schemas.openxmlformats.org/officeDocument/2006/relationships/worksheet" Target="worksheets/sheet890.xml"/><Relationship Id="rId904" Type="http://schemas.openxmlformats.org/officeDocument/2006/relationships/worksheet" Target="worksheets/sheet904.xml"/><Relationship Id="rId1064" Type="http://schemas.openxmlformats.org/officeDocument/2006/relationships/worksheet" Target="worksheets/sheet1064.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946" Type="http://schemas.openxmlformats.org/officeDocument/2006/relationships/worksheet" Target="worksheets/sheet946.xml"/><Relationship Id="rId988" Type="http://schemas.openxmlformats.org/officeDocument/2006/relationships/worksheet" Target="worksheets/sheet988.xml"/><Relationship Id="rId1131" Type="http://schemas.openxmlformats.org/officeDocument/2006/relationships/worksheet" Target="worksheets/sheet1131.xml"/><Relationship Id="rId1173" Type="http://schemas.openxmlformats.org/officeDocument/2006/relationships/calcChain" Target="calcChain.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585" Type="http://schemas.openxmlformats.org/officeDocument/2006/relationships/worksheet" Target="worksheets/sheet585.xml"/><Relationship Id="rId750" Type="http://schemas.openxmlformats.org/officeDocument/2006/relationships/worksheet" Target="worksheets/sheet750.xml"/><Relationship Id="rId792" Type="http://schemas.openxmlformats.org/officeDocument/2006/relationships/worksheet" Target="worksheets/sheet792.xml"/><Relationship Id="rId806" Type="http://schemas.openxmlformats.org/officeDocument/2006/relationships/worksheet" Target="worksheets/sheet806.xml"/><Relationship Id="rId848" Type="http://schemas.openxmlformats.org/officeDocument/2006/relationships/worksheet" Target="worksheets/sheet848.xml"/><Relationship Id="rId1033" Type="http://schemas.openxmlformats.org/officeDocument/2006/relationships/worksheet" Target="worksheets/sheet103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610" Type="http://schemas.openxmlformats.org/officeDocument/2006/relationships/worksheet" Target="worksheets/sheet610.xml"/><Relationship Id="rId652" Type="http://schemas.openxmlformats.org/officeDocument/2006/relationships/worksheet" Target="worksheets/sheet652.xml"/><Relationship Id="rId694" Type="http://schemas.openxmlformats.org/officeDocument/2006/relationships/worksheet" Target="worksheets/sheet694.xml"/><Relationship Id="rId708" Type="http://schemas.openxmlformats.org/officeDocument/2006/relationships/worksheet" Target="worksheets/sheet708.xml"/><Relationship Id="rId915" Type="http://schemas.openxmlformats.org/officeDocument/2006/relationships/worksheet" Target="worksheets/sheet915.xml"/><Relationship Id="rId1075" Type="http://schemas.openxmlformats.org/officeDocument/2006/relationships/worksheet" Target="worksheets/sheet1075.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957" Type="http://schemas.openxmlformats.org/officeDocument/2006/relationships/worksheet" Target="worksheets/sheet957.xml"/><Relationship Id="rId999" Type="http://schemas.openxmlformats.org/officeDocument/2006/relationships/worksheet" Target="worksheets/sheet999.xml"/><Relationship Id="rId1100" Type="http://schemas.openxmlformats.org/officeDocument/2006/relationships/worksheet" Target="worksheets/sheet1100.xml"/><Relationship Id="rId1142" Type="http://schemas.openxmlformats.org/officeDocument/2006/relationships/worksheet" Target="worksheets/sheet114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54" Type="http://schemas.openxmlformats.org/officeDocument/2006/relationships/worksheet" Target="worksheets/sheet554.xml"/><Relationship Id="rId596" Type="http://schemas.openxmlformats.org/officeDocument/2006/relationships/worksheet" Target="worksheets/sheet596.xml"/><Relationship Id="rId761" Type="http://schemas.openxmlformats.org/officeDocument/2006/relationships/worksheet" Target="worksheets/sheet761.xml"/><Relationship Id="rId817" Type="http://schemas.openxmlformats.org/officeDocument/2006/relationships/worksheet" Target="worksheets/sheet817.xml"/><Relationship Id="rId859" Type="http://schemas.openxmlformats.org/officeDocument/2006/relationships/worksheet" Target="worksheets/sheet859.xml"/><Relationship Id="rId1002" Type="http://schemas.openxmlformats.org/officeDocument/2006/relationships/worksheet" Target="worksheets/sheet1002.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621" Type="http://schemas.openxmlformats.org/officeDocument/2006/relationships/worksheet" Target="worksheets/sheet621.xml"/><Relationship Id="rId663" Type="http://schemas.openxmlformats.org/officeDocument/2006/relationships/worksheet" Target="worksheets/sheet663.xml"/><Relationship Id="rId870" Type="http://schemas.openxmlformats.org/officeDocument/2006/relationships/worksheet" Target="worksheets/sheet870.xml"/><Relationship Id="rId1044" Type="http://schemas.openxmlformats.org/officeDocument/2006/relationships/worksheet" Target="worksheets/sheet1044.xml"/><Relationship Id="rId1086" Type="http://schemas.openxmlformats.org/officeDocument/2006/relationships/worksheet" Target="worksheets/sheet1086.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719" Type="http://schemas.openxmlformats.org/officeDocument/2006/relationships/worksheet" Target="worksheets/sheet719.xml"/><Relationship Id="rId926" Type="http://schemas.openxmlformats.org/officeDocument/2006/relationships/worksheet" Target="worksheets/sheet926.xml"/><Relationship Id="rId968" Type="http://schemas.openxmlformats.org/officeDocument/2006/relationships/worksheet" Target="worksheets/sheet968.xml"/><Relationship Id="rId1111" Type="http://schemas.openxmlformats.org/officeDocument/2006/relationships/worksheet" Target="worksheets/sheet1111.xml"/><Relationship Id="rId1153" Type="http://schemas.openxmlformats.org/officeDocument/2006/relationships/worksheet" Target="worksheets/sheet1153.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worksheet" Target="worksheets/sheet565.xml"/><Relationship Id="rId730" Type="http://schemas.openxmlformats.org/officeDocument/2006/relationships/worksheet" Target="worksheets/sheet730.xml"/><Relationship Id="rId772" Type="http://schemas.openxmlformats.org/officeDocument/2006/relationships/worksheet" Target="worksheets/sheet772.xml"/><Relationship Id="rId828" Type="http://schemas.openxmlformats.org/officeDocument/2006/relationships/worksheet" Target="worksheets/sheet828.xml"/><Relationship Id="rId1013" Type="http://schemas.openxmlformats.org/officeDocument/2006/relationships/worksheet" Target="worksheets/sheet1013.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632" Type="http://schemas.openxmlformats.org/officeDocument/2006/relationships/worksheet" Target="worksheets/sheet632.xml"/><Relationship Id="rId1055" Type="http://schemas.openxmlformats.org/officeDocument/2006/relationships/worksheet" Target="worksheets/sheet1055.xml"/><Relationship Id="rId1097" Type="http://schemas.openxmlformats.org/officeDocument/2006/relationships/worksheet" Target="worksheets/sheet1097.xml"/><Relationship Id="rId271" Type="http://schemas.openxmlformats.org/officeDocument/2006/relationships/worksheet" Target="worksheets/sheet271.xml"/><Relationship Id="rId674" Type="http://schemas.openxmlformats.org/officeDocument/2006/relationships/worksheet" Target="worksheets/sheet674.xml"/><Relationship Id="rId881" Type="http://schemas.openxmlformats.org/officeDocument/2006/relationships/worksheet" Target="worksheets/sheet881.xml"/><Relationship Id="rId937" Type="http://schemas.openxmlformats.org/officeDocument/2006/relationships/worksheet" Target="worksheets/sheet937.xml"/><Relationship Id="rId979" Type="http://schemas.openxmlformats.org/officeDocument/2006/relationships/worksheet" Target="worksheets/sheet979.xml"/><Relationship Id="rId1122" Type="http://schemas.openxmlformats.org/officeDocument/2006/relationships/worksheet" Target="worksheets/sheet1122.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576" Type="http://schemas.openxmlformats.org/officeDocument/2006/relationships/worksheet" Target="worksheets/sheet576.xml"/><Relationship Id="rId741" Type="http://schemas.openxmlformats.org/officeDocument/2006/relationships/worksheet" Target="worksheets/sheet741.xml"/><Relationship Id="rId783" Type="http://schemas.openxmlformats.org/officeDocument/2006/relationships/worksheet" Target="worksheets/sheet783.xml"/><Relationship Id="rId839" Type="http://schemas.openxmlformats.org/officeDocument/2006/relationships/worksheet" Target="worksheets/sheet839.xml"/><Relationship Id="rId990" Type="http://schemas.openxmlformats.org/officeDocument/2006/relationships/worksheet" Target="worksheets/sheet990.xml"/><Relationship Id="rId1164" Type="http://schemas.openxmlformats.org/officeDocument/2006/relationships/worksheet" Target="worksheets/sheet1164.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601" Type="http://schemas.openxmlformats.org/officeDocument/2006/relationships/worksheet" Target="worksheets/sheet601.xml"/><Relationship Id="rId643" Type="http://schemas.openxmlformats.org/officeDocument/2006/relationships/worksheet" Target="worksheets/sheet643.xml"/><Relationship Id="rId1024" Type="http://schemas.openxmlformats.org/officeDocument/2006/relationships/worksheet" Target="worksheets/sheet1024.xml"/><Relationship Id="rId1066" Type="http://schemas.openxmlformats.org/officeDocument/2006/relationships/worksheet" Target="worksheets/sheet1066.xml"/><Relationship Id="rId240" Type="http://schemas.openxmlformats.org/officeDocument/2006/relationships/worksheet" Target="worksheets/sheet240.xml"/><Relationship Id="rId478" Type="http://schemas.openxmlformats.org/officeDocument/2006/relationships/worksheet" Target="worksheets/sheet478.xml"/><Relationship Id="rId685" Type="http://schemas.openxmlformats.org/officeDocument/2006/relationships/worksheet" Target="worksheets/sheet685.xml"/><Relationship Id="rId850" Type="http://schemas.openxmlformats.org/officeDocument/2006/relationships/worksheet" Target="worksheets/sheet850.xml"/><Relationship Id="rId892" Type="http://schemas.openxmlformats.org/officeDocument/2006/relationships/worksheet" Target="worksheets/sheet892.xml"/><Relationship Id="rId906" Type="http://schemas.openxmlformats.org/officeDocument/2006/relationships/worksheet" Target="worksheets/sheet906.xml"/><Relationship Id="rId948" Type="http://schemas.openxmlformats.org/officeDocument/2006/relationships/worksheet" Target="worksheets/sheet948.xml"/><Relationship Id="rId1133" Type="http://schemas.openxmlformats.org/officeDocument/2006/relationships/worksheet" Target="worksheets/sheet1133.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587" Type="http://schemas.openxmlformats.org/officeDocument/2006/relationships/worksheet" Target="worksheets/sheet587.xml"/><Relationship Id="rId710" Type="http://schemas.openxmlformats.org/officeDocument/2006/relationships/worksheet" Target="worksheets/sheet710.xml"/><Relationship Id="rId752" Type="http://schemas.openxmlformats.org/officeDocument/2006/relationships/worksheet" Target="worksheets/sheet752.xml"/><Relationship Id="rId808" Type="http://schemas.openxmlformats.org/officeDocument/2006/relationships/worksheet" Target="worksheets/sheet80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612" Type="http://schemas.openxmlformats.org/officeDocument/2006/relationships/worksheet" Target="worksheets/sheet612.xml"/><Relationship Id="rId794" Type="http://schemas.openxmlformats.org/officeDocument/2006/relationships/worksheet" Target="worksheets/sheet794.xml"/><Relationship Id="rId1035" Type="http://schemas.openxmlformats.org/officeDocument/2006/relationships/worksheet" Target="worksheets/sheet1035.xml"/><Relationship Id="rId1077" Type="http://schemas.openxmlformats.org/officeDocument/2006/relationships/worksheet" Target="worksheets/sheet1077.xml"/><Relationship Id="rId251" Type="http://schemas.openxmlformats.org/officeDocument/2006/relationships/worksheet" Target="worksheets/sheet251.xml"/><Relationship Id="rId489" Type="http://schemas.openxmlformats.org/officeDocument/2006/relationships/worksheet" Target="worksheets/sheet489.xml"/><Relationship Id="rId654" Type="http://schemas.openxmlformats.org/officeDocument/2006/relationships/worksheet" Target="worksheets/sheet654.xml"/><Relationship Id="rId696" Type="http://schemas.openxmlformats.org/officeDocument/2006/relationships/worksheet" Target="worksheets/sheet696.xml"/><Relationship Id="rId861" Type="http://schemas.openxmlformats.org/officeDocument/2006/relationships/worksheet" Target="worksheets/sheet861.xml"/><Relationship Id="rId917" Type="http://schemas.openxmlformats.org/officeDocument/2006/relationships/worksheet" Target="worksheets/sheet917.xml"/><Relationship Id="rId959" Type="http://schemas.openxmlformats.org/officeDocument/2006/relationships/worksheet" Target="worksheets/sheet959.xml"/><Relationship Id="rId1102" Type="http://schemas.openxmlformats.org/officeDocument/2006/relationships/worksheet" Target="worksheets/sheet1102.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556" Type="http://schemas.openxmlformats.org/officeDocument/2006/relationships/worksheet" Target="worksheets/sheet556.xml"/><Relationship Id="rId721" Type="http://schemas.openxmlformats.org/officeDocument/2006/relationships/worksheet" Target="worksheets/sheet721.xml"/><Relationship Id="rId763" Type="http://schemas.openxmlformats.org/officeDocument/2006/relationships/worksheet" Target="worksheets/sheet763.xml"/><Relationship Id="rId1144" Type="http://schemas.openxmlformats.org/officeDocument/2006/relationships/worksheet" Target="worksheets/sheet1144.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598" Type="http://schemas.openxmlformats.org/officeDocument/2006/relationships/worksheet" Target="worksheets/sheet598.xml"/><Relationship Id="rId819" Type="http://schemas.openxmlformats.org/officeDocument/2006/relationships/worksheet" Target="worksheets/sheet819.xml"/><Relationship Id="rId970" Type="http://schemas.openxmlformats.org/officeDocument/2006/relationships/worksheet" Target="worksheets/sheet970.xml"/><Relationship Id="rId1004" Type="http://schemas.openxmlformats.org/officeDocument/2006/relationships/worksheet" Target="worksheets/sheet1004.xml"/><Relationship Id="rId1046" Type="http://schemas.openxmlformats.org/officeDocument/2006/relationships/worksheet" Target="worksheets/sheet1046.xml"/><Relationship Id="rId220" Type="http://schemas.openxmlformats.org/officeDocument/2006/relationships/worksheet" Target="worksheets/sheet220.xml"/><Relationship Id="rId458" Type="http://schemas.openxmlformats.org/officeDocument/2006/relationships/worksheet" Target="worksheets/sheet458.xml"/><Relationship Id="rId623" Type="http://schemas.openxmlformats.org/officeDocument/2006/relationships/worksheet" Target="worksheets/sheet623.xml"/><Relationship Id="rId665" Type="http://schemas.openxmlformats.org/officeDocument/2006/relationships/worksheet" Target="worksheets/sheet665.xml"/><Relationship Id="rId830" Type="http://schemas.openxmlformats.org/officeDocument/2006/relationships/worksheet" Target="worksheets/sheet830.xml"/><Relationship Id="rId872" Type="http://schemas.openxmlformats.org/officeDocument/2006/relationships/worksheet" Target="worksheets/sheet872.xml"/><Relationship Id="rId928" Type="http://schemas.openxmlformats.org/officeDocument/2006/relationships/worksheet" Target="worksheets/sheet928.xml"/><Relationship Id="rId1088" Type="http://schemas.openxmlformats.org/officeDocument/2006/relationships/worksheet" Target="worksheets/sheet108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567" Type="http://schemas.openxmlformats.org/officeDocument/2006/relationships/worksheet" Target="worksheets/sheet567.xml"/><Relationship Id="rId732" Type="http://schemas.openxmlformats.org/officeDocument/2006/relationships/worksheet" Target="worksheets/sheet732.xml"/><Relationship Id="rId1113" Type="http://schemas.openxmlformats.org/officeDocument/2006/relationships/worksheet" Target="worksheets/sheet1113.xml"/><Relationship Id="rId1155" Type="http://schemas.openxmlformats.org/officeDocument/2006/relationships/worksheet" Target="worksheets/sheet1155.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774" Type="http://schemas.openxmlformats.org/officeDocument/2006/relationships/worksheet" Target="worksheets/sheet774.xml"/><Relationship Id="rId981" Type="http://schemas.openxmlformats.org/officeDocument/2006/relationships/worksheet" Target="worksheets/sheet981.xml"/><Relationship Id="rId1015" Type="http://schemas.openxmlformats.org/officeDocument/2006/relationships/worksheet" Target="worksheets/sheet1015.xml"/><Relationship Id="rId1057" Type="http://schemas.openxmlformats.org/officeDocument/2006/relationships/worksheet" Target="worksheets/sheet1057.xml"/><Relationship Id="rId427" Type="http://schemas.openxmlformats.org/officeDocument/2006/relationships/worksheet" Target="worksheets/sheet427.xml"/><Relationship Id="rId469" Type="http://schemas.openxmlformats.org/officeDocument/2006/relationships/worksheet" Target="worksheets/sheet469.xml"/><Relationship Id="rId634" Type="http://schemas.openxmlformats.org/officeDocument/2006/relationships/worksheet" Target="worksheets/sheet634.xml"/><Relationship Id="rId676" Type="http://schemas.openxmlformats.org/officeDocument/2006/relationships/worksheet" Target="worksheets/sheet676.xml"/><Relationship Id="rId841" Type="http://schemas.openxmlformats.org/officeDocument/2006/relationships/worksheet" Target="worksheets/sheet841.xml"/><Relationship Id="rId883" Type="http://schemas.openxmlformats.org/officeDocument/2006/relationships/worksheet" Target="worksheets/sheet883.xml"/><Relationship Id="rId1099" Type="http://schemas.openxmlformats.org/officeDocument/2006/relationships/worksheet" Target="worksheets/sheet109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701" Type="http://schemas.openxmlformats.org/officeDocument/2006/relationships/worksheet" Target="worksheets/sheet701.xml"/><Relationship Id="rId939" Type="http://schemas.openxmlformats.org/officeDocument/2006/relationships/worksheet" Target="worksheets/sheet939.xml"/><Relationship Id="rId1124" Type="http://schemas.openxmlformats.org/officeDocument/2006/relationships/worksheet" Target="worksheets/sheet1124.xml"/><Relationship Id="rId1166" Type="http://schemas.openxmlformats.org/officeDocument/2006/relationships/worksheet" Target="worksheets/sheet1166.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578" Type="http://schemas.openxmlformats.org/officeDocument/2006/relationships/worksheet" Target="worksheets/sheet578.xml"/><Relationship Id="rId743" Type="http://schemas.openxmlformats.org/officeDocument/2006/relationships/worksheet" Target="worksheets/sheet743.xml"/><Relationship Id="rId785" Type="http://schemas.openxmlformats.org/officeDocument/2006/relationships/worksheet" Target="worksheets/sheet785.xml"/><Relationship Id="rId950" Type="http://schemas.openxmlformats.org/officeDocument/2006/relationships/worksheet" Target="worksheets/sheet950.xml"/><Relationship Id="rId992" Type="http://schemas.openxmlformats.org/officeDocument/2006/relationships/worksheet" Target="worksheets/sheet992.xml"/><Relationship Id="rId1026" Type="http://schemas.openxmlformats.org/officeDocument/2006/relationships/worksheet" Target="worksheets/sheet1026.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603" Type="http://schemas.openxmlformats.org/officeDocument/2006/relationships/worksheet" Target="worksheets/sheet603.xml"/><Relationship Id="rId645" Type="http://schemas.openxmlformats.org/officeDocument/2006/relationships/worksheet" Target="worksheets/sheet645.xml"/><Relationship Id="rId687" Type="http://schemas.openxmlformats.org/officeDocument/2006/relationships/worksheet" Target="worksheets/sheet687.xml"/><Relationship Id="rId810" Type="http://schemas.openxmlformats.org/officeDocument/2006/relationships/worksheet" Target="worksheets/sheet810.xml"/><Relationship Id="rId852" Type="http://schemas.openxmlformats.org/officeDocument/2006/relationships/worksheet" Target="worksheets/sheet852.xml"/><Relationship Id="rId908" Type="http://schemas.openxmlformats.org/officeDocument/2006/relationships/worksheet" Target="worksheets/sheet908.xml"/><Relationship Id="rId1068" Type="http://schemas.openxmlformats.org/officeDocument/2006/relationships/worksheet" Target="worksheets/sheet1068.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712" Type="http://schemas.openxmlformats.org/officeDocument/2006/relationships/worksheet" Target="worksheets/sheet712.xml"/><Relationship Id="rId894" Type="http://schemas.openxmlformats.org/officeDocument/2006/relationships/worksheet" Target="worksheets/sheet894.xml"/><Relationship Id="rId1135" Type="http://schemas.openxmlformats.org/officeDocument/2006/relationships/worksheet" Target="worksheets/sheet1135.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worksheet" Target="worksheets/sheet547.xml"/><Relationship Id="rId589" Type="http://schemas.openxmlformats.org/officeDocument/2006/relationships/worksheet" Target="worksheets/sheet589.xml"/><Relationship Id="rId754" Type="http://schemas.openxmlformats.org/officeDocument/2006/relationships/worksheet" Target="worksheets/sheet754.xml"/><Relationship Id="rId796" Type="http://schemas.openxmlformats.org/officeDocument/2006/relationships/worksheet" Target="worksheets/sheet796.xml"/><Relationship Id="rId961" Type="http://schemas.openxmlformats.org/officeDocument/2006/relationships/worksheet" Target="worksheets/sheet961.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614" Type="http://schemas.openxmlformats.org/officeDocument/2006/relationships/worksheet" Target="worksheets/sheet614.xml"/><Relationship Id="rId656" Type="http://schemas.openxmlformats.org/officeDocument/2006/relationships/worksheet" Target="worksheets/sheet656.xml"/><Relationship Id="rId821" Type="http://schemas.openxmlformats.org/officeDocument/2006/relationships/worksheet" Target="worksheets/sheet821.xml"/><Relationship Id="rId863" Type="http://schemas.openxmlformats.org/officeDocument/2006/relationships/worksheet" Target="worksheets/sheet863.xml"/><Relationship Id="rId1037" Type="http://schemas.openxmlformats.org/officeDocument/2006/relationships/worksheet" Target="worksheets/sheet1037.xml"/><Relationship Id="rId1079" Type="http://schemas.openxmlformats.org/officeDocument/2006/relationships/worksheet" Target="worksheets/sheet107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698" Type="http://schemas.openxmlformats.org/officeDocument/2006/relationships/worksheet" Target="worksheets/sheet698.xml"/><Relationship Id="rId919" Type="http://schemas.openxmlformats.org/officeDocument/2006/relationships/worksheet" Target="worksheets/sheet919.xml"/><Relationship Id="rId1090" Type="http://schemas.openxmlformats.org/officeDocument/2006/relationships/worksheet" Target="worksheets/sheet1090.xml"/><Relationship Id="rId1104" Type="http://schemas.openxmlformats.org/officeDocument/2006/relationships/worksheet" Target="worksheets/sheet1104.xml"/><Relationship Id="rId1146" Type="http://schemas.openxmlformats.org/officeDocument/2006/relationships/worksheet" Target="worksheets/sheet1146.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worksheet" Target="worksheets/sheet558.xml"/><Relationship Id="rId723" Type="http://schemas.openxmlformats.org/officeDocument/2006/relationships/worksheet" Target="worksheets/sheet723.xml"/><Relationship Id="rId765" Type="http://schemas.openxmlformats.org/officeDocument/2006/relationships/worksheet" Target="worksheets/sheet765.xml"/><Relationship Id="rId930" Type="http://schemas.openxmlformats.org/officeDocument/2006/relationships/worksheet" Target="worksheets/sheet930.xml"/><Relationship Id="rId972" Type="http://schemas.openxmlformats.org/officeDocument/2006/relationships/worksheet" Target="worksheets/sheet972.xml"/><Relationship Id="rId1006" Type="http://schemas.openxmlformats.org/officeDocument/2006/relationships/worksheet" Target="worksheets/sheet1006.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625" Type="http://schemas.openxmlformats.org/officeDocument/2006/relationships/worksheet" Target="worksheets/sheet625.xml"/><Relationship Id="rId832" Type="http://schemas.openxmlformats.org/officeDocument/2006/relationships/worksheet" Target="worksheets/sheet832.xml"/><Relationship Id="rId1048" Type="http://schemas.openxmlformats.org/officeDocument/2006/relationships/worksheet" Target="worksheets/sheet104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667" Type="http://schemas.openxmlformats.org/officeDocument/2006/relationships/worksheet" Target="worksheets/sheet667.xml"/><Relationship Id="rId874" Type="http://schemas.openxmlformats.org/officeDocument/2006/relationships/worksheet" Target="worksheets/sheet874.xml"/><Relationship Id="rId1115" Type="http://schemas.openxmlformats.org/officeDocument/2006/relationships/worksheet" Target="worksheets/sheet1115.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569" Type="http://schemas.openxmlformats.org/officeDocument/2006/relationships/worksheet" Target="worksheets/sheet569.xml"/><Relationship Id="rId734" Type="http://schemas.openxmlformats.org/officeDocument/2006/relationships/worksheet" Target="worksheets/sheet734.xml"/><Relationship Id="rId776" Type="http://schemas.openxmlformats.org/officeDocument/2006/relationships/worksheet" Target="worksheets/sheet776.xml"/><Relationship Id="rId941" Type="http://schemas.openxmlformats.org/officeDocument/2006/relationships/worksheet" Target="worksheets/sheet941.xml"/><Relationship Id="rId983" Type="http://schemas.openxmlformats.org/officeDocument/2006/relationships/worksheet" Target="worksheets/sheet983.xml"/><Relationship Id="rId1157" Type="http://schemas.openxmlformats.org/officeDocument/2006/relationships/worksheet" Target="worksheets/sheet1157.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580" Type="http://schemas.openxmlformats.org/officeDocument/2006/relationships/worksheet" Target="worksheets/sheet580.xml"/><Relationship Id="rId636" Type="http://schemas.openxmlformats.org/officeDocument/2006/relationships/worksheet" Target="worksheets/sheet636.xml"/><Relationship Id="rId801" Type="http://schemas.openxmlformats.org/officeDocument/2006/relationships/worksheet" Target="worksheets/sheet801.xml"/><Relationship Id="rId1017" Type="http://schemas.openxmlformats.org/officeDocument/2006/relationships/worksheet" Target="worksheets/sheet1017.xml"/><Relationship Id="rId1059" Type="http://schemas.openxmlformats.org/officeDocument/2006/relationships/worksheet" Target="worksheets/sheet1059.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678" Type="http://schemas.openxmlformats.org/officeDocument/2006/relationships/worksheet" Target="worksheets/sheet678.xml"/><Relationship Id="rId843" Type="http://schemas.openxmlformats.org/officeDocument/2006/relationships/worksheet" Target="worksheets/sheet843.xml"/><Relationship Id="rId885" Type="http://schemas.openxmlformats.org/officeDocument/2006/relationships/worksheet" Target="worksheets/sheet885.xml"/><Relationship Id="rId1070" Type="http://schemas.openxmlformats.org/officeDocument/2006/relationships/worksheet" Target="worksheets/sheet1070.xml"/><Relationship Id="rId1126" Type="http://schemas.openxmlformats.org/officeDocument/2006/relationships/worksheet" Target="worksheets/sheet1126.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703" Type="http://schemas.openxmlformats.org/officeDocument/2006/relationships/worksheet" Target="worksheets/sheet703.xml"/><Relationship Id="rId745" Type="http://schemas.openxmlformats.org/officeDocument/2006/relationships/worksheet" Target="worksheets/sheet745.xml"/><Relationship Id="rId910" Type="http://schemas.openxmlformats.org/officeDocument/2006/relationships/worksheet" Target="worksheets/sheet910.xml"/><Relationship Id="rId952" Type="http://schemas.openxmlformats.org/officeDocument/2006/relationships/worksheet" Target="worksheets/sheet952.xml"/><Relationship Id="rId1168" Type="http://schemas.openxmlformats.org/officeDocument/2006/relationships/worksheet" Target="worksheets/sheet1168.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591" Type="http://schemas.openxmlformats.org/officeDocument/2006/relationships/worksheet" Target="worksheets/sheet591.xml"/><Relationship Id="rId605" Type="http://schemas.openxmlformats.org/officeDocument/2006/relationships/worksheet" Target="worksheets/sheet605.xml"/><Relationship Id="rId787" Type="http://schemas.openxmlformats.org/officeDocument/2006/relationships/worksheet" Target="worksheets/sheet787.xml"/><Relationship Id="rId812" Type="http://schemas.openxmlformats.org/officeDocument/2006/relationships/worksheet" Target="worksheets/sheet812.xml"/><Relationship Id="rId994" Type="http://schemas.openxmlformats.org/officeDocument/2006/relationships/worksheet" Target="worksheets/sheet994.xml"/><Relationship Id="rId1028" Type="http://schemas.openxmlformats.org/officeDocument/2006/relationships/worksheet" Target="worksheets/sheet1028.xml"/><Relationship Id="rId202" Type="http://schemas.openxmlformats.org/officeDocument/2006/relationships/worksheet" Target="worksheets/sheet202.xml"/><Relationship Id="rId244" Type="http://schemas.openxmlformats.org/officeDocument/2006/relationships/worksheet" Target="worksheets/sheet244.xml"/><Relationship Id="rId647" Type="http://schemas.openxmlformats.org/officeDocument/2006/relationships/worksheet" Target="worksheets/sheet647.xml"/><Relationship Id="rId689" Type="http://schemas.openxmlformats.org/officeDocument/2006/relationships/worksheet" Target="worksheets/sheet689.xml"/><Relationship Id="rId854" Type="http://schemas.openxmlformats.org/officeDocument/2006/relationships/worksheet" Target="worksheets/sheet854.xml"/><Relationship Id="rId896" Type="http://schemas.openxmlformats.org/officeDocument/2006/relationships/worksheet" Target="worksheets/sheet896.xml"/><Relationship Id="rId1081" Type="http://schemas.openxmlformats.org/officeDocument/2006/relationships/worksheet" Target="worksheets/sheet1081.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worksheet" Target="worksheets/sheet549.xml"/><Relationship Id="rId714" Type="http://schemas.openxmlformats.org/officeDocument/2006/relationships/worksheet" Target="worksheets/sheet714.xml"/><Relationship Id="rId756" Type="http://schemas.openxmlformats.org/officeDocument/2006/relationships/worksheet" Target="worksheets/sheet756.xml"/><Relationship Id="rId921" Type="http://schemas.openxmlformats.org/officeDocument/2006/relationships/worksheet" Target="worksheets/sheet921.xml"/><Relationship Id="rId1137" Type="http://schemas.openxmlformats.org/officeDocument/2006/relationships/worksheet" Target="worksheets/sheet1137.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560" Type="http://schemas.openxmlformats.org/officeDocument/2006/relationships/worksheet" Target="worksheets/sheet560.xml"/><Relationship Id="rId798" Type="http://schemas.openxmlformats.org/officeDocument/2006/relationships/worksheet" Target="worksheets/sheet798.xml"/><Relationship Id="rId963" Type="http://schemas.openxmlformats.org/officeDocument/2006/relationships/worksheet" Target="worksheets/sheet963.xml"/><Relationship Id="rId1039" Type="http://schemas.openxmlformats.org/officeDocument/2006/relationships/worksheet" Target="worksheets/sheet1039.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616" Type="http://schemas.openxmlformats.org/officeDocument/2006/relationships/worksheet" Target="worksheets/sheet616.xml"/><Relationship Id="rId658" Type="http://schemas.openxmlformats.org/officeDocument/2006/relationships/worksheet" Target="worksheets/sheet658.xml"/><Relationship Id="rId823" Type="http://schemas.openxmlformats.org/officeDocument/2006/relationships/worksheet" Target="worksheets/sheet823.xml"/><Relationship Id="rId865" Type="http://schemas.openxmlformats.org/officeDocument/2006/relationships/worksheet" Target="worksheets/sheet865.xml"/><Relationship Id="rId1050" Type="http://schemas.openxmlformats.org/officeDocument/2006/relationships/worksheet" Target="worksheets/sheet105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725" Type="http://schemas.openxmlformats.org/officeDocument/2006/relationships/worksheet" Target="worksheets/sheet725.xml"/><Relationship Id="rId932" Type="http://schemas.openxmlformats.org/officeDocument/2006/relationships/worksheet" Target="worksheets/sheet932.xml"/><Relationship Id="rId1092" Type="http://schemas.openxmlformats.org/officeDocument/2006/relationships/worksheet" Target="worksheets/sheet1092.xml"/><Relationship Id="rId1106" Type="http://schemas.openxmlformats.org/officeDocument/2006/relationships/worksheet" Target="worksheets/sheet1106.xml"/><Relationship Id="rId1148" Type="http://schemas.openxmlformats.org/officeDocument/2006/relationships/worksheet" Target="worksheets/sheet1148.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767" Type="http://schemas.openxmlformats.org/officeDocument/2006/relationships/worksheet" Target="worksheets/sheet767.xml"/><Relationship Id="rId974" Type="http://schemas.openxmlformats.org/officeDocument/2006/relationships/worksheet" Target="worksheets/sheet974.xml"/><Relationship Id="rId1008" Type="http://schemas.openxmlformats.org/officeDocument/2006/relationships/worksheet" Target="worksheets/sheet1008.xml"/><Relationship Id="rId61" Type="http://schemas.openxmlformats.org/officeDocument/2006/relationships/worksheet" Target="worksheets/sheet61.xml"/><Relationship Id="rId199" Type="http://schemas.openxmlformats.org/officeDocument/2006/relationships/worksheet" Target="worksheets/sheet199.xml"/><Relationship Id="rId571" Type="http://schemas.openxmlformats.org/officeDocument/2006/relationships/worksheet" Target="worksheets/sheet571.xml"/><Relationship Id="rId627" Type="http://schemas.openxmlformats.org/officeDocument/2006/relationships/worksheet" Target="worksheets/sheet627.xml"/><Relationship Id="rId669" Type="http://schemas.openxmlformats.org/officeDocument/2006/relationships/worksheet" Target="worksheets/sheet669.xml"/><Relationship Id="rId834" Type="http://schemas.openxmlformats.org/officeDocument/2006/relationships/worksheet" Target="worksheets/sheet834.xml"/><Relationship Id="rId876" Type="http://schemas.openxmlformats.org/officeDocument/2006/relationships/worksheet" Target="worksheets/sheet876.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680" Type="http://schemas.openxmlformats.org/officeDocument/2006/relationships/worksheet" Target="worksheets/sheet680.xml"/><Relationship Id="rId736" Type="http://schemas.openxmlformats.org/officeDocument/2006/relationships/worksheet" Target="worksheets/sheet736.xml"/><Relationship Id="rId901" Type="http://schemas.openxmlformats.org/officeDocument/2006/relationships/worksheet" Target="worksheets/sheet901.xml"/><Relationship Id="rId1061" Type="http://schemas.openxmlformats.org/officeDocument/2006/relationships/worksheet" Target="worksheets/sheet1061.xml"/><Relationship Id="rId1117" Type="http://schemas.openxmlformats.org/officeDocument/2006/relationships/worksheet" Target="worksheets/sheet1117.xml"/><Relationship Id="rId1159" Type="http://schemas.openxmlformats.org/officeDocument/2006/relationships/worksheet" Target="worksheets/sheet1159.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78" Type="http://schemas.openxmlformats.org/officeDocument/2006/relationships/worksheet" Target="worksheets/sheet778.xml"/><Relationship Id="rId943" Type="http://schemas.openxmlformats.org/officeDocument/2006/relationships/worksheet" Target="worksheets/sheet943.xml"/><Relationship Id="rId985" Type="http://schemas.openxmlformats.org/officeDocument/2006/relationships/worksheet" Target="worksheets/sheet985.xml"/><Relationship Id="rId1019" Type="http://schemas.openxmlformats.org/officeDocument/2006/relationships/worksheet" Target="worksheets/sheet1019.xml"/><Relationship Id="rId1170" Type="http://schemas.openxmlformats.org/officeDocument/2006/relationships/theme" Target="theme/theme1.xml"/><Relationship Id="rId72" Type="http://schemas.openxmlformats.org/officeDocument/2006/relationships/worksheet" Target="worksheets/sheet72.xml"/><Relationship Id="rId375" Type="http://schemas.openxmlformats.org/officeDocument/2006/relationships/worksheet" Target="worksheets/sheet375.xml"/><Relationship Id="rId582" Type="http://schemas.openxmlformats.org/officeDocument/2006/relationships/worksheet" Target="worksheets/sheet582.xml"/><Relationship Id="rId638" Type="http://schemas.openxmlformats.org/officeDocument/2006/relationships/worksheet" Target="worksheets/sheet638.xml"/><Relationship Id="rId803" Type="http://schemas.openxmlformats.org/officeDocument/2006/relationships/worksheet" Target="worksheets/sheet803.xml"/><Relationship Id="rId845" Type="http://schemas.openxmlformats.org/officeDocument/2006/relationships/worksheet" Target="worksheets/sheet845.xml"/><Relationship Id="rId1030" Type="http://schemas.openxmlformats.org/officeDocument/2006/relationships/worksheet" Target="worksheets/sheet1030.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705" Type="http://schemas.openxmlformats.org/officeDocument/2006/relationships/worksheet" Target="worksheets/sheet705.xml"/><Relationship Id="rId887" Type="http://schemas.openxmlformats.org/officeDocument/2006/relationships/worksheet" Target="worksheets/sheet887.xml"/><Relationship Id="rId1072" Type="http://schemas.openxmlformats.org/officeDocument/2006/relationships/worksheet" Target="worksheets/sheet1072.xml"/><Relationship Id="rId1128" Type="http://schemas.openxmlformats.org/officeDocument/2006/relationships/worksheet" Target="worksheets/sheet1128.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691" Type="http://schemas.openxmlformats.org/officeDocument/2006/relationships/worksheet" Target="worksheets/sheet691.xml"/><Relationship Id="rId747" Type="http://schemas.openxmlformats.org/officeDocument/2006/relationships/worksheet" Target="worksheets/sheet747.xml"/><Relationship Id="rId789" Type="http://schemas.openxmlformats.org/officeDocument/2006/relationships/worksheet" Target="worksheets/sheet789.xml"/><Relationship Id="rId912" Type="http://schemas.openxmlformats.org/officeDocument/2006/relationships/worksheet" Target="worksheets/sheet912.xml"/><Relationship Id="rId954" Type="http://schemas.openxmlformats.org/officeDocument/2006/relationships/worksheet" Target="worksheets/sheet954.xml"/><Relationship Id="rId996" Type="http://schemas.openxmlformats.org/officeDocument/2006/relationships/worksheet" Target="worksheets/sheet996.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551" Type="http://schemas.openxmlformats.org/officeDocument/2006/relationships/worksheet" Target="worksheets/sheet551.xml"/><Relationship Id="rId593" Type="http://schemas.openxmlformats.org/officeDocument/2006/relationships/worksheet" Target="worksheets/sheet593.xml"/><Relationship Id="rId607" Type="http://schemas.openxmlformats.org/officeDocument/2006/relationships/worksheet" Target="worksheets/sheet607.xml"/><Relationship Id="rId649" Type="http://schemas.openxmlformats.org/officeDocument/2006/relationships/worksheet" Target="worksheets/sheet649.xml"/><Relationship Id="rId814" Type="http://schemas.openxmlformats.org/officeDocument/2006/relationships/worksheet" Target="worksheets/sheet814.xml"/><Relationship Id="rId856" Type="http://schemas.openxmlformats.org/officeDocument/2006/relationships/worksheet" Target="worksheets/sheet856.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660" Type="http://schemas.openxmlformats.org/officeDocument/2006/relationships/worksheet" Target="worksheets/sheet660.xml"/><Relationship Id="rId898" Type="http://schemas.openxmlformats.org/officeDocument/2006/relationships/worksheet" Target="worksheets/sheet898.xml"/><Relationship Id="rId1041" Type="http://schemas.openxmlformats.org/officeDocument/2006/relationships/worksheet" Target="worksheets/sheet1041.xml"/><Relationship Id="rId1083" Type="http://schemas.openxmlformats.org/officeDocument/2006/relationships/worksheet" Target="worksheets/sheet1083.xml"/><Relationship Id="rId1139" Type="http://schemas.openxmlformats.org/officeDocument/2006/relationships/worksheet" Target="worksheets/sheet1139.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716" Type="http://schemas.openxmlformats.org/officeDocument/2006/relationships/worksheet" Target="worksheets/sheet716.xml"/><Relationship Id="rId758" Type="http://schemas.openxmlformats.org/officeDocument/2006/relationships/worksheet" Target="worksheets/sheet758.xml"/><Relationship Id="rId923" Type="http://schemas.openxmlformats.org/officeDocument/2006/relationships/worksheet" Target="worksheets/sheet923.xml"/><Relationship Id="rId965" Type="http://schemas.openxmlformats.org/officeDocument/2006/relationships/worksheet" Target="worksheets/sheet965.xml"/><Relationship Id="rId1150" Type="http://schemas.openxmlformats.org/officeDocument/2006/relationships/worksheet" Target="worksheets/sheet1150.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worksheet" Target="worksheets/sheet148.xml"/><Relationship Id="rId355" Type="http://schemas.openxmlformats.org/officeDocument/2006/relationships/worksheet" Target="worksheets/sheet355.xml"/><Relationship Id="rId397" Type="http://schemas.openxmlformats.org/officeDocument/2006/relationships/worksheet" Target="worksheets/sheet397.xml"/><Relationship Id="rId520" Type="http://schemas.openxmlformats.org/officeDocument/2006/relationships/worksheet" Target="worksheets/sheet520.xml"/><Relationship Id="rId562" Type="http://schemas.openxmlformats.org/officeDocument/2006/relationships/worksheet" Target="worksheets/sheet562.xml"/><Relationship Id="rId618" Type="http://schemas.openxmlformats.org/officeDocument/2006/relationships/worksheet" Target="worksheets/sheet618.xml"/><Relationship Id="rId825" Type="http://schemas.openxmlformats.org/officeDocument/2006/relationships/worksheet" Target="worksheets/sheet825.xml"/><Relationship Id="rId215" Type="http://schemas.openxmlformats.org/officeDocument/2006/relationships/worksheet" Target="worksheets/sheet215.xml"/><Relationship Id="rId257" Type="http://schemas.openxmlformats.org/officeDocument/2006/relationships/worksheet" Target="worksheets/sheet257.xml"/><Relationship Id="rId422" Type="http://schemas.openxmlformats.org/officeDocument/2006/relationships/worksheet" Target="worksheets/sheet422.xml"/><Relationship Id="rId464" Type="http://schemas.openxmlformats.org/officeDocument/2006/relationships/worksheet" Target="worksheets/sheet464.xml"/><Relationship Id="rId867" Type="http://schemas.openxmlformats.org/officeDocument/2006/relationships/worksheet" Target="worksheets/sheet867.xml"/><Relationship Id="rId1010" Type="http://schemas.openxmlformats.org/officeDocument/2006/relationships/worksheet" Target="worksheets/sheet1010.xml"/><Relationship Id="rId1052" Type="http://schemas.openxmlformats.org/officeDocument/2006/relationships/worksheet" Target="worksheets/sheet1052.xml"/><Relationship Id="rId1094" Type="http://schemas.openxmlformats.org/officeDocument/2006/relationships/worksheet" Target="worksheets/sheet1094.xml"/><Relationship Id="rId1108" Type="http://schemas.openxmlformats.org/officeDocument/2006/relationships/worksheet" Target="worksheets/sheet1108.xml"/><Relationship Id="rId299" Type="http://schemas.openxmlformats.org/officeDocument/2006/relationships/worksheet" Target="worksheets/sheet299.xml"/><Relationship Id="rId727" Type="http://schemas.openxmlformats.org/officeDocument/2006/relationships/worksheet" Target="worksheets/sheet727.xml"/><Relationship Id="rId934" Type="http://schemas.openxmlformats.org/officeDocument/2006/relationships/worksheet" Target="worksheets/sheet934.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573" Type="http://schemas.openxmlformats.org/officeDocument/2006/relationships/worksheet" Target="worksheets/sheet573.xml"/><Relationship Id="rId780" Type="http://schemas.openxmlformats.org/officeDocument/2006/relationships/worksheet" Target="worksheets/sheet780.xml"/><Relationship Id="rId226" Type="http://schemas.openxmlformats.org/officeDocument/2006/relationships/worksheet" Target="worksheets/sheet226.xml"/><Relationship Id="rId433" Type="http://schemas.openxmlformats.org/officeDocument/2006/relationships/worksheet" Target="worksheets/sheet433.xml"/><Relationship Id="rId878" Type="http://schemas.openxmlformats.org/officeDocument/2006/relationships/worksheet" Target="worksheets/sheet878.xml"/><Relationship Id="rId1063" Type="http://schemas.openxmlformats.org/officeDocument/2006/relationships/worksheet" Target="worksheets/sheet1063.xml"/><Relationship Id="rId640" Type="http://schemas.openxmlformats.org/officeDocument/2006/relationships/worksheet" Target="worksheets/sheet640.xml"/><Relationship Id="rId738" Type="http://schemas.openxmlformats.org/officeDocument/2006/relationships/worksheet" Target="worksheets/sheet738.xml"/><Relationship Id="rId945" Type="http://schemas.openxmlformats.org/officeDocument/2006/relationships/worksheet" Target="worksheets/sheet945.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84" Type="http://schemas.openxmlformats.org/officeDocument/2006/relationships/worksheet" Target="worksheets/sheet584.xml"/><Relationship Id="rId805" Type="http://schemas.openxmlformats.org/officeDocument/2006/relationships/worksheet" Target="worksheets/sheet805.xml"/><Relationship Id="rId1130" Type="http://schemas.openxmlformats.org/officeDocument/2006/relationships/worksheet" Target="worksheets/sheet1130.xml"/><Relationship Id="rId5" Type="http://schemas.openxmlformats.org/officeDocument/2006/relationships/worksheet" Target="worksheets/sheet5.xml"/><Relationship Id="rId237" Type="http://schemas.openxmlformats.org/officeDocument/2006/relationships/worksheet" Target="worksheets/sheet237.xml"/><Relationship Id="rId791" Type="http://schemas.openxmlformats.org/officeDocument/2006/relationships/worksheet" Target="worksheets/sheet791.xml"/><Relationship Id="rId889" Type="http://schemas.openxmlformats.org/officeDocument/2006/relationships/worksheet" Target="worksheets/sheet889.xml"/><Relationship Id="rId1074" Type="http://schemas.openxmlformats.org/officeDocument/2006/relationships/worksheet" Target="worksheets/sheet1074.xml"/><Relationship Id="rId444" Type="http://schemas.openxmlformats.org/officeDocument/2006/relationships/worksheet" Target="worksheets/sheet444.xml"/><Relationship Id="rId651" Type="http://schemas.openxmlformats.org/officeDocument/2006/relationships/worksheet" Target="worksheets/sheet651.xml"/><Relationship Id="rId749" Type="http://schemas.openxmlformats.org/officeDocument/2006/relationships/worksheet" Target="worksheets/sheet749.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609" Type="http://schemas.openxmlformats.org/officeDocument/2006/relationships/worksheet" Target="worksheets/sheet609.xml"/><Relationship Id="rId956" Type="http://schemas.openxmlformats.org/officeDocument/2006/relationships/worksheet" Target="worksheets/sheet956.xml"/><Relationship Id="rId1141" Type="http://schemas.openxmlformats.org/officeDocument/2006/relationships/worksheet" Target="worksheets/sheet1141.xml"/><Relationship Id="rId85" Type="http://schemas.openxmlformats.org/officeDocument/2006/relationships/worksheet" Target="worksheets/sheet85.xml"/><Relationship Id="rId150" Type="http://schemas.openxmlformats.org/officeDocument/2006/relationships/worksheet" Target="worksheets/sheet150.xml"/><Relationship Id="rId595" Type="http://schemas.openxmlformats.org/officeDocument/2006/relationships/worksheet" Target="worksheets/sheet595.xml"/><Relationship Id="rId816" Type="http://schemas.openxmlformats.org/officeDocument/2006/relationships/worksheet" Target="worksheets/sheet816.xml"/><Relationship Id="rId1001" Type="http://schemas.openxmlformats.org/officeDocument/2006/relationships/worksheet" Target="worksheets/sheet1001.xml"/><Relationship Id="rId248" Type="http://schemas.openxmlformats.org/officeDocument/2006/relationships/worksheet" Target="worksheets/sheet248.xml"/><Relationship Id="rId455" Type="http://schemas.openxmlformats.org/officeDocument/2006/relationships/worksheet" Target="worksheets/sheet455.xml"/><Relationship Id="rId662" Type="http://schemas.openxmlformats.org/officeDocument/2006/relationships/worksheet" Target="worksheets/sheet662.xml"/><Relationship Id="rId1085" Type="http://schemas.openxmlformats.org/officeDocument/2006/relationships/worksheet" Target="worksheets/sheet108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22" Type="http://schemas.openxmlformats.org/officeDocument/2006/relationships/worksheet" Target="worksheets/sheet522.xml"/><Relationship Id="rId967" Type="http://schemas.openxmlformats.org/officeDocument/2006/relationships/worksheet" Target="worksheets/sheet967.xml"/><Relationship Id="rId1152" Type="http://schemas.openxmlformats.org/officeDocument/2006/relationships/worksheet" Target="worksheets/sheet1152.xml"/><Relationship Id="rId96" Type="http://schemas.openxmlformats.org/officeDocument/2006/relationships/worksheet" Target="worksheets/sheet96.xml"/><Relationship Id="rId161" Type="http://schemas.openxmlformats.org/officeDocument/2006/relationships/worksheet" Target="worksheets/sheet161.xml"/><Relationship Id="rId399" Type="http://schemas.openxmlformats.org/officeDocument/2006/relationships/worksheet" Target="worksheets/sheet399.xml"/><Relationship Id="rId827" Type="http://schemas.openxmlformats.org/officeDocument/2006/relationships/worksheet" Target="worksheets/sheet827.xml"/><Relationship Id="rId1012" Type="http://schemas.openxmlformats.org/officeDocument/2006/relationships/worksheet" Target="worksheets/sheet1012.xml"/><Relationship Id="rId259" Type="http://schemas.openxmlformats.org/officeDocument/2006/relationships/worksheet" Target="worksheets/sheet259.xml"/><Relationship Id="rId466" Type="http://schemas.openxmlformats.org/officeDocument/2006/relationships/worksheet" Target="worksheets/sheet466.xml"/><Relationship Id="rId673" Type="http://schemas.openxmlformats.org/officeDocument/2006/relationships/worksheet" Target="worksheets/sheet673.xml"/><Relationship Id="rId880" Type="http://schemas.openxmlformats.org/officeDocument/2006/relationships/worksheet" Target="worksheets/sheet880.xml"/><Relationship Id="rId1096" Type="http://schemas.openxmlformats.org/officeDocument/2006/relationships/worksheet" Target="worksheets/sheet1096.xml"/><Relationship Id="rId23" Type="http://schemas.openxmlformats.org/officeDocument/2006/relationships/worksheet" Target="worksheets/sheet23.xml"/><Relationship Id="rId119" Type="http://schemas.openxmlformats.org/officeDocument/2006/relationships/worksheet" Target="worksheets/sheet119.xml"/><Relationship Id="rId326" Type="http://schemas.openxmlformats.org/officeDocument/2006/relationships/worksheet" Target="worksheets/sheet326.xml"/><Relationship Id="rId533" Type="http://schemas.openxmlformats.org/officeDocument/2006/relationships/worksheet" Target="worksheets/sheet533.xml"/><Relationship Id="rId978" Type="http://schemas.openxmlformats.org/officeDocument/2006/relationships/worksheet" Target="worksheets/sheet978.xml"/><Relationship Id="rId1163" Type="http://schemas.openxmlformats.org/officeDocument/2006/relationships/worksheet" Target="worksheets/sheet1163.xml"/><Relationship Id="rId740" Type="http://schemas.openxmlformats.org/officeDocument/2006/relationships/worksheet" Target="worksheets/sheet740.xml"/><Relationship Id="rId838" Type="http://schemas.openxmlformats.org/officeDocument/2006/relationships/worksheet" Target="worksheets/sheet838.xml"/><Relationship Id="rId1023" Type="http://schemas.openxmlformats.org/officeDocument/2006/relationships/worksheet" Target="worksheets/sheet1023.xml"/><Relationship Id="rId172" Type="http://schemas.openxmlformats.org/officeDocument/2006/relationships/worksheet" Target="worksheets/sheet172.xml"/><Relationship Id="rId477" Type="http://schemas.openxmlformats.org/officeDocument/2006/relationships/worksheet" Target="worksheets/sheet477.xml"/><Relationship Id="rId600" Type="http://schemas.openxmlformats.org/officeDocument/2006/relationships/worksheet" Target="worksheets/sheet600.xml"/><Relationship Id="rId684" Type="http://schemas.openxmlformats.org/officeDocument/2006/relationships/worksheet" Target="worksheets/sheet684.xml"/><Relationship Id="rId337" Type="http://schemas.openxmlformats.org/officeDocument/2006/relationships/worksheet" Target="worksheets/sheet337.xml"/><Relationship Id="rId891" Type="http://schemas.openxmlformats.org/officeDocument/2006/relationships/worksheet" Target="worksheets/sheet891.xml"/><Relationship Id="rId905" Type="http://schemas.openxmlformats.org/officeDocument/2006/relationships/worksheet" Target="worksheets/sheet905.xml"/><Relationship Id="rId989" Type="http://schemas.openxmlformats.org/officeDocument/2006/relationships/worksheet" Target="worksheets/sheet989.xml"/><Relationship Id="rId34" Type="http://schemas.openxmlformats.org/officeDocument/2006/relationships/worksheet" Target="worksheets/sheet34.xml"/><Relationship Id="rId544" Type="http://schemas.openxmlformats.org/officeDocument/2006/relationships/worksheet" Target="worksheets/sheet544.xml"/><Relationship Id="rId751" Type="http://schemas.openxmlformats.org/officeDocument/2006/relationships/worksheet" Target="worksheets/sheet751.xml"/><Relationship Id="rId849" Type="http://schemas.openxmlformats.org/officeDocument/2006/relationships/worksheet" Target="worksheets/sheet849.xml"/><Relationship Id="rId183" Type="http://schemas.openxmlformats.org/officeDocument/2006/relationships/worksheet" Target="worksheets/sheet183.xml"/><Relationship Id="rId390" Type="http://schemas.openxmlformats.org/officeDocument/2006/relationships/worksheet" Target="worksheets/sheet390.xml"/><Relationship Id="rId404" Type="http://schemas.openxmlformats.org/officeDocument/2006/relationships/worksheet" Target="worksheets/sheet404.xml"/><Relationship Id="rId611" Type="http://schemas.openxmlformats.org/officeDocument/2006/relationships/worksheet" Target="worksheets/sheet611.xml"/><Relationship Id="rId1034" Type="http://schemas.openxmlformats.org/officeDocument/2006/relationships/worksheet" Target="worksheets/sheet1034.xml"/><Relationship Id="rId250" Type="http://schemas.openxmlformats.org/officeDocument/2006/relationships/worksheet" Target="worksheets/sheet250.xml"/><Relationship Id="rId488" Type="http://schemas.openxmlformats.org/officeDocument/2006/relationships/worksheet" Target="worksheets/sheet488.xml"/><Relationship Id="rId695" Type="http://schemas.openxmlformats.org/officeDocument/2006/relationships/worksheet" Target="worksheets/sheet695.xml"/><Relationship Id="rId709" Type="http://schemas.openxmlformats.org/officeDocument/2006/relationships/worksheet" Target="worksheets/sheet709.xml"/><Relationship Id="rId916" Type="http://schemas.openxmlformats.org/officeDocument/2006/relationships/worksheet" Target="worksheets/sheet916.xml"/><Relationship Id="rId1101" Type="http://schemas.openxmlformats.org/officeDocument/2006/relationships/worksheet" Target="worksheets/sheet1101.xml"/><Relationship Id="rId45" Type="http://schemas.openxmlformats.org/officeDocument/2006/relationships/worksheet" Target="worksheets/sheet45.xml"/><Relationship Id="rId110" Type="http://schemas.openxmlformats.org/officeDocument/2006/relationships/worksheet" Target="worksheets/sheet110.xml"/><Relationship Id="rId348" Type="http://schemas.openxmlformats.org/officeDocument/2006/relationships/worksheet" Target="worksheets/sheet348.xml"/><Relationship Id="rId555" Type="http://schemas.openxmlformats.org/officeDocument/2006/relationships/worksheet" Target="worksheets/sheet555.xml"/><Relationship Id="rId762" Type="http://schemas.openxmlformats.org/officeDocument/2006/relationships/worksheet" Target="worksheets/sheet76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622" Type="http://schemas.openxmlformats.org/officeDocument/2006/relationships/worksheet" Target="worksheets/sheet622.xml"/><Relationship Id="rId1045" Type="http://schemas.openxmlformats.org/officeDocument/2006/relationships/worksheet" Target="worksheets/sheet1045.xml"/><Relationship Id="rId261" Type="http://schemas.openxmlformats.org/officeDocument/2006/relationships/worksheet" Target="worksheets/sheet261.xml"/><Relationship Id="rId499" Type="http://schemas.openxmlformats.org/officeDocument/2006/relationships/worksheet" Target="worksheets/sheet499.xml"/><Relationship Id="rId927" Type="http://schemas.openxmlformats.org/officeDocument/2006/relationships/worksheet" Target="worksheets/sheet927.xml"/><Relationship Id="rId1112" Type="http://schemas.openxmlformats.org/officeDocument/2006/relationships/worksheet" Target="worksheets/sheet1112.xml"/><Relationship Id="rId56" Type="http://schemas.openxmlformats.org/officeDocument/2006/relationships/worksheet" Target="worksheets/sheet56.xml"/><Relationship Id="rId359" Type="http://schemas.openxmlformats.org/officeDocument/2006/relationships/worksheet" Target="worksheets/sheet359.xml"/><Relationship Id="rId566" Type="http://schemas.openxmlformats.org/officeDocument/2006/relationships/worksheet" Target="worksheets/sheet566.xml"/><Relationship Id="rId773" Type="http://schemas.openxmlformats.org/officeDocument/2006/relationships/worksheet" Target="worksheets/sheet773.xml"/><Relationship Id="rId121" Type="http://schemas.openxmlformats.org/officeDocument/2006/relationships/worksheet" Target="worksheets/sheet121.xml"/><Relationship Id="rId219" Type="http://schemas.openxmlformats.org/officeDocument/2006/relationships/worksheet" Target="worksheets/sheet219.xml"/><Relationship Id="rId426" Type="http://schemas.openxmlformats.org/officeDocument/2006/relationships/worksheet" Target="worksheets/sheet426.xml"/><Relationship Id="rId633" Type="http://schemas.openxmlformats.org/officeDocument/2006/relationships/worksheet" Target="worksheets/sheet633.xml"/><Relationship Id="rId980" Type="http://schemas.openxmlformats.org/officeDocument/2006/relationships/worksheet" Target="worksheets/sheet980.xml"/><Relationship Id="rId1056" Type="http://schemas.openxmlformats.org/officeDocument/2006/relationships/worksheet" Target="worksheets/sheet1056.xml"/><Relationship Id="rId840" Type="http://schemas.openxmlformats.org/officeDocument/2006/relationships/worksheet" Target="worksheets/sheet840.xml"/><Relationship Id="rId938" Type="http://schemas.openxmlformats.org/officeDocument/2006/relationships/worksheet" Target="worksheets/sheet938.xml"/><Relationship Id="rId67" Type="http://schemas.openxmlformats.org/officeDocument/2006/relationships/worksheet" Target="worksheets/sheet67.xml"/><Relationship Id="rId272" Type="http://schemas.openxmlformats.org/officeDocument/2006/relationships/worksheet" Target="worksheets/sheet272.xml"/><Relationship Id="rId577" Type="http://schemas.openxmlformats.org/officeDocument/2006/relationships/worksheet" Target="worksheets/sheet577.xml"/><Relationship Id="rId700" Type="http://schemas.openxmlformats.org/officeDocument/2006/relationships/worksheet" Target="worksheets/sheet700.xml"/><Relationship Id="rId1123" Type="http://schemas.openxmlformats.org/officeDocument/2006/relationships/worksheet" Target="worksheets/sheet1123.xml"/><Relationship Id="rId132" Type="http://schemas.openxmlformats.org/officeDocument/2006/relationships/worksheet" Target="worksheets/sheet132.xml"/><Relationship Id="rId784" Type="http://schemas.openxmlformats.org/officeDocument/2006/relationships/worksheet" Target="worksheets/sheet784.xml"/><Relationship Id="rId991" Type="http://schemas.openxmlformats.org/officeDocument/2006/relationships/worksheet" Target="worksheets/sheet991.xml"/><Relationship Id="rId1067" Type="http://schemas.openxmlformats.org/officeDocument/2006/relationships/worksheet" Target="worksheets/sheet1067.xml"/><Relationship Id="rId437" Type="http://schemas.openxmlformats.org/officeDocument/2006/relationships/worksheet" Target="worksheets/sheet437.xml"/><Relationship Id="rId644" Type="http://schemas.openxmlformats.org/officeDocument/2006/relationships/worksheet" Target="worksheets/sheet644.xml"/><Relationship Id="rId851" Type="http://schemas.openxmlformats.org/officeDocument/2006/relationships/worksheet" Target="worksheets/sheet851.xml"/><Relationship Id="rId283" Type="http://schemas.openxmlformats.org/officeDocument/2006/relationships/worksheet" Target="worksheets/sheet283.xml"/><Relationship Id="rId490" Type="http://schemas.openxmlformats.org/officeDocument/2006/relationships/worksheet" Target="worksheets/sheet490.xml"/><Relationship Id="rId504" Type="http://schemas.openxmlformats.org/officeDocument/2006/relationships/worksheet" Target="worksheets/sheet504.xml"/><Relationship Id="rId711" Type="http://schemas.openxmlformats.org/officeDocument/2006/relationships/worksheet" Target="worksheets/sheet711.xml"/><Relationship Id="rId949" Type="http://schemas.openxmlformats.org/officeDocument/2006/relationships/worksheet" Target="worksheets/sheet949.xml"/><Relationship Id="rId1134" Type="http://schemas.openxmlformats.org/officeDocument/2006/relationships/worksheet" Target="worksheets/sheet1134.xml"/><Relationship Id="rId78" Type="http://schemas.openxmlformats.org/officeDocument/2006/relationships/worksheet" Target="worksheets/sheet78.xml"/><Relationship Id="rId143" Type="http://schemas.openxmlformats.org/officeDocument/2006/relationships/worksheet" Target="worksheets/sheet143.xml"/><Relationship Id="rId350" Type="http://schemas.openxmlformats.org/officeDocument/2006/relationships/worksheet" Target="worksheets/sheet350.xml"/><Relationship Id="rId588" Type="http://schemas.openxmlformats.org/officeDocument/2006/relationships/worksheet" Target="worksheets/sheet588.xml"/><Relationship Id="rId795" Type="http://schemas.openxmlformats.org/officeDocument/2006/relationships/worksheet" Target="worksheets/sheet795.xml"/><Relationship Id="rId809" Type="http://schemas.openxmlformats.org/officeDocument/2006/relationships/worksheet" Target="worksheets/sheet809.xml"/><Relationship Id="rId9" Type="http://schemas.openxmlformats.org/officeDocument/2006/relationships/worksheet" Target="worksheets/sheet9.xml"/><Relationship Id="rId210" Type="http://schemas.openxmlformats.org/officeDocument/2006/relationships/worksheet" Target="worksheets/sheet210.xml"/><Relationship Id="rId448" Type="http://schemas.openxmlformats.org/officeDocument/2006/relationships/worksheet" Target="worksheets/sheet448.xml"/><Relationship Id="rId655" Type="http://schemas.openxmlformats.org/officeDocument/2006/relationships/worksheet" Target="worksheets/sheet655.xml"/><Relationship Id="rId862" Type="http://schemas.openxmlformats.org/officeDocument/2006/relationships/worksheet" Target="worksheets/sheet862.xml"/><Relationship Id="rId1078" Type="http://schemas.openxmlformats.org/officeDocument/2006/relationships/worksheet" Target="worksheets/sheet1078.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722" Type="http://schemas.openxmlformats.org/officeDocument/2006/relationships/worksheet" Target="worksheets/sheet722.xml"/><Relationship Id="rId1145" Type="http://schemas.openxmlformats.org/officeDocument/2006/relationships/worksheet" Target="worksheets/sheet1145.xml"/><Relationship Id="rId89" Type="http://schemas.openxmlformats.org/officeDocument/2006/relationships/worksheet" Target="worksheets/sheet89.xml"/><Relationship Id="rId154" Type="http://schemas.openxmlformats.org/officeDocument/2006/relationships/worksheet" Target="worksheets/sheet154.xml"/><Relationship Id="rId361" Type="http://schemas.openxmlformats.org/officeDocument/2006/relationships/worksheet" Target="worksheets/sheet361.xml"/><Relationship Id="rId599" Type="http://schemas.openxmlformats.org/officeDocument/2006/relationships/worksheet" Target="worksheets/sheet599.xml"/><Relationship Id="rId1005" Type="http://schemas.openxmlformats.org/officeDocument/2006/relationships/worksheet" Target="worksheets/sheet1005.xml"/><Relationship Id="rId459" Type="http://schemas.openxmlformats.org/officeDocument/2006/relationships/worksheet" Target="worksheets/sheet459.xml"/><Relationship Id="rId666" Type="http://schemas.openxmlformats.org/officeDocument/2006/relationships/worksheet" Target="worksheets/sheet666.xml"/><Relationship Id="rId873" Type="http://schemas.openxmlformats.org/officeDocument/2006/relationships/worksheet" Target="worksheets/sheet873.xml"/><Relationship Id="rId1089" Type="http://schemas.openxmlformats.org/officeDocument/2006/relationships/worksheet" Target="worksheets/sheet1089.xml"/><Relationship Id="rId16" Type="http://schemas.openxmlformats.org/officeDocument/2006/relationships/worksheet" Target="worksheets/sheet16.xml"/><Relationship Id="rId221" Type="http://schemas.openxmlformats.org/officeDocument/2006/relationships/worksheet" Target="worksheets/sheet221.xml"/><Relationship Id="rId319" Type="http://schemas.openxmlformats.org/officeDocument/2006/relationships/worksheet" Target="worksheets/sheet319.xml"/><Relationship Id="rId526" Type="http://schemas.openxmlformats.org/officeDocument/2006/relationships/worksheet" Target="worksheets/sheet526.xml"/><Relationship Id="rId1156" Type="http://schemas.openxmlformats.org/officeDocument/2006/relationships/worksheet" Target="worksheets/sheet1156.xml"/><Relationship Id="rId733" Type="http://schemas.openxmlformats.org/officeDocument/2006/relationships/worksheet" Target="worksheets/sheet733.xml"/><Relationship Id="rId940" Type="http://schemas.openxmlformats.org/officeDocument/2006/relationships/worksheet" Target="worksheets/sheet940.xml"/><Relationship Id="rId1016" Type="http://schemas.openxmlformats.org/officeDocument/2006/relationships/worksheet" Target="worksheets/sheet1016.xml"/><Relationship Id="rId165" Type="http://schemas.openxmlformats.org/officeDocument/2006/relationships/worksheet" Target="worksheets/sheet165.xml"/><Relationship Id="rId372" Type="http://schemas.openxmlformats.org/officeDocument/2006/relationships/worksheet" Target="worksheets/sheet372.xml"/><Relationship Id="rId677" Type="http://schemas.openxmlformats.org/officeDocument/2006/relationships/worksheet" Target="worksheets/sheet677.xml"/><Relationship Id="rId800" Type="http://schemas.openxmlformats.org/officeDocument/2006/relationships/worksheet" Target="worksheets/sheet800.xml"/><Relationship Id="rId232" Type="http://schemas.openxmlformats.org/officeDocument/2006/relationships/worksheet" Target="worksheets/sheet232.xml"/><Relationship Id="rId884" Type="http://schemas.openxmlformats.org/officeDocument/2006/relationships/worksheet" Target="worksheets/sheet884.xml"/><Relationship Id="rId27" Type="http://schemas.openxmlformats.org/officeDocument/2006/relationships/worksheet" Target="worksheets/sheet27.xml"/><Relationship Id="rId537" Type="http://schemas.openxmlformats.org/officeDocument/2006/relationships/worksheet" Target="worksheets/sheet537.xml"/><Relationship Id="rId744" Type="http://schemas.openxmlformats.org/officeDocument/2006/relationships/worksheet" Target="worksheets/sheet744.xml"/><Relationship Id="rId951" Type="http://schemas.openxmlformats.org/officeDocument/2006/relationships/worksheet" Target="worksheets/sheet951.xml"/><Relationship Id="rId1167" Type="http://schemas.openxmlformats.org/officeDocument/2006/relationships/worksheet" Target="worksheets/sheet1167.xml"/><Relationship Id="rId80" Type="http://schemas.openxmlformats.org/officeDocument/2006/relationships/worksheet" Target="worksheets/sheet80.xml"/><Relationship Id="rId176" Type="http://schemas.openxmlformats.org/officeDocument/2006/relationships/worksheet" Target="worksheets/sheet176.xml"/><Relationship Id="rId383" Type="http://schemas.openxmlformats.org/officeDocument/2006/relationships/worksheet" Target="worksheets/sheet383.xml"/><Relationship Id="rId590" Type="http://schemas.openxmlformats.org/officeDocument/2006/relationships/worksheet" Target="worksheets/sheet590.xml"/><Relationship Id="rId604" Type="http://schemas.openxmlformats.org/officeDocument/2006/relationships/worksheet" Target="worksheets/sheet604.xml"/><Relationship Id="rId811" Type="http://schemas.openxmlformats.org/officeDocument/2006/relationships/worksheet" Target="worksheets/sheet811.xml"/><Relationship Id="rId1027" Type="http://schemas.openxmlformats.org/officeDocument/2006/relationships/worksheet" Target="worksheets/sheet1027.xml"/><Relationship Id="rId243" Type="http://schemas.openxmlformats.org/officeDocument/2006/relationships/worksheet" Target="worksheets/sheet243.xml"/><Relationship Id="rId450" Type="http://schemas.openxmlformats.org/officeDocument/2006/relationships/worksheet" Target="worksheets/sheet450.xml"/><Relationship Id="rId688" Type="http://schemas.openxmlformats.org/officeDocument/2006/relationships/worksheet" Target="worksheets/sheet688.xml"/><Relationship Id="rId895" Type="http://schemas.openxmlformats.org/officeDocument/2006/relationships/worksheet" Target="worksheets/sheet895.xml"/><Relationship Id="rId909" Type="http://schemas.openxmlformats.org/officeDocument/2006/relationships/worksheet" Target="worksheets/sheet909.xml"/><Relationship Id="rId1080" Type="http://schemas.openxmlformats.org/officeDocument/2006/relationships/worksheet" Target="worksheets/sheet1080.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548" Type="http://schemas.openxmlformats.org/officeDocument/2006/relationships/worksheet" Target="worksheets/sheet548.xml"/><Relationship Id="rId755" Type="http://schemas.openxmlformats.org/officeDocument/2006/relationships/worksheet" Target="worksheets/sheet755.xml"/><Relationship Id="rId962" Type="http://schemas.openxmlformats.org/officeDocument/2006/relationships/worksheet" Target="worksheets/sheet962.xml"/><Relationship Id="rId91" Type="http://schemas.openxmlformats.org/officeDocument/2006/relationships/worksheet" Target="worksheets/sheet91.xml"/><Relationship Id="rId187" Type="http://schemas.openxmlformats.org/officeDocument/2006/relationships/worksheet" Target="worksheets/sheet187.xml"/><Relationship Id="rId394" Type="http://schemas.openxmlformats.org/officeDocument/2006/relationships/worksheet" Target="worksheets/sheet394.xml"/><Relationship Id="rId408" Type="http://schemas.openxmlformats.org/officeDocument/2006/relationships/worksheet" Target="worksheets/sheet408.xml"/><Relationship Id="rId615" Type="http://schemas.openxmlformats.org/officeDocument/2006/relationships/worksheet" Target="worksheets/sheet615.xml"/><Relationship Id="rId822" Type="http://schemas.openxmlformats.org/officeDocument/2006/relationships/worksheet" Target="worksheets/sheet822.xml"/><Relationship Id="rId1038" Type="http://schemas.openxmlformats.org/officeDocument/2006/relationships/worksheet" Target="worksheets/sheet1038.xml"/><Relationship Id="rId254" Type="http://schemas.openxmlformats.org/officeDocument/2006/relationships/worksheet" Target="worksheets/sheet254.xml"/><Relationship Id="rId699" Type="http://schemas.openxmlformats.org/officeDocument/2006/relationships/worksheet" Target="worksheets/sheet699.xml"/><Relationship Id="rId1091" Type="http://schemas.openxmlformats.org/officeDocument/2006/relationships/worksheet" Target="worksheets/sheet1091.xml"/><Relationship Id="rId1105" Type="http://schemas.openxmlformats.org/officeDocument/2006/relationships/worksheet" Target="worksheets/sheet1105.xml"/><Relationship Id="rId49" Type="http://schemas.openxmlformats.org/officeDocument/2006/relationships/worksheet" Target="worksheets/sheet49.xml"/><Relationship Id="rId114" Type="http://schemas.openxmlformats.org/officeDocument/2006/relationships/worksheet" Target="worksheets/sheet114.xml"/><Relationship Id="rId461" Type="http://schemas.openxmlformats.org/officeDocument/2006/relationships/worksheet" Target="worksheets/sheet461.xml"/><Relationship Id="rId559" Type="http://schemas.openxmlformats.org/officeDocument/2006/relationships/worksheet" Target="worksheets/sheet559.xml"/><Relationship Id="rId766" Type="http://schemas.openxmlformats.org/officeDocument/2006/relationships/worksheet" Target="worksheets/sheet766.xml"/><Relationship Id="rId198" Type="http://schemas.openxmlformats.org/officeDocument/2006/relationships/worksheet" Target="worksheets/sheet198.xml"/><Relationship Id="rId321" Type="http://schemas.openxmlformats.org/officeDocument/2006/relationships/worksheet" Target="worksheets/sheet321.xml"/><Relationship Id="rId419" Type="http://schemas.openxmlformats.org/officeDocument/2006/relationships/worksheet" Target="worksheets/sheet419.xml"/><Relationship Id="rId626" Type="http://schemas.openxmlformats.org/officeDocument/2006/relationships/worksheet" Target="worksheets/sheet626.xml"/><Relationship Id="rId973" Type="http://schemas.openxmlformats.org/officeDocument/2006/relationships/worksheet" Target="worksheets/sheet973.xml"/><Relationship Id="rId1049" Type="http://schemas.openxmlformats.org/officeDocument/2006/relationships/worksheet" Target="worksheets/sheet1049.xml"/><Relationship Id="rId833" Type="http://schemas.openxmlformats.org/officeDocument/2006/relationships/worksheet" Target="worksheets/sheet833.xml"/><Relationship Id="rId1116" Type="http://schemas.openxmlformats.org/officeDocument/2006/relationships/worksheet" Target="worksheets/sheet1116.xml"/><Relationship Id="rId265" Type="http://schemas.openxmlformats.org/officeDocument/2006/relationships/worksheet" Target="worksheets/sheet265.xml"/><Relationship Id="rId472" Type="http://schemas.openxmlformats.org/officeDocument/2006/relationships/worksheet" Target="worksheets/sheet472.xml"/><Relationship Id="rId900" Type="http://schemas.openxmlformats.org/officeDocument/2006/relationships/worksheet" Target="worksheets/sheet900.xml"/><Relationship Id="rId125" Type="http://schemas.openxmlformats.org/officeDocument/2006/relationships/worksheet" Target="worksheets/sheet125.xml"/><Relationship Id="rId332" Type="http://schemas.openxmlformats.org/officeDocument/2006/relationships/worksheet" Target="worksheets/sheet332.xml"/><Relationship Id="rId777" Type="http://schemas.openxmlformats.org/officeDocument/2006/relationships/worksheet" Target="worksheets/sheet777.xml"/><Relationship Id="rId984" Type="http://schemas.openxmlformats.org/officeDocument/2006/relationships/worksheet" Target="worksheets/sheet984.xml"/><Relationship Id="rId637" Type="http://schemas.openxmlformats.org/officeDocument/2006/relationships/worksheet" Target="worksheets/sheet637.xml"/><Relationship Id="rId844" Type="http://schemas.openxmlformats.org/officeDocument/2006/relationships/worksheet" Target="worksheets/sheet844.xml"/><Relationship Id="rId276" Type="http://schemas.openxmlformats.org/officeDocument/2006/relationships/worksheet" Target="worksheets/sheet276.xml"/><Relationship Id="rId483" Type="http://schemas.openxmlformats.org/officeDocument/2006/relationships/worksheet" Target="worksheets/sheet483.xml"/><Relationship Id="rId690" Type="http://schemas.openxmlformats.org/officeDocument/2006/relationships/worksheet" Target="worksheets/sheet690.xml"/><Relationship Id="rId704" Type="http://schemas.openxmlformats.org/officeDocument/2006/relationships/worksheet" Target="worksheets/sheet704.xml"/><Relationship Id="rId911" Type="http://schemas.openxmlformats.org/officeDocument/2006/relationships/worksheet" Target="worksheets/sheet911.xml"/><Relationship Id="rId1127" Type="http://schemas.openxmlformats.org/officeDocument/2006/relationships/worksheet" Target="worksheets/sheet1127.xml"/><Relationship Id="rId40" Type="http://schemas.openxmlformats.org/officeDocument/2006/relationships/worksheet" Target="worksheets/sheet40.xml"/><Relationship Id="rId136" Type="http://schemas.openxmlformats.org/officeDocument/2006/relationships/worksheet" Target="worksheets/sheet136.xml"/><Relationship Id="rId343" Type="http://schemas.openxmlformats.org/officeDocument/2006/relationships/worksheet" Target="worksheets/sheet343.xml"/><Relationship Id="rId550" Type="http://schemas.openxmlformats.org/officeDocument/2006/relationships/worksheet" Target="worksheets/sheet550.xml"/><Relationship Id="rId788" Type="http://schemas.openxmlformats.org/officeDocument/2006/relationships/worksheet" Target="worksheets/sheet788.xml"/><Relationship Id="rId995" Type="http://schemas.openxmlformats.org/officeDocument/2006/relationships/worksheet" Target="worksheets/sheet995.xml"/><Relationship Id="rId203" Type="http://schemas.openxmlformats.org/officeDocument/2006/relationships/worksheet" Target="worksheets/sheet203.xml"/><Relationship Id="rId648" Type="http://schemas.openxmlformats.org/officeDocument/2006/relationships/worksheet" Target="worksheets/sheet648.xml"/><Relationship Id="rId855" Type="http://schemas.openxmlformats.org/officeDocument/2006/relationships/worksheet" Target="worksheets/sheet855.xml"/><Relationship Id="rId1040" Type="http://schemas.openxmlformats.org/officeDocument/2006/relationships/worksheet" Target="worksheets/sheet1040.xml"/><Relationship Id="rId287" Type="http://schemas.openxmlformats.org/officeDocument/2006/relationships/worksheet" Target="worksheets/sheet287.xml"/><Relationship Id="rId410" Type="http://schemas.openxmlformats.org/officeDocument/2006/relationships/worksheet" Target="worksheets/sheet410.xml"/><Relationship Id="rId494" Type="http://schemas.openxmlformats.org/officeDocument/2006/relationships/worksheet" Target="worksheets/sheet494.xml"/><Relationship Id="rId508" Type="http://schemas.openxmlformats.org/officeDocument/2006/relationships/worksheet" Target="worksheets/sheet508.xml"/><Relationship Id="rId715" Type="http://schemas.openxmlformats.org/officeDocument/2006/relationships/worksheet" Target="worksheets/sheet715.xml"/><Relationship Id="rId922" Type="http://schemas.openxmlformats.org/officeDocument/2006/relationships/worksheet" Target="worksheets/sheet922.xml"/><Relationship Id="rId1138" Type="http://schemas.openxmlformats.org/officeDocument/2006/relationships/worksheet" Target="worksheets/sheet1138.xml"/><Relationship Id="rId147" Type="http://schemas.openxmlformats.org/officeDocument/2006/relationships/worksheet" Target="worksheets/sheet147.xml"/><Relationship Id="rId354" Type="http://schemas.openxmlformats.org/officeDocument/2006/relationships/worksheet" Target="worksheets/sheet354.xml"/><Relationship Id="rId799" Type="http://schemas.openxmlformats.org/officeDocument/2006/relationships/worksheet" Target="worksheets/sheet799.xml"/><Relationship Id="rId51" Type="http://schemas.openxmlformats.org/officeDocument/2006/relationships/worksheet" Target="worksheets/sheet51.xml"/><Relationship Id="rId561" Type="http://schemas.openxmlformats.org/officeDocument/2006/relationships/worksheet" Target="worksheets/sheet561.xml"/><Relationship Id="rId659" Type="http://schemas.openxmlformats.org/officeDocument/2006/relationships/worksheet" Target="worksheets/sheet659.xml"/><Relationship Id="rId866" Type="http://schemas.openxmlformats.org/officeDocument/2006/relationships/worksheet" Target="worksheets/sheet866.xml"/><Relationship Id="rId214" Type="http://schemas.openxmlformats.org/officeDocument/2006/relationships/worksheet" Target="worksheets/sheet214.xml"/><Relationship Id="rId298" Type="http://schemas.openxmlformats.org/officeDocument/2006/relationships/worksheet" Target="worksheets/sheet298.xml"/><Relationship Id="rId421" Type="http://schemas.openxmlformats.org/officeDocument/2006/relationships/worksheet" Target="worksheets/sheet421.xml"/><Relationship Id="rId519" Type="http://schemas.openxmlformats.org/officeDocument/2006/relationships/worksheet" Target="worksheets/sheet519.xml"/><Relationship Id="rId1051" Type="http://schemas.openxmlformats.org/officeDocument/2006/relationships/worksheet" Target="worksheets/sheet1051.xml"/><Relationship Id="rId1149" Type="http://schemas.openxmlformats.org/officeDocument/2006/relationships/worksheet" Target="worksheets/sheet1149.xml"/><Relationship Id="rId158" Type="http://schemas.openxmlformats.org/officeDocument/2006/relationships/worksheet" Target="worksheets/sheet158.xml"/><Relationship Id="rId726" Type="http://schemas.openxmlformats.org/officeDocument/2006/relationships/worksheet" Target="worksheets/sheet726.xml"/><Relationship Id="rId933" Type="http://schemas.openxmlformats.org/officeDocument/2006/relationships/worksheet" Target="worksheets/sheet933.xml"/><Relationship Id="rId1009" Type="http://schemas.openxmlformats.org/officeDocument/2006/relationships/worksheet" Target="worksheets/sheet1009.xml"/><Relationship Id="rId62" Type="http://schemas.openxmlformats.org/officeDocument/2006/relationships/worksheet" Target="worksheets/sheet62.xml"/><Relationship Id="rId365" Type="http://schemas.openxmlformats.org/officeDocument/2006/relationships/worksheet" Target="worksheets/sheet365.xml"/><Relationship Id="rId572" Type="http://schemas.openxmlformats.org/officeDocument/2006/relationships/worksheet" Target="worksheets/sheet572.xml"/><Relationship Id="rId225" Type="http://schemas.openxmlformats.org/officeDocument/2006/relationships/worksheet" Target="worksheets/sheet225.xml"/><Relationship Id="rId432" Type="http://schemas.openxmlformats.org/officeDocument/2006/relationships/worksheet" Target="worksheets/sheet432.xml"/><Relationship Id="rId877" Type="http://schemas.openxmlformats.org/officeDocument/2006/relationships/worksheet" Target="worksheets/sheet877.xml"/><Relationship Id="rId1062" Type="http://schemas.openxmlformats.org/officeDocument/2006/relationships/worksheet" Target="worksheets/sheet1062.xml"/><Relationship Id="rId737" Type="http://schemas.openxmlformats.org/officeDocument/2006/relationships/worksheet" Target="worksheets/sheet737.xml"/><Relationship Id="rId944" Type="http://schemas.openxmlformats.org/officeDocument/2006/relationships/worksheet" Target="worksheets/sheet944.xml"/><Relationship Id="rId73" Type="http://schemas.openxmlformats.org/officeDocument/2006/relationships/worksheet" Target="worksheets/sheet73.xml"/><Relationship Id="rId169" Type="http://schemas.openxmlformats.org/officeDocument/2006/relationships/worksheet" Target="worksheets/sheet169.xml"/><Relationship Id="rId376" Type="http://schemas.openxmlformats.org/officeDocument/2006/relationships/worksheet" Target="worksheets/sheet376.xml"/><Relationship Id="rId583" Type="http://schemas.openxmlformats.org/officeDocument/2006/relationships/worksheet" Target="worksheets/sheet583.xml"/><Relationship Id="rId790" Type="http://schemas.openxmlformats.org/officeDocument/2006/relationships/worksheet" Target="worksheets/sheet790.xml"/><Relationship Id="rId804" Type="http://schemas.openxmlformats.org/officeDocument/2006/relationships/worksheet" Target="worksheets/sheet804.xml"/><Relationship Id="rId4" Type="http://schemas.openxmlformats.org/officeDocument/2006/relationships/worksheet" Target="worksheets/sheet4.xml"/><Relationship Id="rId236" Type="http://schemas.openxmlformats.org/officeDocument/2006/relationships/worksheet" Target="worksheets/sheet236.xml"/><Relationship Id="rId443" Type="http://schemas.openxmlformats.org/officeDocument/2006/relationships/worksheet" Target="worksheets/sheet443.xml"/><Relationship Id="rId650" Type="http://schemas.openxmlformats.org/officeDocument/2006/relationships/worksheet" Target="worksheets/sheet650.xml"/><Relationship Id="rId888" Type="http://schemas.openxmlformats.org/officeDocument/2006/relationships/worksheet" Target="worksheets/sheet888.xml"/><Relationship Id="rId1073" Type="http://schemas.openxmlformats.org/officeDocument/2006/relationships/worksheet" Target="worksheets/sheet1073.xml"/><Relationship Id="rId303" Type="http://schemas.openxmlformats.org/officeDocument/2006/relationships/worksheet" Target="worksheets/sheet303.xml"/><Relationship Id="rId748" Type="http://schemas.openxmlformats.org/officeDocument/2006/relationships/worksheet" Target="worksheets/sheet748.xml"/><Relationship Id="rId955" Type="http://schemas.openxmlformats.org/officeDocument/2006/relationships/worksheet" Target="worksheets/sheet955.xml"/><Relationship Id="rId1140" Type="http://schemas.openxmlformats.org/officeDocument/2006/relationships/worksheet" Target="worksheets/sheet1140.xml"/><Relationship Id="rId84" Type="http://schemas.openxmlformats.org/officeDocument/2006/relationships/worksheet" Target="worksheets/sheet84.xml"/><Relationship Id="rId387" Type="http://schemas.openxmlformats.org/officeDocument/2006/relationships/worksheet" Target="worksheets/sheet387.xml"/><Relationship Id="rId510" Type="http://schemas.openxmlformats.org/officeDocument/2006/relationships/worksheet" Target="worksheets/sheet510.xml"/><Relationship Id="rId594" Type="http://schemas.openxmlformats.org/officeDocument/2006/relationships/worksheet" Target="worksheets/sheet594.xml"/><Relationship Id="rId608" Type="http://schemas.openxmlformats.org/officeDocument/2006/relationships/worksheet" Target="worksheets/sheet608.xml"/><Relationship Id="rId815" Type="http://schemas.openxmlformats.org/officeDocument/2006/relationships/worksheet" Target="worksheets/sheet815.xml"/><Relationship Id="rId247" Type="http://schemas.openxmlformats.org/officeDocument/2006/relationships/worksheet" Target="worksheets/sheet247.xml"/><Relationship Id="rId899" Type="http://schemas.openxmlformats.org/officeDocument/2006/relationships/worksheet" Target="worksheets/sheet899.xml"/><Relationship Id="rId1000" Type="http://schemas.openxmlformats.org/officeDocument/2006/relationships/worksheet" Target="worksheets/sheet1000.xml"/><Relationship Id="rId1084" Type="http://schemas.openxmlformats.org/officeDocument/2006/relationships/worksheet" Target="worksheets/sheet1084.xml"/><Relationship Id="rId107" Type="http://schemas.openxmlformats.org/officeDocument/2006/relationships/worksheet" Target="worksheets/sheet107.xml"/><Relationship Id="rId454" Type="http://schemas.openxmlformats.org/officeDocument/2006/relationships/worksheet" Target="worksheets/sheet454.xml"/><Relationship Id="rId661" Type="http://schemas.openxmlformats.org/officeDocument/2006/relationships/worksheet" Target="worksheets/sheet661.xml"/><Relationship Id="rId759" Type="http://schemas.openxmlformats.org/officeDocument/2006/relationships/worksheet" Target="worksheets/sheet759.xml"/><Relationship Id="rId966" Type="http://schemas.openxmlformats.org/officeDocument/2006/relationships/worksheet" Target="worksheets/sheet966.xml"/></Relationships>
</file>

<file path=xl/drawings/drawing1.xml><?xml version="1.0" encoding="utf-8"?>
<xdr:wsDr xmlns:xdr="http://schemas.openxmlformats.org/drawingml/2006/spreadsheetDrawing" xmlns:a="http://schemas.openxmlformats.org/drawingml/2006/main">
  <xdr:twoCellAnchor>
    <xdr:from>
      <xdr:col>2</xdr:col>
      <xdr:colOff>2209800</xdr:colOff>
      <xdr:row>25</xdr:row>
      <xdr:rowOff>0</xdr:rowOff>
    </xdr:from>
    <xdr:to>
      <xdr:col>2</xdr:col>
      <xdr:colOff>561975</xdr:colOff>
      <xdr:row>25</xdr:row>
      <xdr:rowOff>0</xdr:rowOff>
    </xdr:to>
    <xdr:sp macro="" textlink="">
      <xdr:nvSpPr>
        <xdr:cNvPr id="2" name="AutoShape 70">
          <a:extLst>
            <a:ext uri="{FF2B5EF4-FFF2-40B4-BE49-F238E27FC236}">
              <a16:creationId xmlns="" xmlns:a16="http://schemas.microsoft.com/office/drawing/2014/main" id="{00000000-0008-0000-7904-000042000000}"/>
            </a:ext>
          </a:extLst>
        </xdr:cNvPr>
        <xdr:cNvSpPr>
          <a:spLocks/>
        </xdr:cNvSpPr>
      </xdr:nvSpPr>
      <xdr:spPr bwMode="auto">
        <a:xfrm>
          <a:off x="3438525" y="9829800"/>
          <a:ext cx="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2209800</xdr:colOff>
      <xdr:row>25</xdr:row>
      <xdr:rowOff>0</xdr:rowOff>
    </xdr:from>
    <xdr:to>
      <xdr:col>2</xdr:col>
      <xdr:colOff>561975</xdr:colOff>
      <xdr:row>25</xdr:row>
      <xdr:rowOff>0</xdr:rowOff>
    </xdr:to>
    <xdr:sp macro="" textlink="">
      <xdr:nvSpPr>
        <xdr:cNvPr id="3" name="AutoShape 71">
          <a:extLst>
            <a:ext uri="{FF2B5EF4-FFF2-40B4-BE49-F238E27FC236}">
              <a16:creationId xmlns="" xmlns:a16="http://schemas.microsoft.com/office/drawing/2014/main" id="{00000000-0008-0000-7904-000043000000}"/>
            </a:ext>
          </a:extLst>
        </xdr:cNvPr>
        <xdr:cNvSpPr>
          <a:spLocks/>
        </xdr:cNvSpPr>
      </xdr:nvSpPr>
      <xdr:spPr bwMode="auto">
        <a:xfrm>
          <a:off x="3438525" y="9829800"/>
          <a:ext cx="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2209800</xdr:colOff>
      <xdr:row>25</xdr:row>
      <xdr:rowOff>0</xdr:rowOff>
    </xdr:from>
    <xdr:to>
      <xdr:col>2</xdr:col>
      <xdr:colOff>561975</xdr:colOff>
      <xdr:row>25</xdr:row>
      <xdr:rowOff>0</xdr:rowOff>
    </xdr:to>
    <xdr:sp macro="" textlink="">
      <xdr:nvSpPr>
        <xdr:cNvPr id="4" name="AutoShape 70">
          <a:extLst>
            <a:ext uri="{FF2B5EF4-FFF2-40B4-BE49-F238E27FC236}">
              <a16:creationId xmlns="" xmlns:a16="http://schemas.microsoft.com/office/drawing/2014/main" id="{00000000-0008-0000-7904-000090000000}"/>
            </a:ext>
          </a:extLst>
        </xdr:cNvPr>
        <xdr:cNvSpPr>
          <a:spLocks/>
        </xdr:cNvSpPr>
      </xdr:nvSpPr>
      <xdr:spPr bwMode="auto">
        <a:xfrm>
          <a:off x="3438525" y="9829800"/>
          <a:ext cx="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2209800</xdr:colOff>
      <xdr:row>25</xdr:row>
      <xdr:rowOff>0</xdr:rowOff>
    </xdr:from>
    <xdr:to>
      <xdr:col>2</xdr:col>
      <xdr:colOff>561975</xdr:colOff>
      <xdr:row>25</xdr:row>
      <xdr:rowOff>0</xdr:rowOff>
    </xdr:to>
    <xdr:sp macro="" textlink="">
      <xdr:nvSpPr>
        <xdr:cNvPr id="5" name="AutoShape 71">
          <a:extLst>
            <a:ext uri="{FF2B5EF4-FFF2-40B4-BE49-F238E27FC236}">
              <a16:creationId xmlns="" xmlns:a16="http://schemas.microsoft.com/office/drawing/2014/main" id="{00000000-0008-0000-7904-000091000000}"/>
            </a:ext>
          </a:extLst>
        </xdr:cNvPr>
        <xdr:cNvSpPr>
          <a:spLocks/>
        </xdr:cNvSpPr>
      </xdr:nvSpPr>
      <xdr:spPr bwMode="auto">
        <a:xfrm>
          <a:off x="3438525" y="9829800"/>
          <a:ext cx="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2209800</xdr:colOff>
      <xdr:row>25</xdr:row>
      <xdr:rowOff>0</xdr:rowOff>
    </xdr:from>
    <xdr:to>
      <xdr:col>2</xdr:col>
      <xdr:colOff>561975</xdr:colOff>
      <xdr:row>25</xdr:row>
      <xdr:rowOff>0</xdr:rowOff>
    </xdr:to>
    <xdr:sp macro="" textlink="">
      <xdr:nvSpPr>
        <xdr:cNvPr id="6" name="AutoShape 70">
          <a:extLst>
            <a:ext uri="{FF2B5EF4-FFF2-40B4-BE49-F238E27FC236}">
              <a16:creationId xmlns="" xmlns:a16="http://schemas.microsoft.com/office/drawing/2014/main" id="{00000000-0008-0000-7904-000042000000}"/>
            </a:ext>
          </a:extLst>
        </xdr:cNvPr>
        <xdr:cNvSpPr>
          <a:spLocks/>
        </xdr:cNvSpPr>
      </xdr:nvSpPr>
      <xdr:spPr bwMode="auto">
        <a:xfrm>
          <a:off x="3438525" y="9829800"/>
          <a:ext cx="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2209800</xdr:colOff>
      <xdr:row>25</xdr:row>
      <xdr:rowOff>0</xdr:rowOff>
    </xdr:from>
    <xdr:to>
      <xdr:col>2</xdr:col>
      <xdr:colOff>561975</xdr:colOff>
      <xdr:row>25</xdr:row>
      <xdr:rowOff>0</xdr:rowOff>
    </xdr:to>
    <xdr:sp macro="" textlink="">
      <xdr:nvSpPr>
        <xdr:cNvPr id="7" name="AutoShape 71">
          <a:extLst>
            <a:ext uri="{FF2B5EF4-FFF2-40B4-BE49-F238E27FC236}">
              <a16:creationId xmlns="" xmlns:a16="http://schemas.microsoft.com/office/drawing/2014/main" id="{00000000-0008-0000-7904-000043000000}"/>
            </a:ext>
          </a:extLst>
        </xdr:cNvPr>
        <xdr:cNvSpPr>
          <a:spLocks/>
        </xdr:cNvSpPr>
      </xdr:nvSpPr>
      <xdr:spPr bwMode="auto">
        <a:xfrm>
          <a:off x="3438525" y="9829800"/>
          <a:ext cx="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2209800</xdr:colOff>
      <xdr:row>25</xdr:row>
      <xdr:rowOff>0</xdr:rowOff>
    </xdr:from>
    <xdr:to>
      <xdr:col>2</xdr:col>
      <xdr:colOff>561975</xdr:colOff>
      <xdr:row>25</xdr:row>
      <xdr:rowOff>0</xdr:rowOff>
    </xdr:to>
    <xdr:sp macro="" textlink="">
      <xdr:nvSpPr>
        <xdr:cNvPr id="8" name="AutoShape 70">
          <a:extLst>
            <a:ext uri="{FF2B5EF4-FFF2-40B4-BE49-F238E27FC236}">
              <a16:creationId xmlns="" xmlns:a16="http://schemas.microsoft.com/office/drawing/2014/main" id="{00000000-0008-0000-7904-000090000000}"/>
            </a:ext>
          </a:extLst>
        </xdr:cNvPr>
        <xdr:cNvSpPr>
          <a:spLocks/>
        </xdr:cNvSpPr>
      </xdr:nvSpPr>
      <xdr:spPr bwMode="auto">
        <a:xfrm>
          <a:off x="3438525" y="9829800"/>
          <a:ext cx="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2209800</xdr:colOff>
      <xdr:row>25</xdr:row>
      <xdr:rowOff>0</xdr:rowOff>
    </xdr:from>
    <xdr:to>
      <xdr:col>2</xdr:col>
      <xdr:colOff>561975</xdr:colOff>
      <xdr:row>25</xdr:row>
      <xdr:rowOff>0</xdr:rowOff>
    </xdr:to>
    <xdr:sp macro="" textlink="">
      <xdr:nvSpPr>
        <xdr:cNvPr id="9" name="AutoShape 71">
          <a:extLst>
            <a:ext uri="{FF2B5EF4-FFF2-40B4-BE49-F238E27FC236}">
              <a16:creationId xmlns="" xmlns:a16="http://schemas.microsoft.com/office/drawing/2014/main" id="{00000000-0008-0000-7904-000091000000}"/>
            </a:ext>
          </a:extLst>
        </xdr:cNvPr>
        <xdr:cNvSpPr>
          <a:spLocks/>
        </xdr:cNvSpPr>
      </xdr:nvSpPr>
      <xdr:spPr bwMode="auto">
        <a:xfrm>
          <a:off x="3438525" y="9829800"/>
          <a:ext cx="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225;c%20cq/Ph&#242;ng%20NV%20bi&#7875;u%20l&#273;%206%20th&#225;ng%20(l&#7847;n%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XXXXXXXXXXXX"/>
      <sheetName val="Bia (1)"/>
      <sheetName val="foxz"/>
      <sheetName val="foxz_2"/>
      <sheetName val="foxz_3"/>
      <sheetName val="B1 Bieu TH "/>
      <sheetName val="B2 SXNN"/>
      <sheetName val="B3 NTM"/>
      <sheetName val="HTSX"/>
      <sheetName val="B4 SXCN"/>
      <sheetName val="B5 TM-DV "/>
      <sheetName val="B6. PTDN"/>
      <sheetName val="B7 LD&amp;VL-XDGN"/>
      <sheetName val="B8.PCTT, BVMT..."/>
      <sheetName val="B8. DS-GD&amp;TE "/>
      <sheetName val="B9. Y TE"/>
      <sheetName val="B10.GIAODUC"/>
      <sheetName val="B11 VHTT"/>
      <sheetName val="Sheet5"/>
      <sheetName val="Sheet2"/>
      <sheetName val="Sheet1"/>
      <sheetName val="B12.TTTT"/>
      <sheetName val="Sheet6"/>
      <sheetName val="Sheet4"/>
      <sheetName val="Sheet3"/>
      <sheetName val="00000000"/>
      <sheetName val="10000000"/>
      <sheetName val="20000000"/>
      <sheetName val="40000000"/>
      <sheetName val="30000000"/>
      <sheetName val="000000000000"/>
      <sheetName val="50000000"/>
      <sheetName val="60000000"/>
      <sheetName val="B điều chỉnh"/>
      <sheetName val="TH so sanh KH tỉnh"/>
      <sheetName val="Sheet7"/>
      <sheetName val="Sheet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ow r="9">
          <cell r="AL9">
            <v>49773</v>
          </cell>
          <cell r="AM9">
            <v>6103</v>
          </cell>
          <cell r="AN9">
            <v>3947</v>
          </cell>
          <cell r="AO9">
            <v>3138</v>
          </cell>
          <cell r="AP9">
            <v>1786</v>
          </cell>
          <cell r="AQ9">
            <v>4633</v>
          </cell>
          <cell r="AR9">
            <v>2292</v>
          </cell>
          <cell r="AS9">
            <v>3037</v>
          </cell>
          <cell r="AT9">
            <v>3796</v>
          </cell>
          <cell r="AU9">
            <v>3591</v>
          </cell>
          <cell r="AV9">
            <v>1919</v>
          </cell>
          <cell r="AW9">
            <v>2618</v>
          </cell>
          <cell r="AX9">
            <v>2689</v>
          </cell>
          <cell r="AY9">
            <v>2645</v>
          </cell>
          <cell r="AZ9">
            <v>7579</v>
          </cell>
        </row>
      </sheetData>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3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3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3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113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113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4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11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4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4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4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4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4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4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14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4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5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15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5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15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16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16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16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116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16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workbookViewId="0"/>
  </sheetViews>
  <sheetFormatPr defaultRowHeight="15" customHeight="1"/>
  <sheetData/>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0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0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0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0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0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0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0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0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0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0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view="pageBreakPreview" zoomScale="60" workbookViewId="0"/>
  </sheetViews>
  <sheetFormatPr defaultRowHeight="15" customHeight="1"/>
  <sheetData/>
  <pageMargins left="0.7" right="0.7" top="0.75" bottom="0.75" header="0.5" footer="0.5"/>
  <pageSetup orientation="portrait" r:id="rId1"/>
</worksheet>
</file>

<file path=xl/worksheets/sheet1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K17"/>
  <sheetViews>
    <sheetView workbookViewId="0">
      <selection activeCell="I15" sqref="I15"/>
    </sheetView>
  </sheetViews>
  <sheetFormatPr defaultColWidth="8.875" defaultRowHeight="15.75" customHeight="1"/>
  <cols>
    <col min="1" max="1" width="5.75" style="7" customWidth="1"/>
    <col min="2" max="2" width="10.75" style="7" customWidth="1"/>
    <col min="3" max="3" width="8" style="7" customWidth="1"/>
    <col min="4" max="4" width="8.875" style="7"/>
    <col min="5" max="5" width="2.75" style="7" customWidth="1"/>
    <col min="6" max="6" width="17.75" style="7" customWidth="1"/>
    <col min="7" max="8" width="8.875" style="7"/>
    <col min="9" max="9" width="13.25" style="7" customWidth="1"/>
    <col min="10" max="10" width="24.25" style="7" customWidth="1"/>
  </cols>
  <sheetData>
    <row r="2" spans="1:11" ht="15" customHeight="1"/>
    <row r="3" spans="1:11" ht="18.75" customHeight="1">
      <c r="J3" s="6"/>
    </row>
    <row r="4" spans="1:11" ht="20.25" customHeight="1">
      <c r="D4" s="9"/>
      <c r="E4" s="9"/>
      <c r="F4" s="9"/>
      <c r="G4" s="9"/>
      <c r="H4" s="9"/>
      <c r="I4" s="9"/>
      <c r="J4" s="6"/>
    </row>
    <row r="5" spans="1:11" ht="20.25" customHeight="1">
      <c r="D5" s="9"/>
      <c r="E5" s="9"/>
      <c r="F5" s="9"/>
      <c r="G5" s="9"/>
      <c r="H5" s="9"/>
      <c r="I5" s="9"/>
      <c r="J5" s="6"/>
    </row>
    <row r="6" spans="1:11" ht="27">
      <c r="A6" s="2003" t="s">
        <v>0</v>
      </c>
      <c r="B6" s="2003"/>
      <c r="C6" s="2003"/>
      <c r="D6" s="2003"/>
      <c r="E6" s="2003"/>
      <c r="F6" s="2003"/>
      <c r="G6" s="2003"/>
      <c r="H6" s="2003"/>
      <c r="I6" s="2003"/>
      <c r="J6" s="2003"/>
      <c r="K6" s="2003"/>
    </row>
    <row r="7" spans="1:11" s="8" customFormat="1" ht="27">
      <c r="A7" s="2004" t="s">
        <v>732</v>
      </c>
      <c r="B7" s="2004"/>
      <c r="C7" s="2004"/>
      <c r="D7" s="2004"/>
      <c r="E7" s="2004"/>
      <c r="F7" s="2004"/>
      <c r="G7" s="2004"/>
      <c r="H7" s="2004"/>
      <c r="I7" s="2004"/>
      <c r="J7" s="2004"/>
      <c r="K7" s="2004"/>
    </row>
    <row r="8" spans="1:11" s="8" customFormat="1" ht="28.5" customHeight="1">
      <c r="A8" s="2005" t="s">
        <v>731</v>
      </c>
      <c r="B8" s="2005"/>
      <c r="C8" s="2005"/>
      <c r="D8" s="2005"/>
      <c r="E8" s="2005"/>
      <c r="F8" s="2005"/>
      <c r="G8" s="2005"/>
      <c r="H8" s="2005"/>
      <c r="I8" s="2005"/>
      <c r="J8" s="2005"/>
      <c r="K8" s="2005"/>
    </row>
    <row r="9" spans="1:11" ht="9" hidden="1" customHeight="1">
      <c r="D9" s="2002" t="s">
        <v>1</v>
      </c>
      <c r="E9" s="2002"/>
      <c r="F9" s="2002"/>
      <c r="G9" s="2002"/>
      <c r="H9" s="2002"/>
      <c r="I9" s="2002"/>
      <c r="J9" s="2002"/>
    </row>
    <row r="17" spans="10:10" ht="15.75" customHeight="1">
      <c r="J17" s="7" t="s">
        <v>2</v>
      </c>
    </row>
  </sheetData>
  <mergeCells count="4">
    <mergeCell ref="D9:J9"/>
    <mergeCell ref="A6:K6"/>
    <mergeCell ref="A7:K7"/>
    <mergeCell ref="A8:K8"/>
  </mergeCells>
  <pageMargins left="0.75" right="0.75" top="1" bottom="1" header="0.5" footer="0.5"/>
  <pageSetup paperSize="9" orientation="landscape" r:id="rId1"/>
</worksheet>
</file>

<file path=xl/worksheets/sheet1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autoPageBreaks="0" fitToPage="1"/>
  </sheetPr>
  <dimension ref="A1:AO114"/>
  <sheetViews>
    <sheetView tabSelected="1" zoomScaleNormal="100" zoomScaleSheetLayoutView="85" zoomScalePageLayoutView="40" workbookViewId="0">
      <pane xSplit="3" ySplit="15" topLeftCell="I16" activePane="bottomRight" state="frozen"/>
      <selection pane="topRight" activeCell="D1" sqref="D1"/>
      <selection pane="bottomLeft" activeCell="A16" sqref="A16"/>
      <selection pane="bottomRight" activeCell="T23" sqref="T23"/>
    </sheetView>
  </sheetViews>
  <sheetFormatPr defaultColWidth="9" defaultRowHeight="15.75" customHeight="1"/>
  <cols>
    <col min="1" max="1" width="4.875" style="398" customWidth="1"/>
    <col min="2" max="2" width="37.875" style="364" customWidth="1"/>
    <col min="3" max="3" width="8.25" style="452" customWidth="1"/>
    <col min="4" max="4" width="8.625" style="364" hidden="1" customWidth="1"/>
    <col min="5" max="5" width="10.75" style="364" hidden="1" customWidth="1"/>
    <col min="6" max="6" width="10.25" style="364" hidden="1" customWidth="1"/>
    <col min="7" max="8" width="9.25" style="364" hidden="1" customWidth="1"/>
    <col min="9" max="9" width="9" style="364" customWidth="1"/>
    <col min="10" max="10" width="6.125" style="364" hidden="1" customWidth="1"/>
    <col min="11" max="11" width="9.25" style="364" hidden="1" customWidth="1"/>
    <col min="12" max="12" width="11.625" style="364" customWidth="1"/>
    <col min="13" max="13" width="10.75" style="364" customWidth="1"/>
    <col min="14" max="14" width="9.25" style="364" customWidth="1"/>
    <col min="15" max="15" width="9.25" style="364" hidden="1" customWidth="1"/>
    <col min="16" max="16" width="9.25" style="364" customWidth="1"/>
    <col min="17" max="17" width="9.625" style="364" customWidth="1"/>
    <col min="18" max="18" width="8.375" style="364" customWidth="1"/>
    <col min="19" max="19" width="10" style="364" customWidth="1"/>
    <col min="20" max="20" width="9.625" style="364" customWidth="1"/>
    <col min="21" max="21" width="14.625" style="398" customWidth="1"/>
    <col min="22" max="22" width="7" style="750" customWidth="1"/>
    <col min="23" max="23" width="13.625" style="793" hidden="1" customWidth="1"/>
    <col min="24" max="24" width="11.25" style="128" hidden="1" customWidth="1"/>
    <col min="25" max="25" width="12.25" style="1645" hidden="1" customWidth="1"/>
    <col min="26" max="26" width="11.25" style="364" customWidth="1"/>
    <col min="27" max="27" width="13.75" style="364" customWidth="1"/>
    <col min="28" max="28" width="14.25" style="364" customWidth="1"/>
    <col min="29" max="29" width="12.125" style="364" customWidth="1"/>
    <col min="30" max="35" width="8.875" style="364" customWidth="1"/>
    <col min="36" max="37" width="9" style="370" customWidth="1"/>
    <col min="38" max="38" width="11.25" style="341" customWidth="1"/>
    <col min="39" max="39" width="15.75" style="370" customWidth="1"/>
    <col min="40" max="40" width="47.75" style="370" customWidth="1"/>
    <col min="41" max="41" width="14" style="370" customWidth="1"/>
    <col min="42" max="16384" width="9" style="370"/>
  </cols>
  <sheetData>
    <row r="1" spans="1:41" s="923" customFormat="1" ht="21.95" customHeight="1">
      <c r="A1" s="2020" t="s">
        <v>774</v>
      </c>
      <c r="B1" s="2020"/>
      <c r="C1" s="2020"/>
      <c r="D1" s="2020"/>
      <c r="E1" s="2020"/>
      <c r="F1" s="2020"/>
      <c r="G1" s="2020"/>
      <c r="H1" s="2020"/>
      <c r="I1" s="2020"/>
      <c r="J1" s="2020"/>
      <c r="K1" s="2020"/>
      <c r="L1" s="2020"/>
      <c r="M1" s="2020"/>
      <c r="N1" s="2020"/>
      <c r="O1" s="2020"/>
      <c r="P1" s="2020"/>
      <c r="Q1" s="2020"/>
      <c r="R1" s="2020"/>
      <c r="S1" s="2020"/>
      <c r="T1" s="2020"/>
      <c r="U1" s="2020"/>
      <c r="V1" s="920"/>
      <c r="W1" s="921"/>
      <c r="X1" s="1413"/>
      <c r="Y1" s="1643"/>
      <c r="Z1" s="922"/>
      <c r="AA1" s="922"/>
      <c r="AB1" s="922"/>
      <c r="AC1" s="922"/>
      <c r="AD1" s="922"/>
      <c r="AE1" s="922"/>
      <c r="AF1" s="922"/>
      <c r="AG1" s="922"/>
      <c r="AH1" s="922"/>
      <c r="AI1" s="922"/>
      <c r="AL1" s="924"/>
    </row>
    <row r="2" spans="1:41" s="365" customFormat="1" ht="21.95" customHeight="1">
      <c r="A2" s="2027" t="s">
        <v>936</v>
      </c>
      <c r="B2" s="2027"/>
      <c r="C2" s="2027"/>
      <c r="D2" s="2027"/>
      <c r="E2" s="2027"/>
      <c r="F2" s="2027"/>
      <c r="G2" s="2027"/>
      <c r="H2" s="2027"/>
      <c r="I2" s="2027"/>
      <c r="J2" s="2027"/>
      <c r="K2" s="2027"/>
      <c r="L2" s="2027"/>
      <c r="M2" s="2027"/>
      <c r="N2" s="2027"/>
      <c r="O2" s="2027"/>
      <c r="P2" s="2027"/>
      <c r="Q2" s="2027"/>
      <c r="R2" s="2027"/>
      <c r="S2" s="2027"/>
      <c r="T2" s="2027"/>
      <c r="U2" s="2027"/>
      <c r="V2" s="751"/>
      <c r="W2" s="793"/>
      <c r="X2" s="1644"/>
      <c r="Y2" s="369"/>
      <c r="Z2" s="364"/>
      <c r="AA2" s="364"/>
      <c r="AB2" s="364"/>
      <c r="AC2" s="364"/>
      <c r="AD2" s="364"/>
      <c r="AE2" s="364"/>
      <c r="AF2" s="364"/>
      <c r="AG2" s="364"/>
      <c r="AH2" s="364"/>
      <c r="AI2" s="364"/>
      <c r="AL2" s="366"/>
      <c r="AM2" s="367"/>
      <c r="AN2" s="367"/>
      <c r="AO2" s="367"/>
    </row>
    <row r="3" spans="1:41" s="365" customFormat="1" ht="21.95" customHeight="1">
      <c r="A3" s="2016" t="s">
        <v>970</v>
      </c>
      <c r="B3" s="2016"/>
      <c r="C3" s="2016"/>
      <c r="D3" s="2016"/>
      <c r="E3" s="2016"/>
      <c r="F3" s="2016"/>
      <c r="G3" s="2016"/>
      <c r="H3" s="2016"/>
      <c r="I3" s="2016"/>
      <c r="J3" s="2016"/>
      <c r="K3" s="2016"/>
      <c r="L3" s="2016"/>
      <c r="M3" s="2016"/>
      <c r="N3" s="2016"/>
      <c r="O3" s="2016"/>
      <c r="P3" s="2016"/>
      <c r="Q3" s="2016"/>
      <c r="R3" s="2016"/>
      <c r="S3" s="2016"/>
      <c r="T3" s="2016"/>
      <c r="U3" s="2016"/>
      <c r="V3" s="751"/>
      <c r="W3" s="793"/>
      <c r="X3" s="1644"/>
      <c r="Y3" s="1645"/>
      <c r="Z3" s="364"/>
      <c r="AA3" s="364"/>
      <c r="AB3" s="364"/>
      <c r="AC3" s="364"/>
      <c r="AD3" s="364"/>
      <c r="AE3" s="364"/>
      <c r="AF3" s="364"/>
      <c r="AG3" s="364"/>
      <c r="AH3" s="364"/>
      <c r="AI3" s="364"/>
      <c r="AL3" s="366"/>
      <c r="AM3" s="367"/>
      <c r="AN3" s="367"/>
      <c r="AO3" s="367"/>
    </row>
    <row r="4" spans="1:41" s="365" customFormat="1">
      <c r="A4" s="2010"/>
      <c r="B4" s="2010"/>
      <c r="C4" s="2010"/>
      <c r="D4" s="2010"/>
      <c r="E4" s="2010"/>
      <c r="F4" s="2010"/>
      <c r="G4" s="2010"/>
      <c r="H4" s="2010"/>
      <c r="I4" s="2010"/>
      <c r="J4" s="2010"/>
      <c r="K4" s="2010"/>
      <c r="L4" s="2010"/>
      <c r="M4" s="2010"/>
      <c r="N4" s="2010"/>
      <c r="O4" s="2010"/>
      <c r="P4" s="2010"/>
      <c r="Q4" s="2010"/>
      <c r="R4" s="2010"/>
      <c r="S4" s="2010"/>
      <c r="T4" s="2010"/>
      <c r="U4" s="2010"/>
      <c r="V4" s="810"/>
      <c r="W4" s="793"/>
      <c r="X4" s="1644"/>
      <c r="Y4" s="1645"/>
      <c r="Z4" s="364"/>
      <c r="AA4" s="364"/>
      <c r="AB4" s="364"/>
      <c r="AC4" s="364"/>
      <c r="AD4" s="364"/>
      <c r="AE4" s="364"/>
      <c r="AF4" s="364"/>
      <c r="AG4" s="364"/>
      <c r="AH4" s="364"/>
      <c r="AI4" s="364"/>
      <c r="AL4" s="366"/>
      <c r="AM4" s="367"/>
      <c r="AN4" s="367"/>
      <c r="AO4" s="367"/>
    </row>
    <row r="5" spans="1:41" s="343" customFormat="1" ht="21.95" customHeight="1">
      <c r="A5" s="2021" t="s">
        <v>178</v>
      </c>
      <c r="B5" s="2021" t="s">
        <v>4</v>
      </c>
      <c r="C5" s="2021" t="s">
        <v>5</v>
      </c>
      <c r="D5" s="2017" t="s">
        <v>880</v>
      </c>
      <c r="E5" s="2017" t="s">
        <v>865</v>
      </c>
      <c r="F5" s="2017"/>
      <c r="G5" s="2017"/>
      <c r="H5" s="2017"/>
      <c r="I5" s="2017"/>
      <c r="J5" s="2017"/>
      <c r="K5" s="2017"/>
      <c r="L5" s="2014" t="s">
        <v>952</v>
      </c>
      <c r="M5" s="2015"/>
      <c r="N5" s="2015"/>
      <c r="O5" s="2015"/>
      <c r="P5" s="2015"/>
      <c r="Q5" s="2019" t="s">
        <v>954</v>
      </c>
      <c r="R5" s="2019"/>
      <c r="S5" s="2019"/>
      <c r="T5" s="2019"/>
      <c r="U5" s="2011" t="s">
        <v>830</v>
      </c>
      <c r="V5" s="753"/>
      <c r="W5" s="2012" t="s">
        <v>914</v>
      </c>
      <c r="X5" s="2013" t="s">
        <v>950</v>
      </c>
      <c r="Y5" s="1646"/>
      <c r="Z5" s="130"/>
      <c r="AA5" s="130"/>
      <c r="AB5" s="130"/>
      <c r="AC5" s="130"/>
      <c r="AD5" s="130"/>
      <c r="AE5" s="130"/>
      <c r="AF5" s="130"/>
      <c r="AG5" s="130"/>
      <c r="AH5" s="130"/>
      <c r="AI5" s="130"/>
      <c r="AM5" s="344"/>
      <c r="AN5" s="344"/>
      <c r="AO5" s="344"/>
    </row>
    <row r="6" spans="1:41" s="343" customFormat="1" ht="99" customHeight="1">
      <c r="A6" s="2021"/>
      <c r="B6" s="2021"/>
      <c r="C6" s="2021"/>
      <c r="D6" s="2017"/>
      <c r="E6" s="1506" t="s">
        <v>878</v>
      </c>
      <c r="F6" s="1506" t="s">
        <v>864</v>
      </c>
      <c r="G6" s="1506" t="s">
        <v>11</v>
      </c>
      <c r="H6" s="1640" t="s">
        <v>951</v>
      </c>
      <c r="I6" s="1506" t="s">
        <v>971</v>
      </c>
      <c r="J6" s="1506" t="s">
        <v>870</v>
      </c>
      <c r="K6" s="1506" t="s">
        <v>797</v>
      </c>
      <c r="L6" s="1640" t="s">
        <v>955</v>
      </c>
      <c r="M6" s="1640" t="s">
        <v>956</v>
      </c>
      <c r="N6" s="1640" t="s">
        <v>11</v>
      </c>
      <c r="O6" s="1640" t="s">
        <v>953</v>
      </c>
      <c r="P6" s="1675" t="s">
        <v>795</v>
      </c>
      <c r="Q6" s="1507" t="s">
        <v>959</v>
      </c>
      <c r="R6" s="1641" t="s">
        <v>961</v>
      </c>
      <c r="S6" s="1641" t="s">
        <v>963</v>
      </c>
      <c r="T6" s="1676" t="s">
        <v>962</v>
      </c>
      <c r="U6" s="2011"/>
      <c r="V6" s="773"/>
      <c r="W6" s="2012"/>
      <c r="X6" s="2013"/>
      <c r="Y6" s="1646" t="s">
        <v>933</v>
      </c>
      <c r="Z6" s="130"/>
      <c r="AA6" s="130"/>
      <c r="AB6" s="130"/>
      <c r="AC6" s="130"/>
      <c r="AD6" s="130"/>
      <c r="AE6" s="130"/>
      <c r="AF6" s="130"/>
      <c r="AG6" s="130"/>
      <c r="AH6" s="130"/>
      <c r="AI6" s="130"/>
      <c r="AM6" s="344"/>
      <c r="AN6" s="2009"/>
      <c r="AO6" s="178"/>
    </row>
    <row r="7" spans="1:41" s="372" customFormat="1" ht="30.75" hidden="1" customHeight="1">
      <c r="A7" s="1505">
        <v>1</v>
      </c>
      <c r="B7" s="835" t="s">
        <v>852</v>
      </c>
      <c r="C7" s="1505"/>
      <c r="D7" s="1507"/>
      <c r="E7" s="1507"/>
      <c r="F7" s="1507"/>
      <c r="G7" s="1507"/>
      <c r="H7" s="1641"/>
      <c r="I7" s="1507"/>
      <c r="J7" s="1507"/>
      <c r="K7" s="1507"/>
      <c r="L7" s="1641"/>
      <c r="M7" s="1641"/>
      <c r="N7" s="1507"/>
      <c r="O7" s="1641"/>
      <c r="P7" s="1676"/>
      <c r="Q7" s="1507"/>
      <c r="R7" s="1641"/>
      <c r="S7" s="1641"/>
      <c r="T7" s="1507"/>
      <c r="U7" s="1671"/>
      <c r="V7" s="750"/>
      <c r="W7" s="794"/>
      <c r="X7" s="128"/>
      <c r="Y7" s="1647"/>
      <c r="Z7" s="129"/>
      <c r="AA7" s="129"/>
      <c r="AB7" s="129"/>
      <c r="AC7" s="129"/>
      <c r="AD7" s="129"/>
      <c r="AE7" s="129"/>
      <c r="AF7" s="129"/>
      <c r="AG7" s="129"/>
      <c r="AH7" s="129"/>
      <c r="AI7" s="129"/>
      <c r="AL7" s="343"/>
      <c r="AM7" s="373"/>
      <c r="AN7" s="2009"/>
      <c r="AO7" s="373"/>
    </row>
    <row r="8" spans="1:41" s="375" customFormat="1" ht="15.75" hidden="1" customHeight="1">
      <c r="A8" s="1505" t="s">
        <v>14</v>
      </c>
      <c r="B8" s="835" t="s">
        <v>647</v>
      </c>
      <c r="C8" s="1504" t="s">
        <v>15</v>
      </c>
      <c r="D8" s="641"/>
      <c r="E8" s="641"/>
      <c r="F8" s="641"/>
      <c r="G8" s="641"/>
      <c r="H8" s="641"/>
      <c r="I8" s="641"/>
      <c r="J8" s="641"/>
      <c r="K8" s="641"/>
      <c r="L8" s="641"/>
      <c r="M8" s="641"/>
      <c r="N8" s="641"/>
      <c r="O8" s="641"/>
      <c r="P8" s="641"/>
      <c r="Q8" s="641"/>
      <c r="R8" s="641"/>
      <c r="S8" s="641"/>
      <c r="T8" s="641"/>
      <c r="U8" s="846"/>
      <c r="V8" s="750"/>
      <c r="W8" s="793"/>
      <c r="X8" s="128"/>
      <c r="Y8" s="1648"/>
      <c r="Z8" s="374"/>
      <c r="AA8" s="374"/>
      <c r="AB8" s="374"/>
      <c r="AC8" s="374"/>
      <c r="AD8" s="374"/>
      <c r="AE8" s="374"/>
      <c r="AF8" s="374"/>
      <c r="AG8" s="374"/>
      <c r="AH8" s="374"/>
      <c r="AI8" s="374"/>
      <c r="AL8" s="376"/>
      <c r="AM8" s="377"/>
      <c r="AN8" s="377"/>
      <c r="AO8" s="377"/>
    </row>
    <row r="9" spans="1:41" s="20" customFormat="1" ht="25.5" hidden="1" customHeight="1">
      <c r="A9" s="1504"/>
      <c r="B9" s="839" t="s">
        <v>16</v>
      </c>
      <c r="C9" s="1504" t="s">
        <v>15</v>
      </c>
      <c r="D9" s="642"/>
      <c r="E9" s="642"/>
      <c r="F9" s="642"/>
      <c r="G9" s="642"/>
      <c r="H9" s="642"/>
      <c r="I9" s="642"/>
      <c r="J9" s="642"/>
      <c r="K9" s="642"/>
      <c r="L9" s="642"/>
      <c r="M9" s="642"/>
      <c r="N9" s="642"/>
      <c r="O9" s="642"/>
      <c r="P9" s="642"/>
      <c r="Q9" s="642"/>
      <c r="R9" s="642"/>
      <c r="S9" s="642"/>
      <c r="T9" s="642"/>
      <c r="U9" s="840"/>
      <c r="V9" s="774"/>
      <c r="W9" s="795"/>
      <c r="X9" s="128"/>
      <c r="Y9" s="1649"/>
      <c r="Z9" s="185"/>
      <c r="AA9" s="185"/>
      <c r="AB9" s="378"/>
      <c r="AC9" s="378"/>
      <c r="AD9" s="378"/>
      <c r="AE9" s="185"/>
      <c r="AF9" s="185"/>
      <c r="AG9" s="185"/>
      <c r="AH9" s="185"/>
      <c r="AI9" s="185"/>
      <c r="AL9" s="379"/>
      <c r="AM9" s="380"/>
      <c r="AN9" s="380"/>
      <c r="AO9" s="380"/>
    </row>
    <row r="10" spans="1:41" s="20" customFormat="1" ht="25.5" hidden="1" customHeight="1">
      <c r="A10" s="1504"/>
      <c r="B10" s="839" t="s">
        <v>17</v>
      </c>
      <c r="C10" s="1504" t="s">
        <v>15</v>
      </c>
      <c r="D10" s="642"/>
      <c r="E10" s="642"/>
      <c r="F10" s="642"/>
      <c r="G10" s="642"/>
      <c r="H10" s="642"/>
      <c r="I10" s="642"/>
      <c r="J10" s="642"/>
      <c r="K10" s="642"/>
      <c r="L10" s="642"/>
      <c r="M10" s="642"/>
      <c r="N10" s="642"/>
      <c r="O10" s="642"/>
      <c r="P10" s="642"/>
      <c r="Q10" s="642"/>
      <c r="R10" s="642"/>
      <c r="S10" s="642"/>
      <c r="T10" s="642"/>
      <c r="U10" s="840"/>
      <c r="V10" s="774"/>
      <c r="W10" s="795"/>
      <c r="X10" s="128"/>
      <c r="Y10" s="1649"/>
      <c r="Z10" s="185"/>
      <c r="AA10" s="185"/>
      <c r="AB10" s="378"/>
      <c r="AC10" s="378"/>
      <c r="AD10" s="378"/>
      <c r="AE10" s="185"/>
      <c r="AF10" s="185"/>
      <c r="AG10" s="185"/>
      <c r="AH10" s="185"/>
      <c r="AI10" s="185"/>
      <c r="AL10" s="379"/>
      <c r="AM10" s="380"/>
      <c r="AN10" s="380"/>
      <c r="AO10" s="380"/>
    </row>
    <row r="11" spans="1:41" s="20" customFormat="1" ht="25.5" hidden="1" customHeight="1">
      <c r="A11" s="1504"/>
      <c r="B11" s="839" t="s">
        <v>18</v>
      </c>
      <c r="C11" s="1504" t="s">
        <v>15</v>
      </c>
      <c r="D11" s="642"/>
      <c r="E11" s="642"/>
      <c r="F11" s="642"/>
      <c r="G11" s="642"/>
      <c r="H11" s="642"/>
      <c r="I11" s="642"/>
      <c r="J11" s="642"/>
      <c r="K11" s="642"/>
      <c r="L11" s="642"/>
      <c r="M11" s="642"/>
      <c r="N11" s="642"/>
      <c r="O11" s="642"/>
      <c r="P11" s="642"/>
      <c r="Q11" s="642"/>
      <c r="R11" s="642"/>
      <c r="S11" s="642"/>
      <c r="T11" s="642"/>
      <c r="U11" s="840"/>
      <c r="V11" s="774"/>
      <c r="W11" s="795"/>
      <c r="X11" s="128"/>
      <c r="Y11" s="1649"/>
      <c r="Z11" s="185"/>
      <c r="AA11" s="185"/>
      <c r="AB11" s="378"/>
      <c r="AC11" s="378"/>
      <c r="AD11" s="378"/>
      <c r="AE11" s="185"/>
      <c r="AF11" s="185"/>
      <c r="AG11" s="185"/>
      <c r="AH11" s="185"/>
      <c r="AI11" s="185"/>
      <c r="AL11" s="379"/>
      <c r="AM11" s="380"/>
      <c r="AN11" s="380"/>
      <c r="AO11" s="380"/>
    </row>
    <row r="12" spans="1:41" s="21" customFormat="1" ht="25.5" hidden="1" customHeight="1">
      <c r="A12" s="1505" t="s">
        <v>19</v>
      </c>
      <c r="B12" s="835" t="s">
        <v>648</v>
      </c>
      <c r="C12" s="1505"/>
      <c r="D12" s="642"/>
      <c r="E12" s="642"/>
      <c r="F12" s="642"/>
      <c r="G12" s="642"/>
      <c r="H12" s="642"/>
      <c r="I12" s="642"/>
      <c r="J12" s="642"/>
      <c r="K12" s="642"/>
      <c r="L12" s="642"/>
      <c r="M12" s="642"/>
      <c r="N12" s="642"/>
      <c r="O12" s="642"/>
      <c r="P12" s="642"/>
      <c r="Q12" s="642"/>
      <c r="R12" s="642"/>
      <c r="S12" s="642"/>
      <c r="T12" s="642"/>
      <c r="U12" s="840"/>
      <c r="V12" s="754"/>
      <c r="W12" s="796"/>
      <c r="X12" s="381"/>
      <c r="Y12" s="1650"/>
      <c r="Z12" s="383"/>
      <c r="AA12" s="383"/>
      <c r="AB12" s="383"/>
      <c r="AC12" s="382"/>
      <c r="AD12" s="383"/>
      <c r="AE12" s="383"/>
      <c r="AF12" s="383"/>
      <c r="AG12" s="383"/>
      <c r="AH12" s="383"/>
      <c r="AI12" s="383"/>
      <c r="AL12" s="384"/>
      <c r="AM12" s="385"/>
      <c r="AN12" s="385"/>
      <c r="AO12" s="385"/>
    </row>
    <row r="13" spans="1:41" s="20" customFormat="1" ht="25.5" hidden="1" customHeight="1">
      <c r="A13" s="1504"/>
      <c r="B13" s="839" t="s">
        <v>20</v>
      </c>
      <c r="C13" s="1504" t="s">
        <v>21</v>
      </c>
      <c r="D13" s="642"/>
      <c r="E13" s="642"/>
      <c r="F13" s="642"/>
      <c r="G13" s="642"/>
      <c r="H13" s="642"/>
      <c r="I13" s="642"/>
      <c r="J13" s="642"/>
      <c r="K13" s="642"/>
      <c r="L13" s="642"/>
      <c r="M13" s="642"/>
      <c r="N13" s="642"/>
      <c r="O13" s="642"/>
      <c r="P13" s="642"/>
      <c r="Q13" s="642"/>
      <c r="R13" s="642"/>
      <c r="S13" s="642"/>
      <c r="T13" s="642"/>
      <c r="U13" s="840"/>
      <c r="V13" s="750"/>
      <c r="W13" s="795"/>
      <c r="X13" s="128"/>
      <c r="Y13" s="1649"/>
      <c r="Z13" s="185"/>
      <c r="AA13" s="185"/>
      <c r="AB13" s="185"/>
      <c r="AC13" s="378"/>
      <c r="AD13" s="185"/>
      <c r="AE13" s="185"/>
      <c r="AF13" s="185"/>
      <c r="AG13" s="185"/>
      <c r="AH13" s="185"/>
      <c r="AI13" s="185"/>
      <c r="AL13" s="379"/>
      <c r="AM13" s="380"/>
      <c r="AN13" s="380"/>
      <c r="AO13" s="380"/>
    </row>
    <row r="14" spans="1:41" s="20" customFormat="1" ht="0.75" hidden="1" customHeight="1">
      <c r="A14" s="1504"/>
      <c r="B14" s="839" t="s">
        <v>22</v>
      </c>
      <c r="C14" s="1504" t="s">
        <v>21</v>
      </c>
      <c r="D14" s="642"/>
      <c r="E14" s="642"/>
      <c r="F14" s="642"/>
      <c r="G14" s="642"/>
      <c r="H14" s="642"/>
      <c r="I14" s="642"/>
      <c r="J14" s="642"/>
      <c r="K14" s="642"/>
      <c r="L14" s="642"/>
      <c r="M14" s="642"/>
      <c r="N14" s="642"/>
      <c r="O14" s="642"/>
      <c r="P14" s="642"/>
      <c r="Q14" s="642"/>
      <c r="R14" s="642"/>
      <c r="S14" s="642"/>
      <c r="T14" s="642"/>
      <c r="U14" s="840"/>
      <c r="V14" s="750"/>
      <c r="W14" s="795"/>
      <c r="X14" s="128"/>
      <c r="Y14" s="1649"/>
      <c r="Z14" s="185"/>
      <c r="AA14" s="185"/>
      <c r="AB14" s="185"/>
      <c r="AC14" s="378"/>
      <c r="AD14" s="185"/>
      <c r="AE14" s="185"/>
      <c r="AF14" s="185"/>
      <c r="AG14" s="185"/>
      <c r="AH14" s="185"/>
      <c r="AI14" s="185"/>
      <c r="AL14" s="379"/>
      <c r="AM14" s="380"/>
      <c r="AN14" s="380"/>
      <c r="AO14" s="380"/>
    </row>
    <row r="15" spans="1:41" s="365" customFormat="1" hidden="1">
      <c r="A15" s="1504"/>
      <c r="B15" s="839" t="s">
        <v>23</v>
      </c>
      <c r="C15" s="1504" t="s">
        <v>21</v>
      </c>
      <c r="D15" s="642"/>
      <c r="E15" s="642"/>
      <c r="F15" s="642"/>
      <c r="G15" s="642"/>
      <c r="H15" s="642"/>
      <c r="I15" s="642"/>
      <c r="J15" s="642"/>
      <c r="K15" s="642"/>
      <c r="L15" s="642"/>
      <c r="M15" s="642"/>
      <c r="N15" s="642"/>
      <c r="O15" s="642"/>
      <c r="P15" s="642"/>
      <c r="Q15" s="642"/>
      <c r="R15" s="642"/>
      <c r="S15" s="642"/>
      <c r="T15" s="642"/>
      <c r="U15" s="840"/>
      <c r="V15" s="750"/>
      <c r="W15" s="793"/>
      <c r="X15" s="128"/>
      <c r="Y15" s="1645"/>
      <c r="Z15" s="364"/>
      <c r="AA15" s="364"/>
      <c r="AB15" s="364"/>
      <c r="AC15" s="386"/>
      <c r="AD15" s="364"/>
      <c r="AE15" s="364"/>
      <c r="AF15" s="364"/>
      <c r="AG15" s="364"/>
      <c r="AH15" s="364"/>
      <c r="AI15" s="364"/>
      <c r="AL15" s="366"/>
      <c r="AM15" s="367"/>
      <c r="AN15" s="367"/>
      <c r="AO15" s="367"/>
    </row>
    <row r="16" spans="1:41" s="375" customFormat="1" ht="36" customHeight="1">
      <c r="A16" s="1505">
        <v>1</v>
      </c>
      <c r="B16" s="841" t="s">
        <v>24</v>
      </c>
      <c r="C16" s="1505" t="s">
        <v>25</v>
      </c>
      <c r="D16" s="842">
        <v>27.6</v>
      </c>
      <c r="E16" s="842"/>
      <c r="F16" s="842">
        <v>29.5</v>
      </c>
      <c r="G16" s="842">
        <v>29.5</v>
      </c>
      <c r="H16" s="842"/>
      <c r="I16" s="842"/>
      <c r="J16" s="842"/>
      <c r="K16" s="1663">
        <v>31</v>
      </c>
      <c r="L16" s="1663"/>
      <c r="M16" s="1663">
        <v>33</v>
      </c>
      <c r="N16" s="1663">
        <v>33</v>
      </c>
      <c r="O16" s="1663"/>
      <c r="P16" s="1663"/>
      <c r="Q16" s="843"/>
      <c r="R16" s="843"/>
      <c r="S16" s="843"/>
      <c r="T16" s="843"/>
      <c r="U16" s="1107" t="s">
        <v>957</v>
      </c>
      <c r="V16" s="775">
        <v>1</v>
      </c>
      <c r="W16" s="797">
        <v>32.07</v>
      </c>
      <c r="X16" s="472"/>
      <c r="Y16" s="1648"/>
      <c r="Z16" s="388"/>
      <c r="AA16" s="387"/>
      <c r="AB16" s="374"/>
      <c r="AC16" s="388"/>
      <c r="AD16" s="374"/>
      <c r="AE16" s="374"/>
      <c r="AF16" s="374"/>
      <c r="AG16" s="374"/>
      <c r="AH16" s="374"/>
      <c r="AI16" s="374"/>
      <c r="AK16" s="389" t="e">
        <f>#REF!-#REF!</f>
        <v>#REF!</v>
      </c>
      <c r="AL16" s="829"/>
      <c r="AM16" s="339"/>
      <c r="AN16" s="179"/>
      <c r="AO16" s="377"/>
    </row>
    <row r="17" spans="1:41" s="375" customFormat="1" ht="21.95" customHeight="1">
      <c r="A17" s="1505">
        <v>2</v>
      </c>
      <c r="B17" s="841" t="s">
        <v>666</v>
      </c>
      <c r="C17" s="1505"/>
      <c r="D17" s="844"/>
      <c r="E17" s="844"/>
      <c r="F17" s="844"/>
      <c r="G17" s="844"/>
      <c r="H17" s="844"/>
      <c r="I17" s="844"/>
      <c r="J17" s="844"/>
      <c r="K17" s="844"/>
      <c r="L17" s="844"/>
      <c r="M17" s="844"/>
      <c r="N17" s="844"/>
      <c r="O17" s="844"/>
      <c r="P17" s="844"/>
      <c r="Q17" s="844"/>
      <c r="R17" s="844"/>
      <c r="S17" s="844"/>
      <c r="T17" s="844"/>
      <c r="U17" s="846"/>
      <c r="V17" s="776"/>
      <c r="W17" s="793"/>
      <c r="X17" s="128"/>
      <c r="Y17" s="1645"/>
      <c r="Z17" s="364"/>
      <c r="AA17" s="374"/>
      <c r="AB17" s="374"/>
      <c r="AC17" s="374"/>
      <c r="AD17" s="374"/>
      <c r="AE17" s="374"/>
      <c r="AF17" s="374"/>
      <c r="AG17" s="374"/>
      <c r="AH17" s="374"/>
      <c r="AI17" s="374"/>
      <c r="AL17" s="390"/>
      <c r="AM17" s="289"/>
      <c r="AN17" s="179"/>
      <c r="AO17" s="377"/>
    </row>
    <row r="18" spans="1:41" s="365" customFormat="1" ht="21.95" customHeight="1">
      <c r="A18" s="1504"/>
      <c r="B18" s="847" t="s">
        <v>764</v>
      </c>
      <c r="C18" s="1504" t="s">
        <v>32</v>
      </c>
      <c r="D18" s="848">
        <f>'B2 SXNN'!D18</f>
        <v>17500.677</v>
      </c>
      <c r="E18" s="848">
        <v>17650</v>
      </c>
      <c r="F18" s="848">
        <v>17649.617000000002</v>
      </c>
      <c r="G18" s="848">
        <f>'B2 SXNN'!E18</f>
        <v>17649.617000000002</v>
      </c>
      <c r="H18" s="848"/>
      <c r="I18" s="848">
        <f>'B2 SXNN'!F18</f>
        <v>5374.7380000000003</v>
      </c>
      <c r="J18" s="848">
        <f>'B2 SXNN'!G18</f>
        <v>9788.4760000000006</v>
      </c>
      <c r="K18" s="848">
        <f>'B2 SXNN'!H18</f>
        <v>18342.778328</v>
      </c>
      <c r="L18" s="848">
        <v>17770.3</v>
      </c>
      <c r="M18" s="848">
        <v>17859.988800000003</v>
      </c>
      <c r="N18" s="848">
        <f>'B2 SXNN'!W18</f>
        <v>17859.988800000003</v>
      </c>
      <c r="O18" s="848"/>
      <c r="P18" s="848">
        <f>'B2 SXNN'!AL18</f>
        <v>5501.8376000000007</v>
      </c>
      <c r="Q18" s="851">
        <f>P18/I18%</f>
        <v>102.36475898918238</v>
      </c>
      <c r="R18" s="851">
        <f>P18/L18%</f>
        <v>30.960859411489963</v>
      </c>
      <c r="S18" s="851">
        <f>P18/M18%</f>
        <v>30.805381020171748</v>
      </c>
      <c r="T18" s="851">
        <f>P18/N18%</f>
        <v>30.805381020171748</v>
      </c>
      <c r="U18" s="852"/>
      <c r="V18" s="777" t="e">
        <f>J18-#REF!</f>
        <v>#REF!</v>
      </c>
      <c r="W18" s="798" t="s">
        <v>922</v>
      </c>
      <c r="X18" s="136">
        <f>'B2 SXNN'!BD18</f>
        <v>0</v>
      </c>
      <c r="Y18" s="1645">
        <f t="shared" ref="Y18:Y24" si="0">N18-X18</f>
        <v>17859.988800000003</v>
      </c>
      <c r="Z18" s="435"/>
      <c r="AA18" s="364"/>
      <c r="AB18" s="364"/>
      <c r="AC18" s="364"/>
      <c r="AD18" s="364"/>
      <c r="AE18" s="364"/>
      <c r="AF18" s="364"/>
      <c r="AG18" s="364"/>
      <c r="AH18" s="364"/>
      <c r="AI18" s="364"/>
      <c r="AK18" s="391" t="e">
        <f>#REF!-#REF!</f>
        <v>#REF!</v>
      </c>
      <c r="AL18" s="392"/>
      <c r="AM18" s="180"/>
      <c r="AN18" s="182"/>
      <c r="AO18" s="367"/>
    </row>
    <row r="19" spans="1:41" s="721" customFormat="1" hidden="1">
      <c r="A19" s="853"/>
      <c r="B19" s="854" t="s">
        <v>734</v>
      </c>
      <c r="C19" s="853" t="s">
        <v>93</v>
      </c>
      <c r="D19" s="855"/>
      <c r="E19" s="855"/>
      <c r="F19" s="855">
        <v>350</v>
      </c>
      <c r="G19" s="855">
        <f>'B2 SXNN'!E106</f>
        <v>350</v>
      </c>
      <c r="H19" s="855"/>
      <c r="I19" s="855"/>
      <c r="J19" s="855"/>
      <c r="K19" s="855"/>
      <c r="L19" s="855"/>
      <c r="M19" s="855"/>
      <c r="N19" s="855"/>
      <c r="O19" s="855"/>
      <c r="P19" s="855"/>
      <c r="Q19" s="851"/>
      <c r="R19" s="851"/>
      <c r="S19" s="851"/>
      <c r="T19" s="851"/>
      <c r="U19" s="856"/>
      <c r="V19" s="755"/>
      <c r="W19" s="799"/>
      <c r="X19" s="1651"/>
      <c r="Y19" s="1645">
        <f t="shared" si="0"/>
        <v>0</v>
      </c>
      <c r="Z19" s="720"/>
      <c r="AA19" s="720"/>
      <c r="AB19" s="720"/>
      <c r="AC19" s="720"/>
      <c r="AD19" s="720"/>
      <c r="AE19" s="720"/>
      <c r="AF19" s="720"/>
      <c r="AG19" s="720"/>
      <c r="AH19" s="720"/>
      <c r="AI19" s="720"/>
      <c r="AL19" s="722"/>
      <c r="AM19" s="723"/>
      <c r="AN19" s="724"/>
      <c r="AO19" s="725"/>
    </row>
    <row r="20" spans="1:41" s="394" customFormat="1" ht="21.95" customHeight="1">
      <c r="A20" s="857"/>
      <c r="B20" s="858" t="s">
        <v>735</v>
      </c>
      <c r="C20" s="857" t="s">
        <v>26</v>
      </c>
      <c r="D20" s="849">
        <f>'B2 SXNN'!D90</f>
        <v>3.8992585016619792</v>
      </c>
      <c r="E20" s="859">
        <v>4</v>
      </c>
      <c r="F20" s="859">
        <v>4</v>
      </c>
      <c r="G20" s="859">
        <f>'B2 SXNN'!E90</f>
        <v>4</v>
      </c>
      <c r="H20" s="859">
        <v>0.77027193306263064</v>
      </c>
      <c r="I20" s="849">
        <f>'B2 SXNN'!F90</f>
        <v>1.8924572412944505</v>
      </c>
      <c r="J20" s="849">
        <f>'B2 SXNN'!G90</f>
        <v>3.349329395841024</v>
      </c>
      <c r="K20" s="849">
        <f>'B2 SXNN'!H90</f>
        <v>4.5035068290882245</v>
      </c>
      <c r="L20" s="849">
        <v>4.3</v>
      </c>
      <c r="M20" s="849">
        <v>4.3000117744024493</v>
      </c>
      <c r="N20" s="849">
        <f>'B2 SXNN'!W90</f>
        <v>4.3000117744024493</v>
      </c>
      <c r="O20" s="850">
        <f>(42672 -42470)/42470*100</f>
        <v>0.47562985636920174</v>
      </c>
      <c r="P20" s="850">
        <f>'B2 SXNN'!AL90</f>
        <v>2.4935248410642807</v>
      </c>
      <c r="Q20" s="851">
        <f>P20-I20</f>
        <v>0.60106759976983026</v>
      </c>
      <c r="R20" s="851">
        <f>P20-L20</f>
        <v>-1.8064751589357191</v>
      </c>
      <c r="S20" s="851">
        <f>P20-M20</f>
        <v>-1.8064869333381686</v>
      </c>
      <c r="T20" s="851">
        <f>P20-N20</f>
        <v>-1.8064869333381686</v>
      </c>
      <c r="U20" s="2026" t="s">
        <v>879</v>
      </c>
      <c r="V20" s="778" t="e">
        <f>J20-#REF!</f>
        <v>#REF!</v>
      </c>
      <c r="W20" s="800"/>
      <c r="X20" s="1270">
        <f>'B2 SXNN'!BD90</f>
        <v>0</v>
      </c>
      <c r="Y20" s="1645">
        <f t="shared" si="0"/>
        <v>4.3000117744024493</v>
      </c>
      <c r="Z20" s="1777"/>
      <c r="AK20" s="394">
        <v>100</v>
      </c>
      <c r="AL20" s="395"/>
      <c r="AM20" s="337"/>
      <c r="AN20" s="338"/>
      <c r="AO20" s="396"/>
    </row>
    <row r="21" spans="1:41" s="364" customFormat="1" ht="21.95" customHeight="1">
      <c r="A21" s="1504"/>
      <c r="B21" s="860" t="s">
        <v>736</v>
      </c>
      <c r="C21" s="861" t="s">
        <v>26</v>
      </c>
      <c r="D21" s="862">
        <f>'B2 SXNN'!D104</f>
        <v>66.8</v>
      </c>
      <c r="E21" s="862">
        <v>67.44</v>
      </c>
      <c r="F21" s="862">
        <v>67.440293106483324</v>
      </c>
      <c r="G21" s="862">
        <f>'B2 SXNN'!E104</f>
        <v>67.440472312566769</v>
      </c>
      <c r="H21" s="862">
        <v>66.8</v>
      </c>
      <c r="I21" s="862">
        <f>'B2 SXNN'!F104</f>
        <v>66.801998371838053</v>
      </c>
      <c r="J21" s="862">
        <f>'B2 SXNN'!G104</f>
        <v>66.801841566515037</v>
      </c>
      <c r="K21" s="862">
        <f>'B2 SXNN'!H104</f>
        <v>67.440427511045911</v>
      </c>
      <c r="L21" s="862">
        <v>68.459999999999994</v>
      </c>
      <c r="M21" s="862">
        <v>68.459598641841893</v>
      </c>
      <c r="N21" s="862">
        <f>'B2 SXNN'!W104</f>
        <v>68.459598641841893</v>
      </c>
      <c r="O21" s="862">
        <v>67.473860645989404</v>
      </c>
      <c r="P21" s="862">
        <f>'B2 SXNN'!AL104</f>
        <v>67.498128136456486</v>
      </c>
      <c r="Q21" s="1664">
        <f>P21-I21</f>
        <v>0.69612976461843346</v>
      </c>
      <c r="R21" s="1664">
        <f>P21-L21</f>
        <v>-0.96187186354350729</v>
      </c>
      <c r="S21" s="1664">
        <f>P21-M21</f>
        <v>-0.96147050538540668</v>
      </c>
      <c r="T21" s="1664">
        <f>P21-N21</f>
        <v>-0.96147050538540668</v>
      </c>
      <c r="U21" s="2026"/>
      <c r="V21" s="750" t="e">
        <f>J21-#REF!</f>
        <v>#REF!</v>
      </c>
      <c r="W21" s="801" t="s">
        <v>915</v>
      </c>
      <c r="X21" s="128">
        <f>'B2 SXNN'!BD104</f>
        <v>0</v>
      </c>
      <c r="Y21" s="1645">
        <f t="shared" si="0"/>
        <v>68.459598641841893</v>
      </c>
      <c r="AK21" s="397" t="e">
        <f>AK20-#REF!</f>
        <v>#REF!</v>
      </c>
      <c r="AL21" s="398"/>
      <c r="AM21" s="180"/>
      <c r="AN21" s="182"/>
      <c r="AO21" s="399"/>
    </row>
    <row r="22" spans="1:41" s="365" customFormat="1" ht="21.95" customHeight="1">
      <c r="A22" s="1504"/>
      <c r="B22" s="860" t="s">
        <v>807</v>
      </c>
      <c r="C22" s="861" t="s">
        <v>33</v>
      </c>
      <c r="D22" s="863">
        <f>'B3 NTM'!D12</f>
        <v>3</v>
      </c>
      <c r="E22" s="863">
        <v>3</v>
      </c>
      <c r="F22" s="863">
        <v>3</v>
      </c>
      <c r="G22" s="863" t="e">
        <f>'B3 NTM'!E12</f>
        <v>#REF!</v>
      </c>
      <c r="H22" s="863">
        <v>3</v>
      </c>
      <c r="I22" s="863">
        <f>'B3 NTM'!F12</f>
        <v>3</v>
      </c>
      <c r="J22" s="863">
        <f>'B3 NTM'!G12</f>
        <v>3</v>
      </c>
      <c r="K22" s="863">
        <f>'B3 NTM'!H12</f>
        <v>3</v>
      </c>
      <c r="L22" s="863">
        <v>4</v>
      </c>
      <c r="M22" s="863">
        <v>4</v>
      </c>
      <c r="N22" s="863">
        <f>'B3 NTM'!W12</f>
        <v>4</v>
      </c>
      <c r="O22" s="863">
        <v>3</v>
      </c>
      <c r="P22" s="863">
        <f>'B3 NTM'!AL12</f>
        <v>0</v>
      </c>
      <c r="Q22" s="851">
        <f>P22/I22%</f>
        <v>0</v>
      </c>
      <c r="R22" s="851">
        <f>P22/L22%</f>
        <v>0</v>
      </c>
      <c r="S22" s="851">
        <f>P22/M22%</f>
        <v>0</v>
      </c>
      <c r="T22" s="851">
        <f>P22/N22%</f>
        <v>0</v>
      </c>
      <c r="U22" s="895"/>
      <c r="V22" s="750">
        <v>5</v>
      </c>
      <c r="W22" s="811">
        <v>6</v>
      </c>
      <c r="X22" s="128">
        <f>'B3 NTM'!BD12</f>
        <v>0</v>
      </c>
      <c r="Y22" s="1645">
        <f t="shared" si="0"/>
        <v>4</v>
      </c>
      <c r="Z22" s="364"/>
      <c r="AA22" s="785"/>
      <c r="AB22" s="364"/>
      <c r="AC22" s="364"/>
      <c r="AD22" s="364"/>
      <c r="AE22" s="364"/>
      <c r="AF22" s="364"/>
      <c r="AG22" s="364"/>
      <c r="AH22" s="364"/>
      <c r="AI22" s="364"/>
      <c r="AL22" s="398"/>
      <c r="AM22" s="180"/>
      <c r="AN22" s="182"/>
      <c r="AO22" s="367"/>
    </row>
    <row r="23" spans="1:41" s="400" customFormat="1" ht="21.95" customHeight="1">
      <c r="A23" s="1504"/>
      <c r="B23" s="860" t="s">
        <v>737</v>
      </c>
      <c r="C23" s="861" t="s">
        <v>26</v>
      </c>
      <c r="D23" s="864">
        <f>'B3 NTM'!D10</f>
        <v>23.076923076923077</v>
      </c>
      <c r="E23" s="864">
        <f>3/13*100</f>
        <v>23.076923076923077</v>
      </c>
      <c r="F23" s="864">
        <v>23.076923076923077</v>
      </c>
      <c r="G23" s="864">
        <f>'B3 NTM'!E10</f>
        <v>23.076923076923077</v>
      </c>
      <c r="H23" s="864">
        <v>23.1</v>
      </c>
      <c r="I23" s="864">
        <f>'B3 NTM'!F10</f>
        <v>23.076923076923077</v>
      </c>
      <c r="J23" s="864">
        <f>'B3 NTM'!G10</f>
        <v>23.076923076923102</v>
      </c>
      <c r="K23" s="864">
        <f>'B3 NTM'!H10</f>
        <v>23.076923076923077</v>
      </c>
      <c r="L23" s="864">
        <v>30.8</v>
      </c>
      <c r="M23" s="864">
        <v>30.76923076923077</v>
      </c>
      <c r="N23" s="864">
        <f>'B3 NTM'!W10</f>
        <v>30.76923076923077</v>
      </c>
      <c r="O23" s="864">
        <f>O22/13*100</f>
        <v>23.076923076923077</v>
      </c>
      <c r="P23" s="864">
        <f>'B3 NTM'!AL10</f>
        <v>0</v>
      </c>
      <c r="Q23" s="1664">
        <f>P23-I23</f>
        <v>-23.076923076923077</v>
      </c>
      <c r="R23" s="1664">
        <f>P23-L23</f>
        <v>-30.8</v>
      </c>
      <c r="S23" s="1664">
        <f>P23-M23</f>
        <v>-30.76923076923077</v>
      </c>
      <c r="T23" s="1664">
        <f>P23-N23</f>
        <v>-30.76923076923077</v>
      </c>
      <c r="U23" s="1669" t="s">
        <v>879</v>
      </c>
      <c r="V23" s="779">
        <v>6</v>
      </c>
      <c r="W23" s="802"/>
      <c r="X23" s="1652">
        <f>'B3 NTM'!BD10</f>
        <v>0</v>
      </c>
      <c r="Y23" s="1645">
        <f t="shared" si="0"/>
        <v>30.76923076923077</v>
      </c>
      <c r="Z23" s="364"/>
      <c r="AA23" s="364"/>
      <c r="AB23" s="364"/>
      <c r="AC23" s="364"/>
      <c r="AD23" s="364"/>
      <c r="AE23" s="364"/>
      <c r="AF23" s="364"/>
      <c r="AG23" s="364"/>
      <c r="AH23" s="364"/>
      <c r="AI23" s="364"/>
      <c r="AK23" s="401"/>
      <c r="AL23" s="402"/>
      <c r="AM23" s="180"/>
      <c r="AN23" s="179"/>
      <c r="AO23" s="403"/>
    </row>
    <row r="24" spans="1:41" s="462" customFormat="1" ht="21.95" customHeight="1">
      <c r="A24" s="1505">
        <v>3</v>
      </c>
      <c r="B24" s="841" t="s">
        <v>546</v>
      </c>
      <c r="C24" s="865" t="s">
        <v>15</v>
      </c>
      <c r="D24" s="866">
        <v>52.52</v>
      </c>
      <c r="E24" s="866">
        <v>52.6</v>
      </c>
      <c r="F24" s="866">
        <v>52.6</v>
      </c>
      <c r="G24" s="845">
        <v>52.6</v>
      </c>
      <c r="H24" s="845">
        <v>12.143000000000001</v>
      </c>
      <c r="I24" s="845">
        <v>34.503999999999998</v>
      </c>
      <c r="J24" s="867">
        <v>51.012</v>
      </c>
      <c r="K24" s="868">
        <v>74.958789999999993</v>
      </c>
      <c r="L24" s="868">
        <v>72.099999999999994</v>
      </c>
      <c r="M24" s="868">
        <v>77.75</v>
      </c>
      <c r="N24" s="869">
        <v>77.75</v>
      </c>
      <c r="O24" s="869">
        <v>15.670926</v>
      </c>
      <c r="P24" s="869">
        <v>50.651505999999998</v>
      </c>
      <c r="Q24" s="851">
        <f>P24/I24%</f>
        <v>146.79893925341992</v>
      </c>
      <c r="R24" s="851">
        <f>P24/L24%</f>
        <v>70.251742024965324</v>
      </c>
      <c r="S24" s="851">
        <f>P24/M24%</f>
        <v>65.146631511254014</v>
      </c>
      <c r="T24" s="851">
        <f>P24/N24%</f>
        <v>65.146631511254014</v>
      </c>
      <c r="U24" s="840"/>
      <c r="V24" s="754" t="e">
        <f>(J24-#REF!)/#REF!*100</f>
        <v>#REF!</v>
      </c>
      <c r="W24" s="803" t="s">
        <v>916</v>
      </c>
      <c r="X24" s="1653">
        <v>72.099999999999994</v>
      </c>
      <c r="Y24" s="1648">
        <f t="shared" si="0"/>
        <v>5.6500000000000057</v>
      </c>
      <c r="Z24" s="374"/>
      <c r="AA24" s="374"/>
      <c r="AB24" s="374"/>
      <c r="AC24" s="374"/>
      <c r="AD24" s="374"/>
      <c r="AE24" s="374"/>
      <c r="AF24" s="374"/>
      <c r="AG24" s="374"/>
      <c r="AH24" s="374"/>
      <c r="AI24" s="374"/>
      <c r="AL24" s="713"/>
      <c r="AM24" s="181"/>
      <c r="AN24" s="179"/>
      <c r="AO24" s="714"/>
    </row>
    <row r="25" spans="1:41" ht="21.95" customHeight="1">
      <c r="A25" s="1505">
        <v>4</v>
      </c>
      <c r="B25" s="841" t="s">
        <v>766</v>
      </c>
      <c r="C25" s="861"/>
      <c r="D25" s="870"/>
      <c r="E25" s="870"/>
      <c r="F25" s="870"/>
      <c r="G25" s="870"/>
      <c r="H25" s="870"/>
      <c r="I25" s="870"/>
      <c r="J25" s="870"/>
      <c r="K25" s="870"/>
      <c r="L25" s="870"/>
      <c r="M25" s="870"/>
      <c r="N25" s="870"/>
      <c r="O25" s="870"/>
      <c r="P25" s="870"/>
      <c r="Q25" s="871"/>
      <c r="R25" s="871"/>
      <c r="S25" s="871"/>
      <c r="T25" s="871"/>
      <c r="U25" s="846"/>
      <c r="W25" s="801"/>
      <c r="AM25" s="180"/>
      <c r="AN25" s="182"/>
      <c r="AO25" s="371"/>
    </row>
    <row r="26" spans="1:41" s="732" customFormat="1" ht="30" hidden="1">
      <c r="A26" s="872"/>
      <c r="B26" s="873" t="s">
        <v>34</v>
      </c>
      <c r="C26" s="872" t="s">
        <v>33</v>
      </c>
      <c r="D26" s="874"/>
      <c r="E26" s="874"/>
      <c r="F26" s="874"/>
      <c r="G26" s="874"/>
      <c r="H26" s="874"/>
      <c r="I26" s="874"/>
      <c r="J26" s="874"/>
      <c r="K26" s="874"/>
      <c r="L26" s="874"/>
      <c r="M26" s="874"/>
      <c r="N26" s="874"/>
      <c r="O26" s="874"/>
      <c r="P26" s="874"/>
      <c r="Q26" s="875"/>
      <c r="R26" s="875"/>
      <c r="S26" s="875"/>
      <c r="T26" s="875"/>
      <c r="U26" s="872"/>
      <c r="V26" s="756"/>
      <c r="W26" s="804"/>
      <c r="X26" s="1654"/>
      <c r="Y26" s="1645">
        <f>N26-X26</f>
        <v>0</v>
      </c>
      <c r="Z26" s="731"/>
      <c r="AA26" s="731"/>
      <c r="AB26" s="731"/>
      <c r="AC26" s="731"/>
      <c r="AD26" s="731"/>
      <c r="AE26" s="731"/>
      <c r="AF26" s="731"/>
      <c r="AG26" s="731"/>
      <c r="AH26" s="731"/>
      <c r="AI26" s="731"/>
      <c r="AL26" s="733"/>
      <c r="AM26" s="734"/>
      <c r="AN26" s="735"/>
      <c r="AO26" s="736"/>
    </row>
    <row r="27" spans="1:41" s="732" customFormat="1" ht="30" hidden="1">
      <c r="A27" s="872"/>
      <c r="B27" s="873" t="s">
        <v>35</v>
      </c>
      <c r="C27" s="872" t="s">
        <v>26</v>
      </c>
      <c r="D27" s="874"/>
      <c r="E27" s="874"/>
      <c r="F27" s="874"/>
      <c r="G27" s="874"/>
      <c r="H27" s="874"/>
      <c r="I27" s="874"/>
      <c r="J27" s="874"/>
      <c r="K27" s="874"/>
      <c r="L27" s="874"/>
      <c r="M27" s="874"/>
      <c r="N27" s="874"/>
      <c r="O27" s="874"/>
      <c r="P27" s="874"/>
      <c r="Q27" s="875"/>
      <c r="R27" s="875"/>
      <c r="S27" s="875"/>
      <c r="T27" s="875"/>
      <c r="U27" s="872"/>
      <c r="V27" s="756"/>
      <c r="W27" s="804"/>
      <c r="X27" s="1654"/>
      <c r="Y27" s="1645">
        <f>N27-X27</f>
        <v>0</v>
      </c>
      <c r="Z27" s="731"/>
      <c r="AA27" s="731"/>
      <c r="AB27" s="731"/>
      <c r="AC27" s="731"/>
      <c r="AD27" s="731"/>
      <c r="AE27" s="731"/>
      <c r="AF27" s="731"/>
      <c r="AG27" s="731"/>
      <c r="AH27" s="731"/>
      <c r="AI27" s="731"/>
      <c r="AL27" s="733"/>
      <c r="AM27" s="734"/>
      <c r="AN27" s="735"/>
      <c r="AO27" s="736"/>
    </row>
    <row r="28" spans="1:41" s="408" customFormat="1" ht="36" customHeight="1">
      <c r="A28" s="876"/>
      <c r="B28" s="877" t="str">
        <f>'B7 LD&amp;VL-XDGN'!B27</f>
        <v xml:space="preserve"> - Tỷ lệ bản, khu phố có đường xe máy hoặc ô tô đi lại thuận lợi</v>
      </c>
      <c r="C28" s="876" t="s">
        <v>26</v>
      </c>
      <c r="D28" s="863">
        <f>'B7 LD&amp;VL-XDGN'!AA27</f>
        <v>100</v>
      </c>
      <c r="E28" s="863">
        <v>100</v>
      </c>
      <c r="F28" s="863">
        <v>100</v>
      </c>
      <c r="G28" s="864">
        <f>'B7 LD&amp;VL-XDGN'!AB27</f>
        <v>100</v>
      </c>
      <c r="H28" s="864">
        <v>100</v>
      </c>
      <c r="I28" s="864">
        <f>'B7 LD&amp;VL-XDGN'!AC27</f>
        <v>100</v>
      </c>
      <c r="J28" s="864">
        <f>'B7 LD&amp;VL-XDGN'!AD27</f>
        <v>100</v>
      </c>
      <c r="K28" s="864">
        <f>'B7 LD&amp;VL-XDGN'!AE27</f>
        <v>100</v>
      </c>
      <c r="L28" s="864">
        <v>100</v>
      </c>
      <c r="M28" s="864">
        <v>100</v>
      </c>
      <c r="N28" s="864">
        <f>'B7 LD&amp;VL-XDGN'!AT27</f>
        <v>100</v>
      </c>
      <c r="O28" s="864">
        <v>100</v>
      </c>
      <c r="P28" s="864">
        <f>'B7 LD&amp;VL-XDGN'!BI27</f>
        <v>100</v>
      </c>
      <c r="Q28" s="1664">
        <f>P28-I28</f>
        <v>0</v>
      </c>
      <c r="R28" s="1664">
        <f>P28-L28</f>
        <v>0</v>
      </c>
      <c r="S28" s="1664">
        <f>P28-M28</f>
        <v>0</v>
      </c>
      <c r="T28" s="1664">
        <f>P28-N28</f>
        <v>0</v>
      </c>
      <c r="U28" s="2018" t="s">
        <v>879</v>
      </c>
      <c r="V28" s="757">
        <v>8</v>
      </c>
      <c r="W28" s="801"/>
      <c r="X28" s="1655">
        <f>'B7 LD&amp;VL-XDGN'!CA27</f>
        <v>100</v>
      </c>
      <c r="Y28" s="1645">
        <f>N28-X28</f>
        <v>0</v>
      </c>
      <c r="Z28" s="407"/>
      <c r="AA28" s="407"/>
      <c r="AB28" s="407"/>
      <c r="AC28" s="407"/>
      <c r="AD28" s="407"/>
      <c r="AE28" s="407"/>
      <c r="AF28" s="407"/>
      <c r="AG28" s="407"/>
      <c r="AH28" s="407"/>
      <c r="AI28" s="407"/>
      <c r="AL28" s="409"/>
      <c r="AM28" s="180"/>
      <c r="AN28" s="182"/>
      <c r="AO28" s="410"/>
    </row>
    <row r="29" spans="1:41" s="726" customFormat="1" ht="20.45" hidden="1" customHeight="1">
      <c r="A29" s="878"/>
      <c r="B29" s="879" t="str">
        <f>'B7 LD&amp;VL-XDGN'!B28</f>
        <v>Trong đó: Tỷ lệ bản, khu phố có đường ô tô đi lại thuận lợi</v>
      </c>
      <c r="C29" s="880" t="s">
        <v>26</v>
      </c>
      <c r="D29" s="881"/>
      <c r="E29" s="881"/>
      <c r="F29" s="881">
        <v>100</v>
      </c>
      <c r="G29" s="881">
        <f>'B7 LD&amp;VL-XDGN'!AB28</f>
        <v>100</v>
      </c>
      <c r="H29" s="881"/>
      <c r="I29" s="881"/>
      <c r="J29" s="881"/>
      <c r="K29" s="881"/>
      <c r="L29" s="881"/>
      <c r="M29" s="881"/>
      <c r="N29" s="881"/>
      <c r="O29" s="881"/>
      <c r="P29" s="881"/>
      <c r="Q29" s="1664">
        <f t="shared" ref="Q29:Q34" si="1">P29-I29</f>
        <v>0</v>
      </c>
      <c r="R29" s="1664">
        <f t="shared" ref="R29:R34" si="2">P29-L29</f>
        <v>0</v>
      </c>
      <c r="S29" s="1664">
        <f t="shared" ref="S29:S34" si="3">P29-M29</f>
        <v>0</v>
      </c>
      <c r="T29" s="1664">
        <f t="shared" ref="T29:T34" si="4">P29-N29</f>
        <v>0</v>
      </c>
      <c r="U29" s="2018"/>
      <c r="V29" s="758"/>
      <c r="W29" s="805"/>
      <c r="X29" s="1656"/>
      <c r="Y29" s="1645">
        <f>N29-X29</f>
        <v>0</v>
      </c>
      <c r="AL29" s="727"/>
      <c r="AM29" s="728"/>
      <c r="AN29" s="729"/>
      <c r="AO29" s="730"/>
    </row>
    <row r="30" spans="1:41" s="408" customFormat="1" ht="21.95" customHeight="1">
      <c r="A30" s="876"/>
      <c r="B30" s="877" t="s">
        <v>846</v>
      </c>
      <c r="C30" s="876" t="s">
        <v>26</v>
      </c>
      <c r="D30" s="882">
        <f>'B7 LD&amp;VL-XDGN'!AA31</f>
        <v>90.9</v>
      </c>
      <c r="E30" s="882">
        <v>82.2</v>
      </c>
      <c r="F30" s="882">
        <v>93.5</v>
      </c>
      <c r="G30" s="883">
        <f>'B7 LD&amp;VL-XDGN'!AB31</f>
        <v>93.5</v>
      </c>
      <c r="H30" s="883">
        <v>90.9</v>
      </c>
      <c r="I30" s="883">
        <f>'B7 LD&amp;VL-XDGN'!AC31</f>
        <v>91</v>
      </c>
      <c r="J30" s="883">
        <f>'B7 LD&amp;VL-XDGN'!AD31</f>
        <v>91</v>
      </c>
      <c r="K30" s="883">
        <f>'B7 LD&amp;VL-XDGN'!AE31</f>
        <v>93.5</v>
      </c>
      <c r="L30" s="883">
        <v>84</v>
      </c>
      <c r="M30" s="883">
        <v>96</v>
      </c>
      <c r="N30" s="883">
        <f>'B7 LD&amp;VL-XDGN'!AT31</f>
        <v>96</v>
      </c>
      <c r="O30" s="883">
        <v>93.5</v>
      </c>
      <c r="P30" s="883">
        <f>'B4 SXCN'!J35</f>
        <v>96</v>
      </c>
      <c r="Q30" s="1664">
        <f t="shared" si="1"/>
        <v>5</v>
      </c>
      <c r="R30" s="1664">
        <f t="shared" si="2"/>
        <v>12</v>
      </c>
      <c r="S30" s="1664">
        <f t="shared" si="3"/>
        <v>0</v>
      </c>
      <c r="T30" s="1664">
        <f t="shared" si="4"/>
        <v>0</v>
      </c>
      <c r="U30" s="2018"/>
      <c r="V30" s="780">
        <v>9</v>
      </c>
      <c r="W30" s="801"/>
      <c r="X30" s="1655">
        <f>'B4 SXCN'!N35</f>
        <v>84</v>
      </c>
      <c r="Y30" s="1645">
        <f>N30-X30</f>
        <v>12</v>
      </c>
      <c r="Z30" s="407"/>
      <c r="AA30" s="407"/>
      <c r="AB30" s="407"/>
      <c r="AC30" s="407"/>
      <c r="AD30" s="407"/>
      <c r="AE30" s="407"/>
      <c r="AF30" s="407"/>
      <c r="AG30" s="407"/>
      <c r="AH30" s="407"/>
      <c r="AI30" s="407"/>
      <c r="AL30" s="409"/>
      <c r="AM30" s="181"/>
      <c r="AN30" s="179"/>
      <c r="AO30" s="410"/>
    </row>
    <row r="31" spans="1:41" s="408" customFormat="1" ht="36" customHeight="1">
      <c r="A31" s="876"/>
      <c r="B31" s="877" t="s">
        <v>682</v>
      </c>
      <c r="C31" s="876" t="s">
        <v>26</v>
      </c>
      <c r="D31" s="882">
        <f>F31</f>
        <v>98.5</v>
      </c>
      <c r="E31" s="882"/>
      <c r="F31" s="882">
        <v>98.5</v>
      </c>
      <c r="G31" s="884">
        <v>98.5</v>
      </c>
      <c r="H31" s="884">
        <v>89.5</v>
      </c>
      <c r="I31" s="884">
        <v>98.5</v>
      </c>
      <c r="J31" s="884">
        <f>I31</f>
        <v>98.5</v>
      </c>
      <c r="K31" s="884">
        <f>G31</f>
        <v>98.5</v>
      </c>
      <c r="L31" s="884"/>
      <c r="M31" s="884">
        <v>98.5</v>
      </c>
      <c r="N31" s="884">
        <f>98.5</f>
        <v>98.5</v>
      </c>
      <c r="O31" s="884">
        <v>98.5</v>
      </c>
      <c r="P31" s="884">
        <f>O31</f>
        <v>98.5</v>
      </c>
      <c r="Q31" s="1664">
        <f t="shared" si="1"/>
        <v>0</v>
      </c>
      <c r="R31" s="1664">
        <f t="shared" si="2"/>
        <v>98.5</v>
      </c>
      <c r="S31" s="1664">
        <f t="shared" si="3"/>
        <v>0</v>
      </c>
      <c r="T31" s="1664">
        <f t="shared" si="4"/>
        <v>0</v>
      </c>
      <c r="U31" s="2018"/>
      <c r="V31" s="757">
        <v>10</v>
      </c>
      <c r="W31" s="801">
        <v>98</v>
      </c>
      <c r="X31" s="1655"/>
      <c r="Y31" s="1645"/>
      <c r="Z31" s="407"/>
      <c r="AA31" s="407"/>
      <c r="AB31" s="407"/>
      <c r="AC31" s="407"/>
      <c r="AD31" s="407"/>
      <c r="AE31" s="407"/>
      <c r="AF31" s="407"/>
      <c r="AG31" s="407"/>
      <c r="AH31" s="407"/>
      <c r="AI31" s="407"/>
      <c r="AL31" s="409"/>
      <c r="AM31" s="181"/>
      <c r="AN31" s="179"/>
      <c r="AO31" s="410"/>
    </row>
    <row r="32" spans="1:41" s="408" customFormat="1" ht="36" customHeight="1">
      <c r="A32" s="876"/>
      <c r="B32" s="885" t="s">
        <v>36</v>
      </c>
      <c r="C32" s="876" t="s">
        <v>26</v>
      </c>
      <c r="D32" s="886">
        <f>'B2 SXNN'!D144</f>
        <v>98</v>
      </c>
      <c r="E32" s="882">
        <v>90.5</v>
      </c>
      <c r="F32" s="886">
        <v>98</v>
      </c>
      <c r="G32" s="887">
        <f>'B2 SXNN'!E144</f>
        <v>98</v>
      </c>
      <c r="H32" s="887">
        <v>98</v>
      </c>
      <c r="I32" s="887">
        <f>'B2 SXNN'!F144</f>
        <v>98</v>
      </c>
      <c r="J32" s="887">
        <f>'B2 SXNN'!G144</f>
        <v>98</v>
      </c>
      <c r="K32" s="887">
        <f>'B2 SXNN'!H144</f>
        <v>98</v>
      </c>
      <c r="L32" s="887">
        <v>93</v>
      </c>
      <c r="M32" s="887">
        <v>98</v>
      </c>
      <c r="N32" s="887">
        <f>'B2 SXNN'!W144</f>
        <v>98</v>
      </c>
      <c r="O32" s="887">
        <v>98</v>
      </c>
      <c r="P32" s="887">
        <f>'B2 SXNN'!AL144</f>
        <v>98</v>
      </c>
      <c r="Q32" s="1664">
        <f t="shared" si="1"/>
        <v>0</v>
      </c>
      <c r="R32" s="1664">
        <f t="shared" si="2"/>
        <v>5</v>
      </c>
      <c r="S32" s="1664">
        <f t="shared" si="3"/>
        <v>0</v>
      </c>
      <c r="T32" s="1664">
        <f t="shared" si="4"/>
        <v>0</v>
      </c>
      <c r="U32" s="2018"/>
      <c r="V32" s="780">
        <v>11</v>
      </c>
      <c r="W32" s="801">
        <v>95</v>
      </c>
      <c r="X32" s="1655">
        <f>'B2 SXNN'!BD144</f>
        <v>0</v>
      </c>
      <c r="Y32" s="1645">
        <f>N32-X32</f>
        <v>98</v>
      </c>
      <c r="Z32" s="407"/>
      <c r="AA32" s="407"/>
      <c r="AB32" s="407"/>
      <c r="AC32" s="407"/>
      <c r="AD32" s="407"/>
      <c r="AE32" s="407"/>
      <c r="AF32" s="407"/>
      <c r="AG32" s="407"/>
      <c r="AH32" s="407"/>
      <c r="AI32" s="407"/>
      <c r="AL32" s="411"/>
      <c r="AM32" s="410"/>
      <c r="AN32" s="410"/>
      <c r="AO32" s="410"/>
    </row>
    <row r="33" spans="1:41" s="408" customFormat="1" ht="21.95" customHeight="1">
      <c r="A33" s="876"/>
      <c r="B33" s="885" t="s">
        <v>669</v>
      </c>
      <c r="C33" s="876" t="s">
        <v>26</v>
      </c>
      <c r="D33" s="882">
        <f>'B9. Y TE'!D14</f>
        <v>92.857142857142861</v>
      </c>
      <c r="E33" s="882">
        <v>100</v>
      </c>
      <c r="F33" s="882">
        <v>100</v>
      </c>
      <c r="G33" s="888">
        <f>'B9. Y TE'!E14</f>
        <v>100</v>
      </c>
      <c r="H33" s="884">
        <f>13/14*100</f>
        <v>92.857142857142861</v>
      </c>
      <c r="I33" s="884">
        <f>'B9. Y TE'!F14</f>
        <v>92.307692307692307</v>
      </c>
      <c r="J33" s="884">
        <f>'B9. Y TE'!G14</f>
        <v>92.307692307692307</v>
      </c>
      <c r="K33" s="888">
        <f>'B9. Y TE'!H14</f>
        <v>100</v>
      </c>
      <c r="L33" s="888">
        <v>100</v>
      </c>
      <c r="M33" s="888">
        <v>99.999999999999957</v>
      </c>
      <c r="N33" s="888">
        <f>'B9. Y TE'!W14</f>
        <v>99.999999999999957</v>
      </c>
      <c r="O33" s="888">
        <v>99.999999999999957</v>
      </c>
      <c r="P33" s="888">
        <f>'B9. Y TE'!AL14</f>
        <v>100</v>
      </c>
      <c r="Q33" s="1664">
        <f t="shared" si="1"/>
        <v>7.6923076923076934</v>
      </c>
      <c r="R33" s="1664">
        <f t="shared" si="2"/>
        <v>0</v>
      </c>
      <c r="S33" s="1664">
        <f t="shared" si="3"/>
        <v>0</v>
      </c>
      <c r="T33" s="1664">
        <f t="shared" si="4"/>
        <v>0</v>
      </c>
      <c r="U33" s="2018"/>
      <c r="V33" s="780">
        <v>12</v>
      </c>
      <c r="W33" s="801"/>
      <c r="X33" s="1655">
        <f>'B9. Y TE'!BR14</f>
        <v>100</v>
      </c>
      <c r="Y33" s="1645">
        <f>N33-X33</f>
        <v>0</v>
      </c>
      <c r="Z33" s="407"/>
      <c r="AA33" s="407"/>
      <c r="AB33" s="407"/>
      <c r="AC33" s="407"/>
      <c r="AD33" s="407"/>
      <c r="AE33" s="407"/>
      <c r="AF33" s="407"/>
      <c r="AG33" s="407"/>
      <c r="AH33" s="407"/>
      <c r="AI33" s="407"/>
      <c r="AL33" s="411"/>
      <c r="AM33" s="410"/>
      <c r="AN33" s="410"/>
      <c r="AO33" s="410"/>
    </row>
    <row r="34" spans="1:41" s="408" customFormat="1" ht="21.95" customHeight="1">
      <c r="A34" s="876"/>
      <c r="B34" s="885" t="s">
        <v>668</v>
      </c>
      <c r="C34" s="876" t="s">
        <v>26</v>
      </c>
      <c r="D34" s="886">
        <f>B10.GIAODUC!D67</f>
        <v>100</v>
      </c>
      <c r="E34" s="886">
        <v>100</v>
      </c>
      <c r="F34" s="886">
        <v>100</v>
      </c>
      <c r="G34" s="888" t="e">
        <f>B10.GIAODUC!E67</f>
        <v>#REF!</v>
      </c>
      <c r="H34" s="888">
        <v>100</v>
      </c>
      <c r="I34" s="888">
        <f>B10.GIAODUC!F67</f>
        <v>100</v>
      </c>
      <c r="J34" s="888">
        <f>B10.GIAODUC!G67</f>
        <v>100</v>
      </c>
      <c r="K34" s="888">
        <f>B10.GIAODUC!H67</f>
        <v>100</v>
      </c>
      <c r="L34" s="888">
        <v>100</v>
      </c>
      <c r="M34" s="888">
        <v>100</v>
      </c>
      <c r="N34" s="888">
        <f>B10.GIAODUC!H67</f>
        <v>100</v>
      </c>
      <c r="O34" s="888">
        <v>100</v>
      </c>
      <c r="P34" s="888">
        <f>B10.GIAODUC!AL67</f>
        <v>100</v>
      </c>
      <c r="Q34" s="1664">
        <f t="shared" si="1"/>
        <v>0</v>
      </c>
      <c r="R34" s="1664">
        <f t="shared" si="2"/>
        <v>0</v>
      </c>
      <c r="S34" s="1664">
        <f t="shared" si="3"/>
        <v>0</v>
      </c>
      <c r="T34" s="1664">
        <f t="shared" si="4"/>
        <v>0</v>
      </c>
      <c r="U34" s="2018"/>
      <c r="V34" s="757">
        <v>13</v>
      </c>
      <c r="W34" s="801"/>
      <c r="X34" s="1655">
        <f>B10.GIAODUC!BD67</f>
        <v>100</v>
      </c>
      <c r="Y34" s="1645">
        <f>N34-X34</f>
        <v>0</v>
      </c>
      <c r="Z34" s="407"/>
      <c r="AA34" s="407"/>
      <c r="AB34" s="407"/>
      <c r="AC34" s="407"/>
      <c r="AD34" s="407"/>
      <c r="AE34" s="407"/>
      <c r="AF34" s="407"/>
      <c r="AG34" s="407"/>
      <c r="AH34" s="407"/>
      <c r="AI34" s="407"/>
      <c r="AL34" s="409"/>
      <c r="AM34" s="410"/>
      <c r="AN34" s="410"/>
      <c r="AO34" s="410"/>
    </row>
    <row r="35" spans="1:41" ht="21.95" customHeight="1">
      <c r="A35" s="1505">
        <v>5</v>
      </c>
      <c r="B35" s="841" t="s">
        <v>37</v>
      </c>
      <c r="C35" s="1505"/>
      <c r="D35" s="870"/>
      <c r="E35" s="870"/>
      <c r="F35" s="870"/>
      <c r="G35" s="870"/>
      <c r="H35" s="870"/>
      <c r="I35" s="870"/>
      <c r="J35" s="870"/>
      <c r="K35" s="870"/>
      <c r="L35" s="870"/>
      <c r="M35" s="870"/>
      <c r="N35" s="870"/>
      <c r="O35" s="870"/>
      <c r="P35" s="870"/>
      <c r="Q35" s="871"/>
      <c r="R35" s="871"/>
      <c r="S35" s="871"/>
      <c r="T35" s="871"/>
      <c r="U35" s="1668"/>
      <c r="V35" s="757"/>
      <c r="W35" s="801"/>
      <c r="X35" s="1655"/>
      <c r="AM35" s="371"/>
      <c r="AN35" s="371"/>
      <c r="AO35" s="371"/>
    </row>
    <row r="36" spans="1:41" s="400" customFormat="1" ht="36" customHeight="1">
      <c r="A36" s="1504"/>
      <c r="B36" s="889" t="s">
        <v>683</v>
      </c>
      <c r="C36" s="1504" t="s">
        <v>38</v>
      </c>
      <c r="D36" s="863">
        <f>B10.GIAODUC!D36</f>
        <v>14</v>
      </c>
      <c r="E36" s="863">
        <v>14</v>
      </c>
      <c r="F36" s="863">
        <v>14</v>
      </c>
      <c r="G36" s="863" t="e">
        <f>B10.GIAODUC!E36</f>
        <v>#REF!</v>
      </c>
      <c r="H36" s="863">
        <v>14</v>
      </c>
      <c r="I36" s="863">
        <f>B10.GIAODUC!F36</f>
        <v>14</v>
      </c>
      <c r="J36" s="863">
        <f>B10.GIAODUC!G36</f>
        <v>14</v>
      </c>
      <c r="K36" s="863">
        <f>B10.GIAODUC!H36</f>
        <v>14</v>
      </c>
      <c r="L36" s="863">
        <v>14</v>
      </c>
      <c r="M36" s="863">
        <v>14</v>
      </c>
      <c r="N36" s="863">
        <f>B10.GIAODUC!W36</f>
        <v>14</v>
      </c>
      <c r="O36" s="863">
        <v>14</v>
      </c>
      <c r="P36" s="863">
        <f>O36</f>
        <v>14</v>
      </c>
      <c r="Q36" s="851">
        <f>P36/I36%</f>
        <v>99.999999999999986</v>
      </c>
      <c r="R36" s="851">
        <f>P36/L36%</f>
        <v>99.999999999999986</v>
      </c>
      <c r="S36" s="851">
        <f>P36/M36%</f>
        <v>99.999999999999986</v>
      </c>
      <c r="T36" s="851">
        <f>P36/N36%</f>
        <v>99.999999999999986</v>
      </c>
      <c r="U36" s="1668"/>
      <c r="V36" s="757">
        <v>14</v>
      </c>
      <c r="W36" s="801"/>
      <c r="X36" s="1655">
        <f>B10.GIAODUC!BD36</f>
        <v>14</v>
      </c>
      <c r="Y36" s="1645">
        <f t="shared" ref="Y36:Y46" si="5">N36-X36</f>
        <v>0</v>
      </c>
      <c r="Z36" s="364"/>
      <c r="AA36" s="364"/>
      <c r="AB36" s="364"/>
      <c r="AC36" s="364"/>
      <c r="AD36" s="364"/>
      <c r="AE36" s="364"/>
      <c r="AF36" s="364"/>
      <c r="AG36" s="364"/>
      <c r="AH36" s="364"/>
      <c r="AI36" s="364"/>
      <c r="AL36" s="402"/>
      <c r="AM36" s="403"/>
      <c r="AN36" s="403"/>
      <c r="AO36" s="403"/>
    </row>
    <row r="37" spans="1:41" ht="53.25" customHeight="1">
      <c r="A37" s="1504"/>
      <c r="B37" s="889" t="s">
        <v>932</v>
      </c>
      <c r="C37" s="1504" t="s">
        <v>26</v>
      </c>
      <c r="D37" s="863">
        <f>B10.GIAODUC!D37</f>
        <v>100</v>
      </c>
      <c r="E37" s="863">
        <v>100</v>
      </c>
      <c r="F37" s="863">
        <v>100</v>
      </c>
      <c r="G37" s="863">
        <v>100</v>
      </c>
      <c r="H37" s="907">
        <v>100</v>
      </c>
      <c r="I37" s="863">
        <v>100</v>
      </c>
      <c r="J37" s="863">
        <v>100</v>
      </c>
      <c r="K37" s="863">
        <v>100</v>
      </c>
      <c r="L37" s="863">
        <v>100</v>
      </c>
      <c r="M37" s="863">
        <v>100</v>
      </c>
      <c r="N37" s="863">
        <f>B10.GIAODUC!W37</f>
        <v>100</v>
      </c>
      <c r="O37" s="863">
        <v>100</v>
      </c>
      <c r="P37" s="863">
        <f>O37</f>
        <v>100</v>
      </c>
      <c r="Q37" s="1664">
        <f t="shared" ref="Q37" si="6">P37-I37</f>
        <v>0</v>
      </c>
      <c r="R37" s="1664">
        <f t="shared" ref="R37" si="7">P37-L37</f>
        <v>0</v>
      </c>
      <c r="S37" s="1664">
        <f t="shared" ref="S37" si="8">P37-M37</f>
        <v>0</v>
      </c>
      <c r="T37" s="1664">
        <f t="shared" ref="T37" si="9">P37-N37</f>
        <v>0</v>
      </c>
      <c r="U37" s="2018" t="s">
        <v>879</v>
      </c>
      <c r="W37" s="801"/>
      <c r="X37" s="128">
        <v>100</v>
      </c>
      <c r="Y37" s="1645">
        <f t="shared" si="5"/>
        <v>0</v>
      </c>
      <c r="AM37" s="371"/>
      <c r="AN37" s="371"/>
      <c r="AO37" s="371"/>
    </row>
    <row r="38" spans="1:41" s="404" customFormat="1" ht="21.95" customHeight="1">
      <c r="A38" s="1504"/>
      <c r="B38" s="847" t="s">
        <v>670</v>
      </c>
      <c r="C38" s="1504" t="s">
        <v>26</v>
      </c>
      <c r="D38" s="870">
        <f>B10.GIAODUC!D43</f>
        <v>99.885714285714286</v>
      </c>
      <c r="E38" s="870">
        <v>98.4</v>
      </c>
      <c r="F38" s="870">
        <v>98.435714285714283</v>
      </c>
      <c r="G38" s="870" t="e">
        <f>B10.GIAODUC!E43</f>
        <v>#REF!</v>
      </c>
      <c r="H38" s="870">
        <v>99.9</v>
      </c>
      <c r="I38" s="870">
        <f>B10.GIAODUC!F43</f>
        <v>99.9</v>
      </c>
      <c r="J38" s="870">
        <f>B10.GIAODUC!G43</f>
        <v>99.9</v>
      </c>
      <c r="K38" s="870">
        <f>B10.GIAODUC!H43</f>
        <v>99.928571428571431</v>
      </c>
      <c r="L38" s="870">
        <v>98.5</v>
      </c>
      <c r="M38" s="870">
        <v>98.48571428571428</v>
      </c>
      <c r="N38" s="870">
        <f>B10.GIAODUC!W43</f>
        <v>98.48571428571428</v>
      </c>
      <c r="O38" s="870">
        <v>99.3</v>
      </c>
      <c r="P38" s="870">
        <f>B10.GIAODUC!AL43</f>
        <v>99.928571428571431</v>
      </c>
      <c r="Q38" s="851">
        <f t="shared" ref="Q38:Q42" si="10">P38-I38</f>
        <v>2.8571428571424917E-2</v>
      </c>
      <c r="R38" s="851">
        <f t="shared" ref="R38:R42" si="11">P38-L38</f>
        <v>1.4285714285714306</v>
      </c>
      <c r="S38" s="851">
        <f t="shared" ref="S38:S42" si="12">P38-M38</f>
        <v>1.4428571428571502</v>
      </c>
      <c r="T38" s="851">
        <f t="shared" ref="T38:T42" si="13">P38-N38</f>
        <v>1.4428571428571502</v>
      </c>
      <c r="U38" s="2018"/>
      <c r="V38" s="750"/>
      <c r="W38" s="801"/>
      <c r="X38" s="128">
        <f>B10.GIAODUC!BD43</f>
        <v>98.5</v>
      </c>
      <c r="Y38" s="1645">
        <f t="shared" si="5"/>
        <v>-1.4285714285719564E-2</v>
      </c>
      <c r="Z38" s="785"/>
      <c r="AA38" s="364"/>
      <c r="AB38" s="364"/>
      <c r="AC38" s="364"/>
      <c r="AD38" s="364"/>
      <c r="AE38" s="364"/>
      <c r="AF38" s="364"/>
      <c r="AG38" s="364"/>
      <c r="AH38" s="364"/>
      <c r="AI38" s="364"/>
      <c r="AL38" s="405"/>
      <c r="AM38" s="406"/>
      <c r="AN38" s="406"/>
      <c r="AO38" s="406"/>
    </row>
    <row r="39" spans="1:41" s="404" customFormat="1" ht="36" customHeight="1">
      <c r="A39" s="1504"/>
      <c r="B39" s="847" t="s">
        <v>671</v>
      </c>
      <c r="C39" s="1504" t="s">
        <v>26</v>
      </c>
      <c r="D39" s="870">
        <f>B10.GIAODUC!D44</f>
        <v>100</v>
      </c>
      <c r="E39" s="870">
        <v>99.9</v>
      </c>
      <c r="F39" s="870">
        <v>99.850000000000009</v>
      </c>
      <c r="G39" s="870" t="e">
        <f>B10.GIAODUC!E44</f>
        <v>#REF!</v>
      </c>
      <c r="H39" s="870">
        <v>99.9</v>
      </c>
      <c r="I39" s="870">
        <f>B10.GIAODUC!F44</f>
        <v>99.9</v>
      </c>
      <c r="J39" s="870">
        <f>B10.GIAODUC!G44</f>
        <v>99.9</v>
      </c>
      <c r="K39" s="870">
        <f>B10.GIAODUC!H44</f>
        <v>99.9</v>
      </c>
      <c r="L39" s="870">
        <v>99.9</v>
      </c>
      <c r="M39" s="870">
        <v>99.850000000000009</v>
      </c>
      <c r="N39" s="870">
        <f>B10.GIAODUC!W44</f>
        <v>99.850000000000009</v>
      </c>
      <c r="O39" s="870">
        <v>99.9</v>
      </c>
      <c r="P39" s="870">
        <f>B10.GIAODUC!AL44</f>
        <v>99.850000000000009</v>
      </c>
      <c r="Q39" s="851">
        <f t="shared" si="10"/>
        <v>-4.9999999999997158E-2</v>
      </c>
      <c r="R39" s="851">
        <f t="shared" si="11"/>
        <v>-4.9999999999997158E-2</v>
      </c>
      <c r="S39" s="851">
        <f t="shared" si="12"/>
        <v>0</v>
      </c>
      <c r="T39" s="851">
        <f t="shared" si="13"/>
        <v>0</v>
      </c>
      <c r="U39" s="2018"/>
      <c r="V39" s="750"/>
      <c r="W39" s="801"/>
      <c r="X39" s="128">
        <f>B10.GIAODUC!BD44</f>
        <v>99.9</v>
      </c>
      <c r="Y39" s="1645">
        <f t="shared" si="5"/>
        <v>-4.9999999999997158E-2</v>
      </c>
      <c r="Z39" s="785"/>
      <c r="AA39" s="364"/>
      <c r="AB39" s="364"/>
      <c r="AC39" s="364"/>
      <c r="AD39" s="364"/>
      <c r="AE39" s="364"/>
      <c r="AF39" s="364"/>
      <c r="AG39" s="364"/>
      <c r="AH39" s="364"/>
      <c r="AI39" s="364"/>
      <c r="AL39" s="405"/>
      <c r="AM39" s="406"/>
      <c r="AN39" s="406"/>
      <c r="AO39" s="406"/>
    </row>
    <row r="40" spans="1:41" s="404" customFormat="1" ht="36" customHeight="1">
      <c r="A40" s="1504"/>
      <c r="B40" s="847" t="s">
        <v>672</v>
      </c>
      <c r="C40" s="1504" t="s">
        <v>26</v>
      </c>
      <c r="D40" s="870">
        <f>B10.GIAODUC!D45</f>
        <v>96.75</v>
      </c>
      <c r="E40" s="870">
        <v>96.8</v>
      </c>
      <c r="F40" s="870">
        <v>96.75</v>
      </c>
      <c r="G40" s="870" t="e">
        <f>B10.GIAODUC!E45</f>
        <v>#REF!</v>
      </c>
      <c r="H40" s="870">
        <v>96.8</v>
      </c>
      <c r="I40" s="870">
        <f>B10.GIAODUC!F45</f>
        <v>96.6</v>
      </c>
      <c r="J40" s="870">
        <f>B10.GIAODUC!G45</f>
        <v>96.6</v>
      </c>
      <c r="K40" s="870">
        <f>B10.GIAODUC!H45</f>
        <v>96.8</v>
      </c>
      <c r="L40" s="870">
        <v>96.8</v>
      </c>
      <c r="M40" s="870">
        <v>96.75</v>
      </c>
      <c r="N40" s="870">
        <f>B10.GIAODUC!W45</f>
        <v>96.75</v>
      </c>
      <c r="O40" s="870">
        <v>96.8</v>
      </c>
      <c r="P40" s="870">
        <f>B10.GIAODUC!AL45</f>
        <v>96.75</v>
      </c>
      <c r="Q40" s="851">
        <f t="shared" si="10"/>
        <v>0.15000000000000568</v>
      </c>
      <c r="R40" s="851">
        <f t="shared" si="11"/>
        <v>-4.9999999999997158E-2</v>
      </c>
      <c r="S40" s="851">
        <f t="shared" si="12"/>
        <v>0</v>
      </c>
      <c r="T40" s="851">
        <f t="shared" si="13"/>
        <v>0</v>
      </c>
      <c r="U40" s="2018"/>
      <c r="V40" s="752">
        <f>J40/F40%</f>
        <v>99.84496124031007</v>
      </c>
      <c r="W40" s="529"/>
      <c r="X40" s="128">
        <f>B10.GIAODUC!BD45</f>
        <v>96.8</v>
      </c>
      <c r="Y40" s="1645">
        <f t="shared" si="5"/>
        <v>-4.9999999999997158E-2</v>
      </c>
      <c r="Z40" s="785"/>
      <c r="AA40" s="364"/>
      <c r="AB40" s="364"/>
      <c r="AC40" s="364"/>
      <c r="AD40" s="364"/>
      <c r="AE40" s="364"/>
      <c r="AF40" s="364"/>
      <c r="AG40" s="364"/>
      <c r="AH40" s="364"/>
      <c r="AI40" s="364"/>
      <c r="AL40" s="405"/>
      <c r="AM40" s="406"/>
      <c r="AN40" s="406"/>
      <c r="AO40" s="406"/>
    </row>
    <row r="41" spans="1:41" s="404" customFormat="1" ht="36" customHeight="1">
      <c r="A41" s="1504"/>
      <c r="B41" s="847" t="s">
        <v>673</v>
      </c>
      <c r="C41" s="1504" t="s">
        <v>26</v>
      </c>
      <c r="D41" s="870">
        <f>B10.GIAODUC!D46</f>
        <v>59.092857142857149</v>
      </c>
      <c r="E41" s="870">
        <v>58</v>
      </c>
      <c r="F41" s="870">
        <v>58.01428571428572</v>
      </c>
      <c r="G41" s="870" t="e">
        <f>B10.GIAODUC!E46</f>
        <v>#REF!</v>
      </c>
      <c r="H41" s="870">
        <v>59.1</v>
      </c>
      <c r="I41" s="870">
        <f>B10.GIAODUC!F46</f>
        <v>57.2</v>
      </c>
      <c r="J41" s="870">
        <f>B10.GIAODUC!G46</f>
        <v>57.2</v>
      </c>
      <c r="K41" s="870">
        <f>B10.GIAODUC!H46</f>
        <v>58.01428571428572</v>
      </c>
      <c r="L41" s="870">
        <v>58.3</v>
      </c>
      <c r="M41" s="870">
        <v>58.300000000000004</v>
      </c>
      <c r="N41" s="870">
        <f>B10.GIAODUC!W46</f>
        <v>58.300000000000004</v>
      </c>
      <c r="O41" s="870">
        <v>58.3</v>
      </c>
      <c r="P41" s="870">
        <f>B10.GIAODUC!AL46</f>
        <v>58.292857142857144</v>
      </c>
      <c r="Q41" s="851">
        <f t="shared" si="10"/>
        <v>1.0928571428571416</v>
      </c>
      <c r="R41" s="851">
        <f t="shared" si="11"/>
        <v>-7.1428571428526766E-3</v>
      </c>
      <c r="S41" s="851">
        <f t="shared" si="12"/>
        <v>-7.142857142859782E-3</v>
      </c>
      <c r="T41" s="851">
        <f t="shared" si="13"/>
        <v>-7.142857142859782E-3</v>
      </c>
      <c r="U41" s="2018"/>
      <c r="V41" s="752">
        <f>J41/F41%</f>
        <v>98.596404826397432</v>
      </c>
      <c r="W41" s="801"/>
      <c r="X41" s="128">
        <f>B10.GIAODUC!BD46</f>
        <v>58.3</v>
      </c>
      <c r="Y41" s="1645">
        <f t="shared" si="5"/>
        <v>0</v>
      </c>
      <c r="Z41" s="785"/>
      <c r="AA41" s="364"/>
      <c r="AB41" s="364"/>
      <c r="AC41" s="364"/>
      <c r="AD41" s="364"/>
      <c r="AE41" s="364"/>
      <c r="AF41" s="364"/>
      <c r="AG41" s="364"/>
      <c r="AH41" s="364"/>
      <c r="AI41" s="364"/>
      <c r="AL41" s="412"/>
      <c r="AM41" s="406"/>
      <c r="AN41" s="406"/>
      <c r="AO41" s="406"/>
    </row>
    <row r="42" spans="1:41" ht="21.95" customHeight="1">
      <c r="A42" s="1504"/>
      <c r="B42" s="847" t="s">
        <v>847</v>
      </c>
      <c r="C42" s="1504" t="s">
        <v>26</v>
      </c>
      <c r="D42" s="870">
        <f>B10.GIAODUC!D69</f>
        <v>58.974358974358978</v>
      </c>
      <c r="E42" s="870">
        <v>61.5</v>
      </c>
      <c r="F42" s="870">
        <v>61.53846153846154</v>
      </c>
      <c r="G42" s="870">
        <f>B10.GIAODUC!E69</f>
        <v>61.53846153846154</v>
      </c>
      <c r="H42" s="870">
        <v>58.974358974358978</v>
      </c>
      <c r="I42" s="870">
        <f>B10.GIAODUC!F69</f>
        <v>58.974358974358978</v>
      </c>
      <c r="J42" s="870">
        <f>B10.GIAODUC!G69</f>
        <v>58.974358974358978</v>
      </c>
      <c r="K42" s="870">
        <f>B10.GIAODUC!H69</f>
        <v>61.53846153846154</v>
      </c>
      <c r="L42" s="870">
        <v>66.7</v>
      </c>
      <c r="M42" s="870">
        <v>66.666666666666657</v>
      </c>
      <c r="N42" s="870">
        <f>B10.GIAODUC!W69</f>
        <v>66.666666666666657</v>
      </c>
      <c r="O42" s="870">
        <v>61.53846153846154</v>
      </c>
      <c r="P42" s="870">
        <f>B10.GIAODUC!AL69</f>
        <v>61.53846153846154</v>
      </c>
      <c r="Q42" s="851">
        <f t="shared" si="10"/>
        <v>2.5641025641025621</v>
      </c>
      <c r="R42" s="851">
        <f t="shared" si="11"/>
        <v>-5.1615384615384627</v>
      </c>
      <c r="S42" s="851">
        <f t="shared" si="12"/>
        <v>-5.1282051282051171</v>
      </c>
      <c r="T42" s="851">
        <f t="shared" si="13"/>
        <v>-5.1282051282051171</v>
      </c>
      <c r="U42" s="2018"/>
      <c r="V42" s="781">
        <v>20</v>
      </c>
      <c r="W42" s="802">
        <v>50</v>
      </c>
      <c r="X42" s="386">
        <f>B10.GIAODUC!BD69</f>
        <v>66.7</v>
      </c>
      <c r="Y42" s="1645">
        <f t="shared" si="5"/>
        <v>-3.3333333333345649E-2</v>
      </c>
      <c r="Z42" s="785"/>
      <c r="AJ42" s="413"/>
      <c r="AL42" s="414"/>
      <c r="AM42" s="415"/>
      <c r="AN42" s="371"/>
      <c r="AO42" s="371"/>
    </row>
    <row r="43" spans="1:41" s="416" customFormat="1" ht="30.75" hidden="1" customHeight="1">
      <c r="A43" s="846"/>
      <c r="B43" s="892" t="s">
        <v>39</v>
      </c>
      <c r="C43" s="846" t="s">
        <v>26</v>
      </c>
      <c r="D43" s="893"/>
      <c r="E43" s="893"/>
      <c r="F43" s="893"/>
      <c r="G43" s="893"/>
      <c r="H43" s="893"/>
      <c r="I43" s="893"/>
      <c r="J43" s="893"/>
      <c r="K43" s="893"/>
      <c r="L43" s="893"/>
      <c r="M43" s="893"/>
      <c r="N43" s="893"/>
      <c r="O43" s="893">
        <v>61.53846153846154</v>
      </c>
      <c r="P43" s="893"/>
      <c r="Q43" s="1664"/>
      <c r="R43" s="1664"/>
      <c r="S43" s="1664"/>
      <c r="T43" s="1664"/>
      <c r="U43" s="846"/>
      <c r="V43" s="759"/>
      <c r="W43" s="806"/>
      <c r="X43" s="1251"/>
      <c r="Y43" s="1645">
        <f t="shared" si="5"/>
        <v>0</v>
      </c>
      <c r="AL43" s="417"/>
      <c r="AM43" s="418"/>
      <c r="AN43" s="418"/>
      <c r="AO43" s="418"/>
    </row>
    <row r="44" spans="1:41" s="416" customFormat="1" ht="30.75" hidden="1" customHeight="1">
      <c r="A44" s="846"/>
      <c r="B44" s="892" t="s">
        <v>40</v>
      </c>
      <c r="C44" s="846" t="s">
        <v>26</v>
      </c>
      <c r="D44" s="893"/>
      <c r="E44" s="893"/>
      <c r="F44" s="893"/>
      <c r="G44" s="893"/>
      <c r="H44" s="893"/>
      <c r="I44" s="893"/>
      <c r="J44" s="893"/>
      <c r="K44" s="893"/>
      <c r="L44" s="893"/>
      <c r="M44" s="893"/>
      <c r="N44" s="893"/>
      <c r="O44" s="893"/>
      <c r="P44" s="893"/>
      <c r="Q44" s="1664"/>
      <c r="R44" s="1664"/>
      <c r="S44" s="1664"/>
      <c r="T44" s="1664"/>
      <c r="U44" s="846"/>
      <c r="V44" s="759"/>
      <c r="W44" s="806"/>
      <c r="X44" s="1251"/>
      <c r="Y44" s="1645">
        <f t="shared" si="5"/>
        <v>0</v>
      </c>
      <c r="AL44" s="417"/>
      <c r="AM44" s="418"/>
      <c r="AN44" s="418"/>
      <c r="AO44" s="418"/>
    </row>
    <row r="45" spans="1:41" s="416" customFormat="1" ht="30.75" hidden="1" customHeight="1">
      <c r="A45" s="846"/>
      <c r="B45" s="892" t="s">
        <v>41</v>
      </c>
      <c r="C45" s="846" t="s">
        <v>26</v>
      </c>
      <c r="D45" s="893"/>
      <c r="E45" s="893"/>
      <c r="F45" s="893"/>
      <c r="G45" s="893"/>
      <c r="H45" s="893"/>
      <c r="I45" s="893"/>
      <c r="J45" s="893"/>
      <c r="K45" s="893"/>
      <c r="L45" s="893"/>
      <c r="M45" s="893"/>
      <c r="N45" s="893"/>
      <c r="O45" s="893"/>
      <c r="P45" s="893"/>
      <c r="Q45" s="1664"/>
      <c r="R45" s="1664"/>
      <c r="S45" s="1664"/>
      <c r="T45" s="1664"/>
      <c r="U45" s="846"/>
      <c r="V45" s="759"/>
      <c r="W45" s="806"/>
      <c r="X45" s="1251"/>
      <c r="Y45" s="1645">
        <f t="shared" si="5"/>
        <v>0</v>
      </c>
      <c r="AL45" s="417"/>
      <c r="AM45" s="418"/>
      <c r="AN45" s="418"/>
      <c r="AO45" s="418"/>
    </row>
    <row r="46" spans="1:41" s="416" customFormat="1" hidden="1">
      <c r="A46" s="846"/>
      <c r="B46" s="892" t="s">
        <v>42</v>
      </c>
      <c r="C46" s="846" t="s">
        <v>26</v>
      </c>
      <c r="D46" s="893"/>
      <c r="E46" s="893"/>
      <c r="F46" s="893"/>
      <c r="G46" s="893"/>
      <c r="H46" s="893"/>
      <c r="I46" s="893"/>
      <c r="J46" s="893"/>
      <c r="K46" s="893"/>
      <c r="L46" s="893"/>
      <c r="M46" s="893"/>
      <c r="N46" s="893"/>
      <c r="O46" s="893"/>
      <c r="P46" s="893"/>
      <c r="Q46" s="1664"/>
      <c r="R46" s="1664"/>
      <c r="S46" s="1664"/>
      <c r="T46" s="1664"/>
      <c r="U46" s="846"/>
      <c r="V46" s="759"/>
      <c r="W46" s="806"/>
      <c r="X46" s="1251"/>
      <c r="Y46" s="1645">
        <f t="shared" si="5"/>
        <v>0</v>
      </c>
      <c r="AL46" s="417"/>
      <c r="AM46" s="418"/>
      <c r="AN46" s="418"/>
      <c r="AO46" s="418"/>
    </row>
    <row r="47" spans="1:41" ht="21.95" customHeight="1">
      <c r="A47" s="1505">
        <v>6</v>
      </c>
      <c r="B47" s="841" t="s">
        <v>685</v>
      </c>
      <c r="C47" s="1505"/>
      <c r="D47" s="870"/>
      <c r="E47" s="870"/>
      <c r="F47" s="870"/>
      <c r="G47" s="870"/>
      <c r="H47" s="870"/>
      <c r="I47" s="870"/>
      <c r="J47" s="870"/>
      <c r="K47" s="870"/>
      <c r="L47" s="870"/>
      <c r="M47" s="870"/>
      <c r="N47" s="870"/>
      <c r="O47" s="870"/>
      <c r="P47" s="870"/>
      <c r="Q47" s="871"/>
      <c r="R47" s="871"/>
      <c r="S47" s="871"/>
      <c r="T47" s="871"/>
      <c r="U47" s="846"/>
      <c r="W47" s="801"/>
      <c r="AM47" s="371"/>
      <c r="AN47" s="371"/>
      <c r="AO47" s="371"/>
    </row>
    <row r="48" spans="1:41" s="404" customFormat="1" ht="20.100000000000001" hidden="1" customHeight="1">
      <c r="A48" s="1505"/>
      <c r="B48" s="889" t="s">
        <v>43</v>
      </c>
      <c r="C48" s="1504" t="s">
        <v>33</v>
      </c>
      <c r="D48" s="863"/>
      <c r="E48" s="863"/>
      <c r="F48" s="863"/>
      <c r="G48" s="863">
        <f>'B9. Y TE'!E38</f>
        <v>11</v>
      </c>
      <c r="H48" s="863"/>
      <c r="I48" s="863"/>
      <c r="J48" s="863"/>
      <c r="K48" s="863"/>
      <c r="L48" s="863"/>
      <c r="M48" s="863"/>
      <c r="N48" s="863"/>
      <c r="O48" s="863"/>
      <c r="P48" s="863"/>
      <c r="Q48" s="849"/>
      <c r="R48" s="849"/>
      <c r="S48" s="849"/>
      <c r="T48" s="849"/>
      <c r="U48" s="1668"/>
      <c r="V48" s="750"/>
      <c r="W48" s="801"/>
      <c r="X48" s="128"/>
      <c r="Y48" s="1645">
        <f t="shared" ref="Y48:Y53" si="14">N48-X48</f>
        <v>0</v>
      </c>
      <c r="Z48" s="364"/>
      <c r="AA48" s="364"/>
      <c r="AB48" s="364"/>
      <c r="AC48" s="364"/>
      <c r="AD48" s="364"/>
      <c r="AE48" s="364"/>
      <c r="AF48" s="364"/>
      <c r="AG48" s="364"/>
      <c r="AH48" s="364"/>
      <c r="AI48" s="364"/>
      <c r="AL48" s="405"/>
      <c r="AM48" s="406"/>
      <c r="AN48" s="406"/>
      <c r="AO48" s="406"/>
    </row>
    <row r="49" spans="1:41" s="404" customFormat="1" ht="26.25" hidden="1" customHeight="1">
      <c r="A49" s="1504"/>
      <c r="B49" s="889" t="s">
        <v>44</v>
      </c>
      <c r="C49" s="1504" t="s">
        <v>26</v>
      </c>
      <c r="D49" s="894"/>
      <c r="E49" s="894"/>
      <c r="F49" s="894"/>
      <c r="G49" s="894"/>
      <c r="H49" s="894"/>
      <c r="I49" s="894"/>
      <c r="J49" s="894"/>
      <c r="K49" s="894"/>
      <c r="L49" s="894"/>
      <c r="M49" s="894"/>
      <c r="N49" s="894"/>
      <c r="O49" s="894"/>
      <c r="P49" s="894"/>
      <c r="Q49" s="871"/>
      <c r="R49" s="871"/>
      <c r="S49" s="871"/>
      <c r="T49" s="871"/>
      <c r="U49" s="1668"/>
      <c r="V49" s="750"/>
      <c r="W49" s="801"/>
      <c r="X49" s="128"/>
      <c r="Y49" s="1645">
        <f t="shared" si="14"/>
        <v>0</v>
      </c>
      <c r="Z49" s="364"/>
      <c r="AA49" s="364"/>
      <c r="AB49" s="364"/>
      <c r="AC49" s="364"/>
      <c r="AD49" s="364"/>
      <c r="AE49" s="364"/>
      <c r="AF49" s="364"/>
      <c r="AG49" s="364"/>
      <c r="AH49" s="364"/>
      <c r="AI49" s="364"/>
      <c r="AL49" s="405"/>
      <c r="AM49" s="406"/>
      <c r="AN49" s="406"/>
      <c r="AO49" s="406"/>
    </row>
    <row r="50" spans="1:41" ht="36" customHeight="1">
      <c r="A50" s="1504"/>
      <c r="B50" s="847" t="s">
        <v>650</v>
      </c>
      <c r="C50" s="1504" t="s">
        <v>26</v>
      </c>
      <c r="D50" s="848">
        <f>'B9. Y TE'!D60</f>
        <v>50</v>
      </c>
      <c r="E50" s="848">
        <v>60</v>
      </c>
      <c r="F50" s="848">
        <v>60</v>
      </c>
      <c r="G50" s="848">
        <f>'B9. Y TE'!E60</f>
        <v>60</v>
      </c>
      <c r="H50" s="848">
        <v>60</v>
      </c>
      <c r="I50" s="848">
        <f>'B9. Y TE'!F60</f>
        <v>60</v>
      </c>
      <c r="J50" s="848">
        <f>'B9. Y TE'!G60</f>
        <v>60</v>
      </c>
      <c r="K50" s="848">
        <f>'B9. Y TE'!H60</f>
        <v>60</v>
      </c>
      <c r="L50" s="848">
        <v>70</v>
      </c>
      <c r="M50" s="848">
        <v>70</v>
      </c>
      <c r="N50" s="848">
        <f>'B9. Y TE'!W60</f>
        <v>70</v>
      </c>
      <c r="O50" s="848">
        <v>70</v>
      </c>
      <c r="P50" s="848">
        <f>'B9. Y TE'!AL60</f>
        <v>70</v>
      </c>
      <c r="Q50" s="1664">
        <f t="shared" ref="Q50" si="15">P50-I50</f>
        <v>10</v>
      </c>
      <c r="R50" s="1664">
        <f t="shared" ref="R50" si="16">P50-L50</f>
        <v>0</v>
      </c>
      <c r="S50" s="1664">
        <f t="shared" ref="S50" si="17">P50-M50</f>
        <v>0</v>
      </c>
      <c r="T50" s="1664">
        <f t="shared" ref="T50" si="18">P50-N50</f>
        <v>0</v>
      </c>
      <c r="U50" s="1669" t="s">
        <v>879</v>
      </c>
      <c r="V50" s="750">
        <v>21</v>
      </c>
      <c r="W50" s="801">
        <v>70</v>
      </c>
      <c r="X50" s="128">
        <f>'B9. Y TE'!BR60</f>
        <v>70</v>
      </c>
      <c r="Y50" s="1645">
        <f t="shared" si="14"/>
        <v>0</v>
      </c>
      <c r="AM50" s="371"/>
      <c r="AN50" s="371"/>
      <c r="AO50" s="371"/>
    </row>
    <row r="51" spans="1:41" ht="21.95" customHeight="1">
      <c r="A51" s="1504"/>
      <c r="B51" s="847" t="s">
        <v>848</v>
      </c>
      <c r="C51" s="1504" t="s">
        <v>45</v>
      </c>
      <c r="D51" s="863">
        <f>'B9. Y TE'!D28</f>
        <v>11.041666666666668</v>
      </c>
      <c r="E51" s="870">
        <v>9.9</v>
      </c>
      <c r="F51" s="870">
        <v>9.9</v>
      </c>
      <c r="G51" s="894">
        <v>9.9</v>
      </c>
      <c r="H51" s="894">
        <v>10.9</v>
      </c>
      <c r="I51" s="870">
        <f>'B9. Y TE'!F28</f>
        <v>10.375132232077467</v>
      </c>
      <c r="J51" s="870">
        <f>'B9. Y TE'!G28</f>
        <v>10.141987829614605</v>
      </c>
      <c r="K51" s="894">
        <f>'B9. Y TE'!H28</f>
        <v>10.914382731021101</v>
      </c>
      <c r="L51" s="894">
        <v>11.18</v>
      </c>
      <c r="M51" s="894">
        <v>11.179876222798962</v>
      </c>
      <c r="N51" s="894">
        <f>'B9. Y TE'!W28</f>
        <v>11.179876222798962</v>
      </c>
      <c r="O51" s="870">
        <v>11</v>
      </c>
      <c r="P51" s="870">
        <f>'B9. Y TE'!AL28</f>
        <v>10.980235575963265</v>
      </c>
      <c r="Q51" s="1664">
        <f t="shared" ref="Q51:Q56" si="19">P51-I51</f>
        <v>0.60510334388579778</v>
      </c>
      <c r="R51" s="1664">
        <f t="shared" ref="R51:R56" si="20">P51-L51</f>
        <v>-0.19976442403673467</v>
      </c>
      <c r="S51" s="1664">
        <f t="shared" ref="S51:S56" si="21">P51-M51</f>
        <v>-0.1996406468356966</v>
      </c>
      <c r="T51" s="1664">
        <f t="shared" ref="T51:T56" si="22">P51-N51</f>
        <v>-0.1996406468356966</v>
      </c>
      <c r="U51" s="1669" t="s">
        <v>879</v>
      </c>
      <c r="V51" s="750">
        <v>22</v>
      </c>
      <c r="W51" s="801"/>
      <c r="X51" s="128">
        <f>'B9. Y TE'!BR28</f>
        <v>11.18</v>
      </c>
      <c r="Y51" s="1645">
        <f t="shared" si="14"/>
        <v>-1.2377720103806666E-4</v>
      </c>
      <c r="Z51" s="1635"/>
      <c r="AL51" s="419"/>
      <c r="AM51" s="371"/>
      <c r="AN51" s="371"/>
      <c r="AO51" s="371"/>
    </row>
    <row r="52" spans="1:41" s="404" customFormat="1" ht="27.6" hidden="1" customHeight="1">
      <c r="A52" s="1504"/>
      <c r="B52" s="889" t="s">
        <v>46</v>
      </c>
      <c r="C52" s="896" t="s">
        <v>47</v>
      </c>
      <c r="D52" s="870"/>
      <c r="E52" s="894">
        <v>12.14</v>
      </c>
      <c r="F52" s="894"/>
      <c r="G52" s="894" t="e">
        <f>'B8. DS-GD&amp;TE '!E16</f>
        <v>#REF!</v>
      </c>
      <c r="H52" s="894"/>
      <c r="I52" s="894">
        <f>'B8. DS-GD&amp;TE '!F16</f>
        <v>5.92</v>
      </c>
      <c r="J52" s="894">
        <f>'B8. DS-GD&amp;TE '!G16</f>
        <v>9.19</v>
      </c>
      <c r="K52" s="894">
        <f>'B8. DS-GD&amp;TE '!H16</f>
        <v>12.135</v>
      </c>
      <c r="L52" s="894"/>
      <c r="M52" s="894"/>
      <c r="N52" s="894"/>
      <c r="O52" s="894"/>
      <c r="P52" s="894"/>
      <c r="Q52" s="1664">
        <f t="shared" si="19"/>
        <v>-5.92</v>
      </c>
      <c r="R52" s="1664">
        <f t="shared" si="20"/>
        <v>0</v>
      </c>
      <c r="S52" s="1664">
        <f t="shared" si="21"/>
        <v>0</v>
      </c>
      <c r="T52" s="1664">
        <f t="shared" si="22"/>
        <v>0</v>
      </c>
      <c r="U52" s="1670" t="s">
        <v>879</v>
      </c>
      <c r="V52" s="750"/>
      <c r="W52" s="801"/>
      <c r="X52" s="128"/>
      <c r="Y52" s="1645">
        <f t="shared" si="14"/>
        <v>0</v>
      </c>
      <c r="Z52" s="364"/>
      <c r="AA52" s="364"/>
      <c r="AB52" s="364"/>
      <c r="AC52" s="364"/>
      <c r="AD52" s="364"/>
      <c r="AE52" s="364"/>
      <c r="AF52" s="364"/>
      <c r="AG52" s="364"/>
      <c r="AH52" s="364"/>
      <c r="AI52" s="364"/>
      <c r="AL52" s="405"/>
      <c r="AM52" s="420"/>
      <c r="AN52" s="406"/>
      <c r="AO52" s="406"/>
    </row>
    <row r="53" spans="1:41" ht="36" customHeight="1">
      <c r="A53" s="1504"/>
      <c r="B53" s="847" t="s">
        <v>850</v>
      </c>
      <c r="C53" s="896" t="s">
        <v>47</v>
      </c>
      <c r="D53" s="870">
        <f>'B8. DS-GD&amp;TE '!D15</f>
        <v>0.70357142857142851</v>
      </c>
      <c r="E53" s="870">
        <v>0.6</v>
      </c>
      <c r="F53" s="870">
        <v>0.59999999999999987</v>
      </c>
      <c r="G53" s="870" t="e">
        <f>'B8. DS-GD&amp;TE '!E15</f>
        <v>#REF!</v>
      </c>
      <c r="H53" s="870">
        <v>0.5</v>
      </c>
      <c r="I53" s="870">
        <f>'B8. DS-GD&amp;TE '!F15</f>
        <v>0.62</v>
      </c>
      <c r="J53" s="870">
        <f>'B8. DS-GD&amp;TE '!G15</f>
        <v>0.63</v>
      </c>
      <c r="K53" s="870">
        <f>'B8. DS-GD&amp;TE '!H15</f>
        <v>0.63</v>
      </c>
      <c r="L53" s="870">
        <v>0.4</v>
      </c>
      <c r="M53" s="870">
        <v>0.4</v>
      </c>
      <c r="N53" s="870">
        <f>'B8. DS-GD&amp;TE '!W15</f>
        <v>0.4</v>
      </c>
      <c r="O53" s="870"/>
      <c r="P53" s="870"/>
      <c r="Q53" s="1664">
        <f t="shared" si="19"/>
        <v>-0.62</v>
      </c>
      <c r="R53" s="1664">
        <f t="shared" si="20"/>
        <v>-0.4</v>
      </c>
      <c r="S53" s="1664">
        <f t="shared" si="21"/>
        <v>-0.4</v>
      </c>
      <c r="T53" s="1664">
        <f t="shared" si="22"/>
        <v>-0.4</v>
      </c>
      <c r="U53" s="1107" t="s">
        <v>957</v>
      </c>
      <c r="V53" s="750">
        <v>23</v>
      </c>
      <c r="W53" s="801">
        <v>0.6</v>
      </c>
      <c r="X53" s="128">
        <f>'B8. DS-GD&amp;TE '!BG15</f>
        <v>0.4</v>
      </c>
      <c r="Y53" s="1645">
        <f t="shared" si="14"/>
        <v>0</v>
      </c>
      <c r="AM53" s="371"/>
      <c r="AN53" s="371"/>
      <c r="AO53" s="371"/>
    </row>
    <row r="54" spans="1:41" s="404" customFormat="1" ht="21.95" customHeight="1">
      <c r="A54" s="1504"/>
      <c r="B54" s="847" t="s">
        <v>851</v>
      </c>
      <c r="C54" s="1504"/>
      <c r="D54" s="897"/>
      <c r="E54" s="897"/>
      <c r="F54" s="897"/>
      <c r="G54" s="897"/>
      <c r="H54" s="897"/>
      <c r="I54" s="897"/>
      <c r="J54" s="897"/>
      <c r="K54" s="897"/>
      <c r="L54" s="897"/>
      <c r="M54" s="897"/>
      <c r="N54" s="897"/>
      <c r="O54" s="897"/>
      <c r="P54" s="897"/>
      <c r="Q54" s="1664">
        <f t="shared" si="19"/>
        <v>0</v>
      </c>
      <c r="R54" s="1664">
        <f t="shared" si="20"/>
        <v>0</v>
      </c>
      <c r="S54" s="1664">
        <f t="shared" si="21"/>
        <v>0</v>
      </c>
      <c r="T54" s="1664">
        <f t="shared" si="22"/>
        <v>0</v>
      </c>
      <c r="U54" s="1670"/>
      <c r="V54" s="779"/>
      <c r="W54" s="802"/>
      <c r="X54" s="128"/>
      <c r="Y54" s="1645"/>
      <c r="Z54" s="364"/>
      <c r="AA54" s="364"/>
      <c r="AB54" s="364"/>
      <c r="AC54" s="364"/>
      <c r="AD54" s="364"/>
      <c r="AE54" s="364"/>
      <c r="AF54" s="364"/>
      <c r="AG54" s="364"/>
      <c r="AH54" s="364"/>
      <c r="AI54" s="364"/>
      <c r="AL54" s="405"/>
      <c r="AM54" s="406"/>
      <c r="AN54" s="406"/>
      <c r="AO54" s="406"/>
    </row>
    <row r="55" spans="1:41" s="422" customFormat="1" ht="21.95" customHeight="1">
      <c r="A55" s="846"/>
      <c r="B55" s="898" t="s">
        <v>645</v>
      </c>
      <c r="C55" s="899" t="s">
        <v>26</v>
      </c>
      <c r="D55" s="900">
        <f>'B9. Y TE'!D44</f>
        <v>18.103571428571431</v>
      </c>
      <c r="E55" s="900">
        <v>18</v>
      </c>
      <c r="F55" s="900">
        <v>18</v>
      </c>
      <c r="G55" s="900">
        <f>'B9. Y TE'!E44</f>
        <v>18</v>
      </c>
      <c r="H55" s="900">
        <v>18.100000000000001</v>
      </c>
      <c r="I55" s="900">
        <f>'B9. Y TE'!F44</f>
        <v>17.760000000000002</v>
      </c>
      <c r="J55" s="900">
        <f>'B9. Y TE'!G44</f>
        <v>17.47</v>
      </c>
      <c r="K55" s="900">
        <f>'B9. Y TE'!H44</f>
        <v>17.47108097327483</v>
      </c>
      <c r="L55" s="900">
        <v>17.399999999999999</v>
      </c>
      <c r="M55" s="900" t="s">
        <v>884</v>
      </c>
      <c r="N55" s="900" t="str">
        <f>'B9. Y TE'!W44</f>
        <v>17,40</v>
      </c>
      <c r="O55" s="900">
        <v>17.47</v>
      </c>
      <c r="P55" s="900">
        <f>'B9. Y TE'!AL44</f>
        <v>17.47108097327483</v>
      </c>
      <c r="Q55" s="1664">
        <f t="shared" si="19"/>
        <v>-0.28891902672517134</v>
      </c>
      <c r="R55" s="1664">
        <f t="shared" si="20"/>
        <v>7.1080973274831649E-2</v>
      </c>
      <c r="S55" s="1664">
        <f t="shared" si="21"/>
        <v>7.1080973274831649E-2</v>
      </c>
      <c r="T55" s="1664">
        <f t="shared" si="22"/>
        <v>7.1080973274831649E-2</v>
      </c>
      <c r="U55" s="1669" t="s">
        <v>879</v>
      </c>
      <c r="V55" s="782">
        <v>24</v>
      </c>
      <c r="W55" s="807">
        <v>17.760000000000002</v>
      </c>
      <c r="X55" s="1657">
        <f>'B9. Y TE'!BR44</f>
        <v>17.399999999999999</v>
      </c>
      <c r="Y55" s="1658">
        <f>N55-X55</f>
        <v>0</v>
      </c>
      <c r="Z55" s="1635"/>
      <c r="AA55" s="421"/>
      <c r="AB55" s="421"/>
      <c r="AC55" s="421"/>
      <c r="AD55" s="421"/>
      <c r="AE55" s="421"/>
      <c r="AF55" s="421"/>
      <c r="AG55" s="421"/>
      <c r="AH55" s="421"/>
      <c r="AI55" s="421"/>
      <c r="AL55" s="423"/>
      <c r="AM55" s="424"/>
      <c r="AN55" s="425"/>
      <c r="AO55" s="425"/>
    </row>
    <row r="56" spans="1:41" s="422" customFormat="1" ht="21.95" customHeight="1">
      <c r="A56" s="846"/>
      <c r="B56" s="898" t="s">
        <v>646</v>
      </c>
      <c r="C56" s="899" t="s">
        <v>26</v>
      </c>
      <c r="D56" s="900">
        <f>'B9. Y TE'!D45</f>
        <v>24.082142857142863</v>
      </c>
      <c r="E56" s="900">
        <v>23.3</v>
      </c>
      <c r="F56" s="900">
        <v>23.3</v>
      </c>
      <c r="G56" s="900">
        <f>'B9. Y TE'!E45</f>
        <v>23.3</v>
      </c>
      <c r="H56" s="900">
        <v>24.08</v>
      </c>
      <c r="I56" s="900">
        <f>'B9. Y TE'!F45</f>
        <v>23.15</v>
      </c>
      <c r="J56" s="900">
        <f>'B9. Y TE'!G45</f>
        <v>23.08</v>
      </c>
      <c r="K56" s="900">
        <f>'B9. Y TE'!H45</f>
        <v>23.075388911049064</v>
      </c>
      <c r="L56" s="900">
        <v>21.74</v>
      </c>
      <c r="M56" s="900" t="s">
        <v>898</v>
      </c>
      <c r="N56" s="900" t="str">
        <f>'B9. Y TE'!W45</f>
        <v>21,74</v>
      </c>
      <c r="O56" s="900">
        <v>23.08</v>
      </c>
      <c r="P56" s="900">
        <f>'B9. Y TE'!AL45</f>
        <v>23.075388911049064</v>
      </c>
      <c r="Q56" s="1664">
        <f t="shared" si="19"/>
        <v>-7.4611088950934601E-2</v>
      </c>
      <c r="R56" s="1664">
        <f t="shared" si="20"/>
        <v>1.3353889110490655</v>
      </c>
      <c r="S56" s="1664">
        <f t="shared" si="21"/>
        <v>1.3353889110490655</v>
      </c>
      <c r="T56" s="1664">
        <f t="shared" si="22"/>
        <v>1.3353889110490655</v>
      </c>
      <c r="U56" s="1669" t="s">
        <v>879</v>
      </c>
      <c r="V56" s="782">
        <v>25</v>
      </c>
      <c r="W56" s="807"/>
      <c r="X56" s="1657">
        <f>'B9. Y TE'!BR45</f>
        <v>21.74</v>
      </c>
      <c r="Y56" s="1658">
        <f>N56-X56</f>
        <v>0</v>
      </c>
      <c r="Z56" s="1635"/>
      <c r="AA56" s="421"/>
      <c r="AB56" s="421"/>
      <c r="AC56" s="421"/>
      <c r="AD56" s="421"/>
      <c r="AE56" s="421"/>
      <c r="AF56" s="421"/>
      <c r="AG56" s="421"/>
      <c r="AH56" s="421"/>
      <c r="AI56" s="421"/>
      <c r="AL56" s="423"/>
      <c r="AM56" s="424"/>
      <c r="AN56" s="425"/>
      <c r="AO56" s="425"/>
    </row>
    <row r="57" spans="1:41" s="493" customFormat="1" ht="21.95" customHeight="1">
      <c r="A57" s="1504"/>
      <c r="B57" s="901" t="s">
        <v>818</v>
      </c>
      <c r="C57" s="902" t="s">
        <v>26</v>
      </c>
      <c r="D57" s="891">
        <f>'B9. Y TE'!D59</f>
        <v>97</v>
      </c>
      <c r="E57" s="891">
        <v>97.4</v>
      </c>
      <c r="F57" s="891">
        <v>97.4</v>
      </c>
      <c r="G57" s="891">
        <f>'B9. Y TE'!E59</f>
        <v>97.4</v>
      </c>
      <c r="H57" s="891">
        <v>97</v>
      </c>
      <c r="I57" s="891">
        <f>'B9. Y TE'!F59</f>
        <v>91.3</v>
      </c>
      <c r="J57" s="891">
        <f>'B9. Y TE'!G59</f>
        <v>91.3</v>
      </c>
      <c r="K57" s="891">
        <f>'B9. Y TE'!H59</f>
        <v>97.4</v>
      </c>
      <c r="L57" s="891"/>
      <c r="M57" s="891">
        <v>97.2</v>
      </c>
      <c r="N57" s="891">
        <f>'B9. Y TE'!W59</f>
        <v>97.2</v>
      </c>
      <c r="O57" s="1673">
        <f>43516/49622*100</f>
        <v>87.694974003466214</v>
      </c>
      <c r="P57" s="1673">
        <f>'B9. Y TE'!AL59</f>
        <v>83.814517911317381</v>
      </c>
      <c r="Q57" s="1664">
        <f t="shared" ref="Q57" si="23">P57-I57</f>
        <v>-7.4854820886826161</v>
      </c>
      <c r="R57" s="1664"/>
      <c r="S57" s="1664">
        <f t="shared" ref="S57" si="24">P57-M57</f>
        <v>-13.385482088682622</v>
      </c>
      <c r="T57" s="1664">
        <f t="shared" ref="T57" si="25">P57-N57</f>
        <v>-13.385482088682622</v>
      </c>
      <c r="U57" s="1669" t="s">
        <v>879</v>
      </c>
      <c r="V57" s="783">
        <v>26</v>
      </c>
      <c r="W57" s="808"/>
      <c r="X57" s="1039">
        <f>'B9. Y TE'!BR59</f>
        <v>0</v>
      </c>
      <c r="Y57" s="1645"/>
      <c r="Z57" s="1635"/>
      <c r="AA57" s="129"/>
      <c r="AB57" s="129"/>
      <c r="AC57" s="129"/>
      <c r="AD57" s="129"/>
      <c r="AE57" s="129"/>
      <c r="AF57" s="129"/>
      <c r="AG57" s="129"/>
      <c r="AH57" s="129"/>
      <c r="AI57" s="129"/>
      <c r="AL57" s="643"/>
      <c r="AM57" s="644"/>
      <c r="AN57" s="645"/>
      <c r="AO57" s="645"/>
    </row>
    <row r="58" spans="1:41" ht="21.95" customHeight="1">
      <c r="A58" s="1505">
        <v>7</v>
      </c>
      <c r="B58" s="841" t="s">
        <v>674</v>
      </c>
      <c r="C58" s="1505"/>
      <c r="D58" s="870"/>
      <c r="E58" s="870"/>
      <c r="F58" s="870"/>
      <c r="G58" s="870"/>
      <c r="H58" s="870"/>
      <c r="I58" s="870"/>
      <c r="J58" s="870"/>
      <c r="K58" s="870"/>
      <c r="L58" s="870"/>
      <c r="M58" s="870"/>
      <c r="N58" s="870"/>
      <c r="O58" s="870"/>
      <c r="P58" s="870"/>
      <c r="Q58" s="871"/>
      <c r="R58" s="871"/>
      <c r="S58" s="871"/>
      <c r="T58" s="871"/>
      <c r="U58" s="846"/>
      <c r="W58" s="801"/>
      <c r="AM58" s="371"/>
      <c r="AN58" s="371"/>
      <c r="AO58" s="371"/>
    </row>
    <row r="59" spans="1:41" s="426" customFormat="1" ht="28.5" hidden="1" customHeight="1">
      <c r="A59" s="1504"/>
      <c r="B59" s="889" t="s">
        <v>575</v>
      </c>
      <c r="C59" s="1504" t="s">
        <v>279</v>
      </c>
      <c r="D59" s="903"/>
      <c r="E59" s="903"/>
      <c r="F59" s="903"/>
      <c r="G59" s="903"/>
      <c r="H59" s="903"/>
      <c r="I59" s="903"/>
      <c r="J59" s="903"/>
      <c r="K59" s="903"/>
      <c r="L59" s="903"/>
      <c r="M59" s="903"/>
      <c r="N59" s="903"/>
      <c r="O59" s="903"/>
      <c r="P59" s="903"/>
      <c r="Q59" s="871"/>
      <c r="R59" s="871"/>
      <c r="S59" s="871"/>
      <c r="T59" s="871"/>
      <c r="U59" s="1668"/>
      <c r="V59" s="750"/>
      <c r="W59" s="801"/>
      <c r="X59" s="128"/>
      <c r="Y59" s="1645">
        <f t="shared" ref="Y59:Y64" si="26">N59-X59</f>
        <v>0</v>
      </c>
      <c r="AL59" s="427"/>
      <c r="AM59" s="428"/>
      <c r="AN59" s="428"/>
      <c r="AO59" s="428"/>
    </row>
    <row r="60" spans="1:41" s="426" customFormat="1" ht="28.5" hidden="1" customHeight="1">
      <c r="A60" s="1504"/>
      <c r="B60" s="889" t="s">
        <v>576</v>
      </c>
      <c r="C60" s="1504" t="s">
        <v>26</v>
      </c>
      <c r="D60" s="904"/>
      <c r="E60" s="904"/>
      <c r="F60" s="904"/>
      <c r="G60" s="904"/>
      <c r="H60" s="904"/>
      <c r="I60" s="904"/>
      <c r="J60" s="904"/>
      <c r="K60" s="904"/>
      <c r="L60" s="904"/>
      <c r="M60" s="904"/>
      <c r="N60" s="904"/>
      <c r="O60" s="904"/>
      <c r="P60" s="904"/>
      <c r="Q60" s="871"/>
      <c r="R60" s="871"/>
      <c r="S60" s="871"/>
      <c r="T60" s="871"/>
      <c r="U60" s="1668"/>
      <c r="V60" s="750"/>
      <c r="W60" s="801"/>
      <c r="X60" s="128"/>
      <c r="Y60" s="1645">
        <f t="shared" si="26"/>
        <v>0</v>
      </c>
      <c r="Z60" s="429"/>
      <c r="AA60" s="429"/>
      <c r="AB60" s="430"/>
      <c r="AK60" s="431"/>
      <c r="AL60" s="427"/>
      <c r="AM60" s="428"/>
      <c r="AN60" s="428"/>
      <c r="AO60" s="428"/>
    </row>
    <row r="61" spans="1:41" s="364" customFormat="1" ht="36" customHeight="1">
      <c r="A61" s="1504"/>
      <c r="B61" s="889" t="s">
        <v>934</v>
      </c>
      <c r="C61" s="1504" t="s">
        <v>26</v>
      </c>
      <c r="D61" s="905">
        <f>'B7 LD&amp;VL-XDGN'!AA11</f>
        <v>44.241156995992334</v>
      </c>
      <c r="E61" s="905">
        <v>6.51</v>
      </c>
      <c r="F61" s="905">
        <v>6.8965119740642677</v>
      </c>
      <c r="G61" s="905">
        <f>'B7 LD&amp;VL-XDGN'!AB13</f>
        <v>6.9</v>
      </c>
      <c r="H61" s="905"/>
      <c r="I61" s="905">
        <f>'B7 LD&amp;VL-XDGN'!AC13</f>
        <v>0</v>
      </c>
      <c r="J61" s="905"/>
      <c r="K61" s="905">
        <f>'B7 LD&amp;VL-XDGN'!AE13</f>
        <v>7.7613901921514596</v>
      </c>
      <c r="L61" s="905">
        <v>8.43</v>
      </c>
      <c r="M61" s="905">
        <v>8.6773018084522597</v>
      </c>
      <c r="N61" s="905">
        <f>'B7 LD&amp;VL-XDGN'!AT13</f>
        <v>8.6773018084522597</v>
      </c>
      <c r="O61" s="905"/>
      <c r="P61" s="905"/>
      <c r="Q61" s="1664">
        <f t="shared" ref="Q61" si="27">P61-I61</f>
        <v>0</v>
      </c>
      <c r="R61" s="1664">
        <f t="shared" ref="R61" si="28">P61-L61</f>
        <v>-8.43</v>
      </c>
      <c r="S61" s="1664">
        <f t="shared" ref="S61" si="29">P61-M61</f>
        <v>-8.6773018084522597</v>
      </c>
      <c r="T61" s="1664">
        <f t="shared" ref="T61" si="30">P61-N61</f>
        <v>-8.6773018084522597</v>
      </c>
      <c r="U61" s="1107" t="s">
        <v>957</v>
      </c>
      <c r="V61" s="750"/>
      <c r="W61" s="801" t="s">
        <v>917</v>
      </c>
      <c r="X61" s="128">
        <f>'B7 LD&amp;VL-XDGN'!CA13</f>
        <v>8.43</v>
      </c>
      <c r="Y61" s="1645">
        <f t="shared" si="26"/>
        <v>0.24730180845226002</v>
      </c>
      <c r="Z61" s="432"/>
      <c r="AB61" s="433"/>
      <c r="AK61" s="397"/>
      <c r="AL61" s="434"/>
      <c r="AM61" s="399"/>
      <c r="AN61" s="399"/>
      <c r="AO61" s="399"/>
    </row>
    <row r="62" spans="1:41" ht="21.95" customHeight="1">
      <c r="A62" s="1504"/>
      <c r="B62" s="889" t="s">
        <v>48</v>
      </c>
      <c r="C62" s="1504" t="s">
        <v>49</v>
      </c>
      <c r="D62" s="907">
        <f>'B7 LD&amp;VL-XDGN'!AA57</f>
        <v>705</v>
      </c>
      <c r="E62" s="907">
        <v>705</v>
      </c>
      <c r="F62" s="907">
        <v>705</v>
      </c>
      <c r="G62" s="907" t="e">
        <f>'B7 LD&amp;VL-XDGN'!AB57</f>
        <v>#REF!</v>
      </c>
      <c r="H62" s="907">
        <v>235</v>
      </c>
      <c r="I62" s="907">
        <f>'B7 LD&amp;VL-XDGN'!AC57</f>
        <v>356</v>
      </c>
      <c r="J62" s="907">
        <f>'B7 LD&amp;VL-XDGN'!AD57</f>
        <v>635</v>
      </c>
      <c r="K62" s="907">
        <f>'B7 LD&amp;VL-XDGN'!AE57</f>
        <v>705</v>
      </c>
      <c r="L62" s="907">
        <v>760</v>
      </c>
      <c r="M62" s="907">
        <v>760</v>
      </c>
      <c r="N62" s="907">
        <f>'B7 LD&amp;VL-XDGN'!AT57</f>
        <v>760</v>
      </c>
      <c r="O62" s="907">
        <v>12</v>
      </c>
      <c r="P62" s="907">
        <f>'B7 LD&amp;VL-XDGN'!BI57</f>
        <v>475</v>
      </c>
      <c r="Q62" s="851">
        <f>P62/I62%</f>
        <v>133.42696629213484</v>
      </c>
      <c r="R62" s="851">
        <f>P62/L62%</f>
        <v>62.5</v>
      </c>
      <c r="S62" s="851">
        <f>P62/M62%</f>
        <v>62.5</v>
      </c>
      <c r="T62" s="851">
        <f>P62/N62%</f>
        <v>62.5</v>
      </c>
      <c r="U62" s="1670"/>
      <c r="V62" s="751"/>
      <c r="W62" s="801" t="s">
        <v>918</v>
      </c>
      <c r="X62" s="128">
        <f>'B7 LD&amp;VL-XDGN'!CA57</f>
        <v>760</v>
      </c>
      <c r="Y62" s="1645">
        <f t="shared" si="26"/>
        <v>0</v>
      </c>
      <c r="Z62" s="435"/>
      <c r="AK62" s="436" t="e">
        <f>#REF!-#REF!</f>
        <v>#REF!</v>
      </c>
      <c r="AL62" s="419"/>
      <c r="AM62" s="437"/>
      <c r="AN62" s="371"/>
      <c r="AO62" s="371"/>
    </row>
    <row r="63" spans="1:41" ht="21.95" customHeight="1">
      <c r="A63" s="1504"/>
      <c r="B63" s="889" t="s">
        <v>50</v>
      </c>
      <c r="C63" s="1504" t="s">
        <v>49</v>
      </c>
      <c r="D63" s="907">
        <f>'B7 LD&amp;VL-XDGN'!AA66</f>
        <v>1105</v>
      </c>
      <c r="E63" s="907">
        <v>1100</v>
      </c>
      <c r="F63" s="907">
        <v>1100</v>
      </c>
      <c r="G63" s="907" t="e">
        <f>'B7 LD&amp;VL-XDGN'!AB66</f>
        <v>#REF!</v>
      </c>
      <c r="H63" s="907"/>
      <c r="I63" s="907">
        <f>'B7 LD&amp;VL-XDGN'!AC66</f>
        <v>410</v>
      </c>
      <c r="J63" s="907">
        <f>'B7 LD&amp;VL-XDGN'!AD66</f>
        <v>770</v>
      </c>
      <c r="K63" s="907">
        <f>'B7 LD&amp;VL-XDGN'!AE66</f>
        <v>1100</v>
      </c>
      <c r="L63" s="907">
        <v>1100</v>
      </c>
      <c r="M63" s="907">
        <v>1100</v>
      </c>
      <c r="N63" s="907">
        <f>'B7 LD&amp;VL-XDGN'!AT66</f>
        <v>1100</v>
      </c>
      <c r="O63" s="907">
        <v>0</v>
      </c>
      <c r="P63" s="907">
        <f>'B7 LD&amp;VL-XDGN'!BI66</f>
        <v>0</v>
      </c>
      <c r="Q63" s="851">
        <f>P63/I63%</f>
        <v>0</v>
      </c>
      <c r="R63" s="851">
        <f>P63/L63%</f>
        <v>0</v>
      </c>
      <c r="S63" s="851">
        <f>P63/M63%</f>
        <v>0</v>
      </c>
      <c r="T63" s="851">
        <f>P63/N63%</f>
        <v>0</v>
      </c>
      <c r="U63" s="1668"/>
      <c r="V63" s="751"/>
      <c r="W63" s="801" t="s">
        <v>919</v>
      </c>
      <c r="X63" s="128">
        <f>'B7 LD&amp;VL-XDGN'!CA66</f>
        <v>1100</v>
      </c>
      <c r="Y63" s="1645">
        <f t="shared" si="26"/>
        <v>0</v>
      </c>
      <c r="Z63" s="435"/>
      <c r="AK63" s="436"/>
      <c r="AL63" s="419"/>
      <c r="AM63" s="371"/>
      <c r="AN63" s="371"/>
      <c r="AO63" s="371"/>
    </row>
    <row r="64" spans="1:41" ht="21.95" customHeight="1">
      <c r="A64" s="1504"/>
      <c r="B64" s="889" t="s">
        <v>51</v>
      </c>
      <c r="C64" s="1504" t="s">
        <v>26</v>
      </c>
      <c r="D64" s="906">
        <f>'B7 LD&amp;VL-XDGN'!AA55</f>
        <v>59.885714285714286</v>
      </c>
      <c r="E64" s="906">
        <v>63</v>
      </c>
      <c r="F64" s="906">
        <v>62.986785714285702</v>
      </c>
      <c r="G64" s="906">
        <f>'B7 LD&amp;VL-XDGN'!AB55</f>
        <v>63</v>
      </c>
      <c r="H64" s="906">
        <v>59.9</v>
      </c>
      <c r="I64" s="906">
        <f>'B7 LD&amp;VL-XDGN'!AC55</f>
        <v>61.2</v>
      </c>
      <c r="J64" s="906">
        <f>'B7 LD&amp;VL-XDGN'!AD55</f>
        <v>62.1</v>
      </c>
      <c r="K64" s="906">
        <f>'B7 LD&amp;VL-XDGN'!AE55</f>
        <v>62.98571428571428</v>
      </c>
      <c r="L64" s="906">
        <v>66</v>
      </c>
      <c r="M64" s="906">
        <v>65.992857142857147</v>
      </c>
      <c r="N64" s="906">
        <f>'B7 LD&amp;VL-XDGN'!AT55</f>
        <v>65.992857142857147</v>
      </c>
      <c r="O64" s="906">
        <v>63</v>
      </c>
      <c r="P64" s="906">
        <f>'B7 LD&amp;VL-XDGN'!BI55</f>
        <v>63.135714285714293</v>
      </c>
      <c r="Q64" s="851">
        <f t="shared" ref="Q64" si="31">P64-I64</f>
        <v>1.9357142857142904</v>
      </c>
      <c r="R64" s="851">
        <f t="shared" ref="R64" si="32">P64-L64</f>
        <v>-2.8642857142857068</v>
      </c>
      <c r="S64" s="851">
        <f t="shared" ref="S64" si="33">P64-M64</f>
        <v>-2.8571428571428541</v>
      </c>
      <c r="T64" s="851">
        <f t="shared" ref="T64" si="34">P64-N64</f>
        <v>-2.8571428571428541</v>
      </c>
      <c r="U64" s="1669" t="s">
        <v>879</v>
      </c>
      <c r="W64" s="529" t="s">
        <v>920</v>
      </c>
      <c r="X64" s="128">
        <f>'B7 LD&amp;VL-XDGN'!CA55</f>
        <v>66</v>
      </c>
      <c r="Y64" s="1645">
        <f t="shared" si="26"/>
        <v>-7.1428571428526766E-3</v>
      </c>
      <c r="AM64" s="438"/>
    </row>
    <row r="65" spans="1:39" ht="21.95" customHeight="1">
      <c r="A65" s="1505">
        <v>8</v>
      </c>
      <c r="B65" s="841" t="s">
        <v>52</v>
      </c>
      <c r="C65" s="1505"/>
      <c r="D65" s="870"/>
      <c r="E65" s="870"/>
      <c r="F65" s="870"/>
      <c r="G65" s="870"/>
      <c r="H65" s="870"/>
      <c r="I65" s="870"/>
      <c r="J65" s="870"/>
      <c r="K65" s="870"/>
      <c r="L65" s="870"/>
      <c r="M65" s="870"/>
      <c r="N65" s="870"/>
      <c r="O65" s="870"/>
      <c r="P65" s="870"/>
      <c r="Q65" s="871"/>
      <c r="R65" s="871"/>
      <c r="S65" s="871"/>
      <c r="T65" s="871"/>
      <c r="U65" s="846"/>
      <c r="W65" s="801"/>
      <c r="Z65" s="369"/>
      <c r="AM65" s="438"/>
    </row>
    <row r="66" spans="1:39" s="404" customFormat="1" ht="21.95" customHeight="1">
      <c r="A66" s="1505"/>
      <c r="B66" s="847" t="s">
        <v>741</v>
      </c>
      <c r="C66" s="1505" t="s">
        <v>26</v>
      </c>
      <c r="D66" s="850">
        <f>'B11 VHTT'!D60</f>
        <v>88.181818181818187</v>
      </c>
      <c r="E66" s="850">
        <v>83</v>
      </c>
      <c r="F66" s="850">
        <v>91.818181818181827</v>
      </c>
      <c r="G66" s="1637">
        <f>'B11 VHTT'!E60</f>
        <v>91.818181818181827</v>
      </c>
      <c r="H66" s="1637">
        <v>92.7</v>
      </c>
      <c r="I66" s="1637">
        <f>'B11 VHTT'!F60</f>
        <v>88.181818181818187</v>
      </c>
      <c r="J66" s="1637">
        <f>'B11 VHTT'!G60</f>
        <v>92.72727272727272</v>
      </c>
      <c r="K66" s="1637">
        <f>'B11 VHTT'!H60</f>
        <v>92.72727272727272</v>
      </c>
      <c r="L66" s="1637">
        <v>94.5</v>
      </c>
      <c r="M66" s="1637">
        <v>94.545454545454533</v>
      </c>
      <c r="N66" s="1637">
        <f>'B11 VHTT'!W60</f>
        <v>94.545454545454533</v>
      </c>
      <c r="O66" s="1637">
        <v>93.636363636363626</v>
      </c>
      <c r="P66" s="1637">
        <f>'B11 VHTT'!AL60</f>
        <v>93.636363636363626</v>
      </c>
      <c r="Q66" s="1664">
        <f t="shared" ref="Q66" si="35">P66-I66</f>
        <v>5.454545454545439</v>
      </c>
      <c r="R66" s="1664">
        <f t="shared" ref="R66" si="36">P66-L66</f>
        <v>-0.86363636363637397</v>
      </c>
      <c r="S66" s="1664">
        <f t="shared" ref="S66" si="37">P66-M66</f>
        <v>-0.90909090909090651</v>
      </c>
      <c r="T66" s="1664">
        <f t="shared" ref="T66" si="38">P66-N66</f>
        <v>-0.90909090909090651</v>
      </c>
      <c r="U66" s="1669" t="s">
        <v>879</v>
      </c>
      <c r="V66" s="752" t="e">
        <f>J66-#REF!</f>
        <v>#REF!</v>
      </c>
      <c r="W66" s="801"/>
      <c r="X66" s="128">
        <f>'B11 VHTT'!BD60</f>
        <v>0</v>
      </c>
      <c r="Y66" s="1645">
        <f>N66-X66</f>
        <v>94.545454545454533</v>
      </c>
      <c r="Z66" s="369"/>
      <c r="AA66" s="364"/>
      <c r="AB66" s="364"/>
      <c r="AC66" s="364"/>
      <c r="AD66" s="364"/>
      <c r="AE66" s="364"/>
      <c r="AF66" s="364"/>
      <c r="AG66" s="364"/>
      <c r="AH66" s="364"/>
      <c r="AI66" s="364"/>
      <c r="AL66" s="405"/>
    </row>
    <row r="67" spans="1:39" s="440" customFormat="1" ht="21.95" customHeight="1">
      <c r="A67" s="876"/>
      <c r="B67" s="877" t="s">
        <v>53</v>
      </c>
      <c r="C67" s="876" t="s">
        <v>26</v>
      </c>
      <c r="D67" s="908">
        <f>'B11 VHTT'!D36</f>
        <v>78.67224255096707</v>
      </c>
      <c r="E67" s="908">
        <v>79.599999999999994</v>
      </c>
      <c r="F67" s="908">
        <v>81.32879045996593</v>
      </c>
      <c r="G67" s="1638" t="e">
        <f>'B11 VHTT'!E36</f>
        <v>#REF!</v>
      </c>
      <c r="H67" s="1638"/>
      <c r="I67" s="1638">
        <f>'B11 VHTT'!F36</f>
        <v>0</v>
      </c>
      <c r="J67" s="1638">
        <f>'B11 VHTT'!G36</f>
        <v>0</v>
      </c>
      <c r="K67" s="1638">
        <f>'B11 VHTT'!H36</f>
        <v>74.271262002743484</v>
      </c>
      <c r="L67" s="1638">
        <v>81.5</v>
      </c>
      <c r="M67" s="1638">
        <v>81.5</v>
      </c>
      <c r="N67" s="1638">
        <f>'B11 VHTT'!W36</f>
        <v>81.5</v>
      </c>
      <c r="O67" s="1638"/>
      <c r="P67" s="1638"/>
      <c r="Q67" s="1664">
        <f t="shared" ref="Q67:Q70" si="39">P67-I67</f>
        <v>0</v>
      </c>
      <c r="R67" s="1664">
        <f t="shared" ref="R67:R70" si="40">P67-L67</f>
        <v>-81.5</v>
      </c>
      <c r="S67" s="1664">
        <f t="shared" ref="S67:S70" si="41">P67-M67</f>
        <v>-81.5</v>
      </c>
      <c r="T67" s="1664">
        <f t="shared" ref="T67:T70" si="42">P67-N67</f>
        <v>-81.5</v>
      </c>
      <c r="U67" s="2006" t="s">
        <v>957</v>
      </c>
      <c r="V67" s="784"/>
      <c r="W67" s="802" t="s">
        <v>921</v>
      </c>
      <c r="X67" s="828">
        <f>'B11 VHTT'!BD36</f>
        <v>0</v>
      </c>
      <c r="Y67" s="785">
        <f>N67-X67</f>
        <v>81.5</v>
      </c>
      <c r="Z67" s="828"/>
      <c r="AA67" s="828"/>
      <c r="AB67" s="828"/>
      <c r="AC67" s="439"/>
      <c r="AD67" s="439"/>
      <c r="AE67" s="439"/>
      <c r="AF67" s="439"/>
      <c r="AG67" s="439"/>
      <c r="AH67" s="439"/>
      <c r="AI67" s="439"/>
      <c r="AL67" s="441"/>
      <c r="AM67" s="442"/>
    </row>
    <row r="68" spans="1:39" s="408" customFormat="1" ht="21.95" customHeight="1">
      <c r="A68" s="876"/>
      <c r="B68" s="877" t="s">
        <v>822</v>
      </c>
      <c r="C68" s="876" t="s">
        <v>26</v>
      </c>
      <c r="D68" s="908">
        <f>'B11 VHTT'!D32</f>
        <v>80.909090909090907</v>
      </c>
      <c r="E68" s="908">
        <v>71.2</v>
      </c>
      <c r="F68" s="908">
        <v>83.636363636363626</v>
      </c>
      <c r="G68" s="1638" t="e">
        <f>'B11 VHTT'!E32</f>
        <v>#REF!</v>
      </c>
      <c r="H68" s="1638"/>
      <c r="I68" s="1638">
        <f>'B11 VHTT'!F32</f>
        <v>0</v>
      </c>
      <c r="J68" s="1638">
        <f>'B11 VHTT'!G32</f>
        <v>0</v>
      </c>
      <c r="K68" s="1638">
        <f>'B11 VHTT'!H32</f>
        <v>83.636363636363626</v>
      </c>
      <c r="L68" s="1638">
        <v>71.8</v>
      </c>
      <c r="M68" s="1638">
        <v>84.545454545454533</v>
      </c>
      <c r="N68" s="1638">
        <f>'B11 VHTT'!W32</f>
        <v>84.545454545454533</v>
      </c>
      <c r="O68" s="1638"/>
      <c r="P68" s="1638"/>
      <c r="Q68" s="1664">
        <f t="shared" si="39"/>
        <v>0</v>
      </c>
      <c r="R68" s="1664">
        <f t="shared" si="40"/>
        <v>-71.8</v>
      </c>
      <c r="S68" s="1664">
        <f t="shared" si="41"/>
        <v>-84.545454545454533</v>
      </c>
      <c r="T68" s="1664">
        <f t="shared" si="42"/>
        <v>-84.545454545454533</v>
      </c>
      <c r="U68" s="2007"/>
      <c r="V68" s="757"/>
      <c r="W68" s="801">
        <v>82</v>
      </c>
      <c r="X68" s="1655">
        <f>'B11 VHTT'!BD32</f>
        <v>0</v>
      </c>
      <c r="Y68" s="785">
        <f>N68-X68</f>
        <v>84.545454545454533</v>
      </c>
      <c r="Z68" s="407"/>
      <c r="AA68" s="407"/>
      <c r="AB68" s="407"/>
      <c r="AC68" s="407"/>
      <c r="AD68" s="407"/>
      <c r="AE68" s="407"/>
      <c r="AF68" s="407"/>
      <c r="AG68" s="407"/>
      <c r="AH68" s="407"/>
      <c r="AI68" s="407"/>
      <c r="AL68" s="443"/>
      <c r="AM68" s="410"/>
    </row>
    <row r="69" spans="1:39" s="408" customFormat="1" ht="36" customHeight="1">
      <c r="A69" s="876"/>
      <c r="B69" s="877" t="s">
        <v>54</v>
      </c>
      <c r="C69" s="876" t="s">
        <v>26</v>
      </c>
      <c r="D69" s="908">
        <f>'B11 VHTT'!D39</f>
        <v>92.553191489361708</v>
      </c>
      <c r="E69" s="908">
        <v>97.8</v>
      </c>
      <c r="F69" s="908">
        <v>98.373983739837399</v>
      </c>
      <c r="G69" s="1638" t="e">
        <f>'B11 VHTT'!E39</f>
        <v>#REF!</v>
      </c>
      <c r="H69" s="1638"/>
      <c r="I69" s="1638">
        <f>'B11 VHTT'!F39</f>
        <v>0</v>
      </c>
      <c r="J69" s="1638">
        <f>'B11 VHTT'!G39</f>
        <v>0</v>
      </c>
      <c r="K69" s="909">
        <f>'B11 VHTT'!H39</f>
        <v>100</v>
      </c>
      <c r="L69" s="909">
        <v>98.9</v>
      </c>
      <c r="M69" s="909">
        <v>98.958333333333343</v>
      </c>
      <c r="N69" s="1638">
        <f>'B11 VHTT'!W39</f>
        <v>98.958333333333343</v>
      </c>
      <c r="O69" s="1638"/>
      <c r="P69" s="1638"/>
      <c r="Q69" s="1664">
        <f t="shared" si="39"/>
        <v>0</v>
      </c>
      <c r="R69" s="1664">
        <f t="shared" si="40"/>
        <v>-98.9</v>
      </c>
      <c r="S69" s="1664">
        <f t="shared" si="41"/>
        <v>-98.958333333333343</v>
      </c>
      <c r="T69" s="1664">
        <f t="shared" si="42"/>
        <v>-98.958333333333343</v>
      </c>
      <c r="U69" s="2008"/>
      <c r="V69" s="757"/>
      <c r="W69" s="801">
        <v>97</v>
      </c>
      <c r="X69" s="1655">
        <f>'B11 VHTT'!BD39</f>
        <v>0</v>
      </c>
      <c r="Y69" s="1645">
        <f>N69-X69</f>
        <v>98.958333333333343</v>
      </c>
      <c r="Z69" s="407"/>
      <c r="AA69" s="407"/>
      <c r="AB69" s="407"/>
      <c r="AC69" s="407"/>
      <c r="AD69" s="407"/>
      <c r="AE69" s="407"/>
      <c r="AF69" s="407"/>
      <c r="AG69" s="407"/>
      <c r="AH69" s="407"/>
      <c r="AI69" s="407"/>
      <c r="AL69" s="441"/>
      <c r="AM69" s="410"/>
    </row>
    <row r="70" spans="1:39" s="408" customFormat="1" ht="36" customHeight="1">
      <c r="A70" s="876"/>
      <c r="B70" s="877" t="s">
        <v>768</v>
      </c>
      <c r="C70" s="876" t="s">
        <v>26</v>
      </c>
      <c r="D70" s="849">
        <f>B12.TTTT!D15</f>
        <v>93.3</v>
      </c>
      <c r="E70" s="849">
        <v>90</v>
      </c>
      <c r="F70" s="849"/>
      <c r="G70" s="859">
        <f>B12.TTTT!E15</f>
        <v>95</v>
      </c>
      <c r="H70" s="859">
        <v>93</v>
      </c>
      <c r="I70" s="859" t="str">
        <f>B12.TTTT!F15</f>
        <v>93,4</v>
      </c>
      <c r="J70" s="859" t="str">
        <f>B12.TTTT!G15</f>
        <v>93,8</v>
      </c>
      <c r="K70" s="859">
        <f>B12.TTTT!H15</f>
        <v>95</v>
      </c>
      <c r="L70" s="859">
        <v>100</v>
      </c>
      <c r="M70" s="859">
        <v>100</v>
      </c>
      <c r="N70" s="859">
        <f>B12.TTTT!I15</f>
        <v>100</v>
      </c>
      <c r="O70" s="859">
        <v>95</v>
      </c>
      <c r="P70" s="859">
        <f>B12.TTTT!J15</f>
        <v>96</v>
      </c>
      <c r="Q70" s="1664">
        <f t="shared" si="39"/>
        <v>2.5999999999999943</v>
      </c>
      <c r="R70" s="1664">
        <f t="shared" si="40"/>
        <v>-4</v>
      </c>
      <c r="S70" s="1664">
        <f t="shared" si="41"/>
        <v>-4</v>
      </c>
      <c r="T70" s="1664">
        <f t="shared" si="42"/>
        <v>-4</v>
      </c>
      <c r="U70" s="1669"/>
      <c r="V70" s="757">
        <v>28</v>
      </c>
      <c r="W70" s="801"/>
      <c r="X70" s="1655">
        <f>B12.TTTT!N15</f>
        <v>100</v>
      </c>
      <c r="Y70" s="1645">
        <f>N70-X70</f>
        <v>0</v>
      </c>
      <c r="Z70" s="407"/>
      <c r="AA70" s="407"/>
      <c r="AB70" s="407"/>
      <c r="AC70" s="407"/>
      <c r="AD70" s="407"/>
      <c r="AE70" s="407"/>
      <c r="AF70" s="407"/>
      <c r="AG70" s="407"/>
      <c r="AH70" s="407"/>
      <c r="AI70" s="407"/>
      <c r="AL70" s="444"/>
      <c r="AM70" s="410"/>
    </row>
    <row r="71" spans="1:39" s="445" customFormat="1" ht="21.95" customHeight="1">
      <c r="A71" s="910">
        <v>9</v>
      </c>
      <c r="B71" s="911" t="s">
        <v>577</v>
      </c>
      <c r="C71" s="912"/>
      <c r="D71" s="913"/>
      <c r="E71" s="913"/>
      <c r="F71" s="913"/>
      <c r="G71" s="913"/>
      <c r="H71" s="913"/>
      <c r="I71" s="913"/>
      <c r="J71" s="913"/>
      <c r="K71" s="913"/>
      <c r="L71" s="913"/>
      <c r="M71" s="913"/>
      <c r="N71" s="913"/>
      <c r="O71" s="913"/>
      <c r="P71" s="913"/>
      <c r="Q71" s="871"/>
      <c r="R71" s="871"/>
      <c r="S71" s="871"/>
      <c r="T71" s="871"/>
      <c r="U71" s="914"/>
      <c r="V71" s="761"/>
      <c r="W71" s="808"/>
      <c r="X71" s="1659"/>
      <c r="Y71" s="1660"/>
      <c r="AL71" s="446"/>
      <c r="AM71" s="447"/>
    </row>
    <row r="72" spans="1:39" s="445" customFormat="1" ht="36" customHeight="1">
      <c r="A72" s="915"/>
      <c r="B72" s="916" t="s">
        <v>853</v>
      </c>
      <c r="C72" s="902" t="s">
        <v>26</v>
      </c>
      <c r="D72" s="917">
        <v>100</v>
      </c>
      <c r="E72" s="917"/>
      <c r="F72" s="917">
        <v>100</v>
      </c>
      <c r="G72" s="918">
        <v>100</v>
      </c>
      <c r="H72" s="918">
        <v>100</v>
      </c>
      <c r="I72" s="918">
        <v>100</v>
      </c>
      <c r="J72" s="918">
        <v>100</v>
      </c>
      <c r="K72" s="918">
        <v>100</v>
      </c>
      <c r="L72" s="918"/>
      <c r="M72" s="918">
        <v>100</v>
      </c>
      <c r="N72" s="918">
        <v>100</v>
      </c>
      <c r="O72" s="918">
        <v>100</v>
      </c>
      <c r="P72" s="918">
        <f>N72</f>
        <v>100</v>
      </c>
      <c r="Q72" s="1664">
        <f t="shared" ref="Q72:Q73" si="43">P72-I72</f>
        <v>0</v>
      </c>
      <c r="R72" s="1664">
        <f t="shared" ref="R72:R73" si="44">P72-L72</f>
        <v>100</v>
      </c>
      <c r="S72" s="1664">
        <f t="shared" ref="S72:S73" si="45">P72-M72</f>
        <v>0</v>
      </c>
      <c r="T72" s="1664">
        <f t="shared" ref="T72:T73" si="46">P72-N72</f>
        <v>0</v>
      </c>
      <c r="U72" s="2018" t="s">
        <v>879</v>
      </c>
      <c r="V72" s="761">
        <v>29</v>
      </c>
      <c r="W72" s="808"/>
      <c r="X72" s="1659"/>
      <c r="Y72" s="1660"/>
      <c r="AL72" s="448"/>
    </row>
    <row r="73" spans="1:39" s="450" customFormat="1" ht="36" customHeight="1">
      <c r="A73" s="915"/>
      <c r="B73" s="916" t="s">
        <v>849</v>
      </c>
      <c r="C73" s="902" t="s">
        <v>26</v>
      </c>
      <c r="D73" s="919">
        <v>85.7</v>
      </c>
      <c r="E73" s="919"/>
      <c r="F73" s="919">
        <v>84.615384615384613</v>
      </c>
      <c r="G73" s="919">
        <f>F73</f>
        <v>84.615384615384613</v>
      </c>
      <c r="H73" s="919">
        <v>84.615384615384613</v>
      </c>
      <c r="I73" s="919">
        <v>84.615384615384613</v>
      </c>
      <c r="J73" s="919">
        <f>12/14*100</f>
        <v>85.714285714285708</v>
      </c>
      <c r="K73" s="919">
        <f>12/14*100</f>
        <v>85.714285714285708</v>
      </c>
      <c r="L73" s="919"/>
      <c r="M73" s="919">
        <v>85.714285714285708</v>
      </c>
      <c r="N73" s="919">
        <f>K73</f>
        <v>85.714285714285708</v>
      </c>
      <c r="O73" s="919">
        <v>85.714285714285708</v>
      </c>
      <c r="P73" s="919">
        <f>N73</f>
        <v>85.714285714285708</v>
      </c>
      <c r="Q73" s="1664">
        <f t="shared" si="43"/>
        <v>1.098901098901095</v>
      </c>
      <c r="R73" s="1664">
        <f t="shared" si="44"/>
        <v>85.714285714285708</v>
      </c>
      <c r="S73" s="1664">
        <f t="shared" si="45"/>
        <v>0</v>
      </c>
      <c r="T73" s="1664">
        <f t="shared" si="46"/>
        <v>0</v>
      </c>
      <c r="U73" s="2018"/>
      <c r="V73" s="760">
        <v>30</v>
      </c>
      <c r="W73" s="809"/>
      <c r="X73" s="1661"/>
      <c r="Y73" s="1662"/>
      <c r="Z73" s="449"/>
      <c r="AA73" s="449"/>
      <c r="AB73" s="449"/>
      <c r="AC73" s="449"/>
      <c r="AD73" s="449"/>
      <c r="AE73" s="449"/>
      <c r="AF73" s="449"/>
      <c r="AG73" s="449"/>
      <c r="AH73" s="449"/>
      <c r="AI73" s="449"/>
      <c r="AL73" s="451"/>
    </row>
    <row r="74" spans="1:39" ht="15.75" customHeight="1">
      <c r="D74" s="453"/>
      <c r="E74" s="453"/>
      <c r="F74" s="453"/>
      <c r="G74" s="453"/>
      <c r="H74" s="453"/>
      <c r="I74" s="453"/>
      <c r="J74" s="453"/>
      <c r="K74" s="453"/>
      <c r="L74" s="453"/>
      <c r="M74" s="453"/>
      <c r="N74" s="453"/>
      <c r="O74" s="453"/>
      <c r="P74" s="453"/>
      <c r="Q74" s="453"/>
      <c r="R74" s="453"/>
      <c r="S74" s="453"/>
      <c r="T74" s="453"/>
      <c r="U74" s="1672"/>
    </row>
    <row r="75" spans="1:39" ht="15.75" hidden="1" customHeight="1">
      <c r="A75" s="2025" t="s">
        <v>680</v>
      </c>
      <c r="B75" s="2025"/>
      <c r="C75" s="187"/>
      <c r="D75" s="454"/>
      <c r="E75" s="454"/>
      <c r="F75" s="454"/>
      <c r="G75" s="454"/>
      <c r="H75" s="454"/>
      <c r="I75" s="454"/>
      <c r="J75" s="454"/>
      <c r="K75" s="454"/>
      <c r="L75" s="454"/>
      <c r="M75" s="454"/>
      <c r="N75" s="454"/>
      <c r="O75" s="454"/>
      <c r="P75" s="454"/>
      <c r="Q75" s="454"/>
      <c r="R75" s="454"/>
      <c r="S75" s="454"/>
      <c r="T75" s="454"/>
      <c r="U75" s="1672"/>
    </row>
    <row r="76" spans="1:39" hidden="1">
      <c r="A76" s="340"/>
      <c r="B76" s="2023" t="s">
        <v>681</v>
      </c>
      <c r="C76" s="2023"/>
      <c r="D76" s="2023"/>
      <c r="E76" s="2023"/>
      <c r="F76" s="2023"/>
      <c r="G76" s="2023"/>
      <c r="H76" s="2023"/>
      <c r="I76" s="2023"/>
      <c r="J76" s="2023"/>
      <c r="K76" s="2023"/>
      <c r="L76" s="2023"/>
      <c r="M76" s="2023"/>
      <c r="N76" s="2023"/>
      <c r="O76" s="2023"/>
      <c r="P76" s="2023"/>
      <c r="Q76" s="2023"/>
      <c r="R76" s="2023"/>
      <c r="S76" s="2023"/>
      <c r="T76" s="2023"/>
      <c r="U76" s="2023"/>
    </row>
    <row r="77" spans="1:39" ht="62.45" hidden="1" customHeight="1">
      <c r="A77" s="188"/>
      <c r="B77" s="2024" t="s">
        <v>688</v>
      </c>
      <c r="C77" s="2024"/>
      <c r="D77" s="2024"/>
      <c r="E77" s="2024"/>
      <c r="F77" s="2024"/>
      <c r="G77" s="2024"/>
      <c r="H77" s="2024"/>
      <c r="I77" s="2024"/>
      <c r="J77" s="2024"/>
      <c r="K77" s="2024"/>
      <c r="L77" s="2024"/>
      <c r="M77" s="2024"/>
      <c r="N77" s="2024"/>
      <c r="O77" s="2024"/>
      <c r="P77" s="2024"/>
      <c r="Q77" s="2024"/>
      <c r="R77" s="2024"/>
      <c r="S77" s="2024"/>
      <c r="T77" s="2024"/>
      <c r="U77" s="2024"/>
    </row>
    <row r="78" spans="1:39" ht="30" hidden="1" customHeight="1">
      <c r="A78" s="188"/>
      <c r="B78" s="2023" t="s">
        <v>684</v>
      </c>
      <c r="C78" s="2023"/>
      <c r="D78" s="2023"/>
      <c r="E78" s="2023"/>
      <c r="F78" s="2023"/>
      <c r="G78" s="2023"/>
      <c r="H78" s="2023"/>
      <c r="I78" s="2023"/>
      <c r="J78" s="2023"/>
      <c r="K78" s="2023"/>
      <c r="L78" s="2023"/>
      <c r="M78" s="2023"/>
      <c r="N78" s="2023"/>
      <c r="O78" s="2023"/>
      <c r="P78" s="2023"/>
      <c r="Q78" s="2023"/>
      <c r="R78" s="2023"/>
      <c r="S78" s="2023"/>
      <c r="T78" s="2023"/>
      <c r="U78" s="2023"/>
    </row>
    <row r="79" spans="1:39" ht="20.25" hidden="1" customHeight="1">
      <c r="A79" s="188"/>
      <c r="B79" s="2024" t="s">
        <v>686</v>
      </c>
      <c r="C79" s="2024"/>
      <c r="D79" s="2024"/>
      <c r="E79" s="2024"/>
      <c r="F79" s="2024"/>
      <c r="G79" s="2024"/>
      <c r="H79" s="2024"/>
      <c r="I79" s="2024"/>
      <c r="J79" s="2024"/>
      <c r="K79" s="2024"/>
      <c r="L79" s="2024"/>
      <c r="M79" s="2024"/>
      <c r="N79" s="2024"/>
      <c r="O79" s="2024"/>
      <c r="P79" s="2024"/>
      <c r="Q79" s="2024"/>
      <c r="R79" s="2024"/>
      <c r="S79" s="2024"/>
      <c r="T79" s="2024"/>
      <c r="U79" s="2024"/>
    </row>
    <row r="80" spans="1:39" hidden="1">
      <c r="A80" s="188"/>
      <c r="B80" s="2023" t="s">
        <v>687</v>
      </c>
      <c r="C80" s="2023"/>
      <c r="D80" s="2023"/>
      <c r="E80" s="2023"/>
      <c r="F80" s="2023"/>
      <c r="G80" s="2023"/>
      <c r="H80" s="2023"/>
      <c r="I80" s="2023"/>
      <c r="J80" s="2023"/>
      <c r="K80" s="2023"/>
      <c r="L80" s="2023"/>
      <c r="M80" s="2023"/>
      <c r="N80" s="2023"/>
      <c r="O80" s="2023"/>
      <c r="P80" s="2023"/>
      <c r="Q80" s="2023"/>
      <c r="R80" s="2023"/>
      <c r="S80" s="2023"/>
      <c r="T80" s="2023"/>
      <c r="U80" s="2023"/>
    </row>
    <row r="81" spans="2:21" hidden="1">
      <c r="B81" s="2023" t="s">
        <v>689</v>
      </c>
      <c r="C81" s="2023"/>
      <c r="D81" s="2023"/>
      <c r="E81" s="2023"/>
      <c r="F81" s="2023"/>
      <c r="G81" s="2023"/>
      <c r="H81" s="2023"/>
      <c r="I81" s="2023"/>
      <c r="J81" s="2023"/>
      <c r="K81" s="2023"/>
      <c r="L81" s="2023"/>
      <c r="M81" s="2023"/>
      <c r="N81" s="2023"/>
      <c r="O81" s="2023"/>
      <c r="P81" s="2023"/>
      <c r="Q81" s="2023"/>
      <c r="R81" s="2023"/>
      <c r="S81" s="2023"/>
      <c r="T81" s="2023"/>
      <c r="U81" s="2023"/>
    </row>
    <row r="82" spans="2:21" ht="31.35" customHeight="1">
      <c r="B82" s="2022"/>
      <c r="C82" s="2022"/>
      <c r="D82" s="2022"/>
      <c r="E82" s="2022"/>
      <c r="F82" s="2022"/>
      <c r="G82" s="2022"/>
      <c r="H82" s="2022"/>
      <c r="I82" s="2022"/>
      <c r="J82" s="2022"/>
      <c r="K82" s="2022"/>
      <c r="L82" s="2022"/>
      <c r="M82" s="2022"/>
      <c r="N82" s="2022"/>
      <c r="O82" s="2022"/>
      <c r="P82" s="2022"/>
      <c r="Q82" s="2022"/>
      <c r="R82" s="1639"/>
      <c r="S82" s="1639"/>
      <c r="T82" s="792"/>
      <c r="U82" s="1672"/>
    </row>
    <row r="83" spans="2:21" ht="31.35" customHeight="1">
      <c r="B83" s="2022"/>
      <c r="C83" s="2022"/>
      <c r="D83" s="2022"/>
      <c r="E83" s="2022"/>
      <c r="F83" s="2022"/>
      <c r="G83" s="2022"/>
      <c r="H83" s="2022"/>
      <c r="I83" s="2022"/>
      <c r="J83" s="2022"/>
      <c r="K83" s="2022"/>
      <c r="L83" s="2022"/>
      <c r="M83" s="2022"/>
      <c r="N83" s="2022"/>
      <c r="O83" s="2022"/>
      <c r="P83" s="2022"/>
      <c r="Q83" s="2022"/>
      <c r="R83" s="1639"/>
      <c r="S83" s="1639"/>
      <c r="T83" s="792"/>
      <c r="U83" s="1672"/>
    </row>
    <row r="84" spans="2:21" ht="15.75" customHeight="1">
      <c r="D84" s="454"/>
      <c r="E84" s="454"/>
      <c r="F84" s="454"/>
      <c r="G84" s="454"/>
      <c r="H84" s="454"/>
      <c r="I84" s="454"/>
      <c r="J84" s="454"/>
      <c r="K84" s="454"/>
      <c r="L84" s="454"/>
      <c r="M84" s="454"/>
      <c r="N84" s="454"/>
      <c r="O84" s="454"/>
      <c r="P84" s="454"/>
      <c r="Q84" s="454"/>
      <c r="R84" s="454"/>
      <c r="S84" s="454"/>
      <c r="T84" s="454"/>
      <c r="U84" s="1672"/>
    </row>
    <row r="85" spans="2:21" ht="15.75" customHeight="1">
      <c r="D85" s="454"/>
      <c r="E85" s="454"/>
      <c r="F85" s="454"/>
      <c r="G85" s="454"/>
      <c r="H85" s="454"/>
      <c r="I85" s="454"/>
      <c r="J85" s="454"/>
      <c r="K85" s="454"/>
      <c r="L85" s="454"/>
      <c r="M85" s="454"/>
      <c r="N85" s="454"/>
      <c r="O85" s="454"/>
      <c r="P85" s="454"/>
      <c r="Q85" s="454"/>
      <c r="R85" s="454"/>
      <c r="S85" s="454"/>
      <c r="T85" s="454"/>
      <c r="U85" s="1672"/>
    </row>
    <row r="86" spans="2:21" ht="15.75" customHeight="1">
      <c r="D86" s="454"/>
      <c r="E86" s="454"/>
      <c r="F86" s="454"/>
      <c r="G86" s="454"/>
      <c r="H86" s="454"/>
      <c r="I86" s="454"/>
      <c r="J86" s="454"/>
      <c r="K86" s="454"/>
      <c r="L86" s="454"/>
      <c r="M86" s="454"/>
      <c r="N86" s="454"/>
      <c r="O86" s="454"/>
      <c r="P86" s="454"/>
      <c r="Q86" s="454"/>
      <c r="R86" s="454"/>
      <c r="S86" s="454"/>
      <c r="T86" s="454"/>
      <c r="U86" s="1672"/>
    </row>
    <row r="87" spans="2:21" ht="15.75" customHeight="1">
      <c r="D87" s="454"/>
      <c r="E87" s="454"/>
      <c r="F87" s="454"/>
      <c r="G87" s="454"/>
      <c r="H87" s="454"/>
      <c r="I87" s="454"/>
      <c r="J87" s="454"/>
      <c r="K87" s="454"/>
      <c r="L87" s="454"/>
      <c r="M87" s="454"/>
      <c r="N87" s="454"/>
      <c r="O87" s="454"/>
      <c r="P87" s="454"/>
      <c r="Q87" s="454"/>
      <c r="R87" s="454"/>
      <c r="S87" s="454"/>
      <c r="T87" s="454"/>
      <c r="U87" s="1672"/>
    </row>
    <row r="88" spans="2:21" ht="15.75" customHeight="1">
      <c r="D88" s="454"/>
      <c r="E88" s="454"/>
      <c r="F88" s="454"/>
      <c r="G88" s="454"/>
      <c r="H88" s="454"/>
      <c r="I88" s="454"/>
      <c r="J88" s="454"/>
      <c r="K88" s="454"/>
      <c r="L88" s="454"/>
      <c r="M88" s="454"/>
      <c r="N88" s="454"/>
      <c r="O88" s="454"/>
      <c r="P88" s="454"/>
      <c r="Q88" s="454"/>
      <c r="R88" s="454"/>
      <c r="S88" s="454"/>
      <c r="T88" s="454"/>
      <c r="U88" s="1672"/>
    </row>
    <row r="89" spans="2:21" ht="15.75" customHeight="1">
      <c r="D89" s="454"/>
      <c r="E89" s="454"/>
      <c r="F89" s="454"/>
      <c r="G89" s="454"/>
      <c r="H89" s="454"/>
      <c r="I89" s="454"/>
      <c r="J89" s="454"/>
      <c r="K89" s="454"/>
      <c r="L89" s="454"/>
      <c r="M89" s="454"/>
      <c r="N89" s="454"/>
      <c r="O89" s="454"/>
      <c r="P89" s="454"/>
      <c r="Q89" s="454"/>
      <c r="R89" s="454"/>
      <c r="S89" s="454"/>
      <c r="T89" s="454"/>
      <c r="U89" s="1672"/>
    </row>
    <row r="90" spans="2:21" ht="15.75" customHeight="1">
      <c r="D90" s="454"/>
      <c r="E90" s="454"/>
      <c r="F90" s="454"/>
      <c r="G90" s="454"/>
      <c r="H90" s="454"/>
      <c r="I90" s="454"/>
      <c r="J90" s="454"/>
      <c r="K90" s="454"/>
      <c r="L90" s="454"/>
      <c r="M90" s="454"/>
      <c r="N90" s="454"/>
      <c r="O90" s="454"/>
      <c r="P90" s="454"/>
      <c r="Q90" s="454"/>
      <c r="R90" s="454"/>
      <c r="S90" s="454"/>
      <c r="T90" s="454"/>
      <c r="U90" s="1672"/>
    </row>
    <row r="91" spans="2:21" ht="15.75" customHeight="1">
      <c r="D91" s="454"/>
      <c r="E91" s="454"/>
      <c r="F91" s="454"/>
      <c r="G91" s="454"/>
      <c r="H91" s="454"/>
      <c r="I91" s="454"/>
      <c r="J91" s="454"/>
      <c r="K91" s="454"/>
      <c r="L91" s="454"/>
      <c r="M91" s="454"/>
      <c r="N91" s="454"/>
      <c r="O91" s="454"/>
      <c r="P91" s="454"/>
      <c r="Q91" s="454"/>
      <c r="R91" s="454"/>
      <c r="S91" s="454"/>
      <c r="T91" s="454"/>
      <c r="U91" s="1672"/>
    </row>
    <row r="92" spans="2:21" ht="15.75" customHeight="1">
      <c r="D92" s="454"/>
      <c r="E92" s="454"/>
      <c r="F92" s="454"/>
      <c r="G92" s="454"/>
      <c r="H92" s="454"/>
      <c r="I92" s="454"/>
      <c r="J92" s="454"/>
      <c r="K92" s="454"/>
      <c r="L92" s="454"/>
      <c r="M92" s="454"/>
      <c r="N92" s="454"/>
      <c r="O92" s="454"/>
      <c r="P92" s="454"/>
      <c r="Q92" s="454"/>
      <c r="R92" s="454"/>
      <c r="S92" s="454"/>
      <c r="T92" s="454"/>
      <c r="U92" s="1672"/>
    </row>
    <row r="93" spans="2:21" ht="15.75" customHeight="1">
      <c r="D93" s="454"/>
      <c r="E93" s="454"/>
      <c r="F93" s="454"/>
      <c r="G93" s="454"/>
      <c r="H93" s="454"/>
      <c r="I93" s="454"/>
      <c r="J93" s="454"/>
      <c r="K93" s="454"/>
      <c r="L93" s="454"/>
      <c r="M93" s="454"/>
      <c r="N93" s="454"/>
      <c r="O93" s="454"/>
      <c r="P93" s="454"/>
      <c r="Q93" s="454"/>
      <c r="R93" s="454"/>
      <c r="S93" s="454"/>
      <c r="T93" s="454"/>
    </row>
    <row r="94" spans="2:21" ht="15.75" customHeight="1">
      <c r="D94" s="454"/>
      <c r="E94" s="454"/>
      <c r="F94" s="454"/>
      <c r="G94" s="454"/>
      <c r="H94" s="454"/>
      <c r="I94" s="454"/>
      <c r="J94" s="454"/>
      <c r="K94" s="454"/>
      <c r="L94" s="454"/>
      <c r="M94" s="454"/>
      <c r="N94" s="454"/>
      <c r="O94" s="454"/>
      <c r="P94" s="454"/>
      <c r="Q94" s="454"/>
      <c r="R94" s="454"/>
      <c r="S94" s="454"/>
      <c r="T94" s="454"/>
    </row>
    <row r="95" spans="2:21" ht="15.75" customHeight="1">
      <c r="D95" s="454"/>
      <c r="E95" s="454"/>
      <c r="F95" s="454"/>
      <c r="G95" s="454"/>
      <c r="H95" s="454"/>
      <c r="I95" s="454"/>
      <c r="J95" s="454"/>
      <c r="K95" s="454"/>
      <c r="L95" s="454"/>
      <c r="M95" s="454"/>
      <c r="N95" s="454"/>
      <c r="O95" s="454"/>
      <c r="P95" s="454"/>
      <c r="Q95" s="454"/>
      <c r="R95" s="454"/>
      <c r="S95" s="454"/>
      <c r="T95" s="454"/>
    </row>
    <row r="96" spans="2:21" ht="15.75" customHeight="1">
      <c r="D96" s="454"/>
      <c r="E96" s="454"/>
      <c r="F96" s="454"/>
      <c r="G96" s="454"/>
      <c r="H96" s="454"/>
      <c r="I96" s="454"/>
      <c r="J96" s="454"/>
      <c r="K96" s="454"/>
      <c r="L96" s="454"/>
      <c r="M96" s="454"/>
      <c r="N96" s="454"/>
      <c r="O96" s="454"/>
      <c r="P96" s="454"/>
      <c r="Q96" s="454"/>
      <c r="R96" s="454"/>
      <c r="S96" s="454"/>
      <c r="T96" s="454"/>
    </row>
    <row r="97" spans="4:20" ht="15.75" customHeight="1">
      <c r="D97" s="454"/>
      <c r="E97" s="454"/>
      <c r="F97" s="454"/>
      <c r="G97" s="454"/>
      <c r="H97" s="454"/>
      <c r="I97" s="454"/>
      <c r="J97" s="454"/>
      <c r="K97" s="454"/>
      <c r="L97" s="454"/>
      <c r="M97" s="454"/>
      <c r="N97" s="454"/>
      <c r="O97" s="454"/>
      <c r="P97" s="454"/>
      <c r="Q97" s="454"/>
      <c r="R97" s="454"/>
      <c r="S97" s="454"/>
      <c r="T97" s="454"/>
    </row>
    <row r="98" spans="4:20" ht="15.75" customHeight="1">
      <c r="D98" s="454"/>
      <c r="E98" s="454"/>
      <c r="F98" s="454"/>
      <c r="G98" s="454"/>
      <c r="H98" s="454"/>
      <c r="I98" s="454"/>
      <c r="J98" s="454"/>
      <c r="K98" s="454"/>
      <c r="L98" s="454"/>
      <c r="M98" s="454"/>
      <c r="N98" s="454"/>
      <c r="O98" s="454"/>
      <c r="P98" s="454"/>
      <c r="Q98" s="454"/>
      <c r="R98" s="454"/>
      <c r="S98" s="454"/>
      <c r="T98" s="454"/>
    </row>
    <row r="99" spans="4:20" ht="15.75" customHeight="1">
      <c r="D99" s="454"/>
      <c r="E99" s="454"/>
      <c r="F99" s="454"/>
      <c r="G99" s="454"/>
      <c r="H99" s="454"/>
      <c r="I99" s="454"/>
      <c r="J99" s="454"/>
      <c r="K99" s="454"/>
      <c r="L99" s="454"/>
      <c r="M99" s="454"/>
      <c r="N99" s="454"/>
      <c r="O99" s="454"/>
      <c r="P99" s="454"/>
      <c r="Q99" s="454"/>
      <c r="R99" s="454"/>
      <c r="S99" s="454"/>
      <c r="T99" s="454"/>
    </row>
    <row r="100" spans="4:20" ht="15.75" customHeight="1">
      <c r="D100" s="454"/>
      <c r="E100" s="454"/>
      <c r="F100" s="454"/>
      <c r="G100" s="454"/>
      <c r="H100" s="454"/>
      <c r="I100" s="454"/>
      <c r="J100" s="454"/>
      <c r="K100" s="454"/>
      <c r="L100" s="454"/>
      <c r="M100" s="454"/>
      <c r="N100" s="454"/>
      <c r="O100" s="454"/>
      <c r="P100" s="454"/>
      <c r="Q100" s="454"/>
      <c r="R100" s="454"/>
      <c r="S100" s="454"/>
      <c r="T100" s="454"/>
    </row>
    <row r="101" spans="4:20" ht="15.75" customHeight="1">
      <c r="D101" s="454"/>
      <c r="E101" s="454"/>
      <c r="F101" s="454"/>
      <c r="G101" s="454"/>
      <c r="H101" s="454"/>
      <c r="I101" s="454"/>
      <c r="J101" s="454"/>
      <c r="K101" s="454"/>
      <c r="L101" s="454"/>
      <c r="M101" s="454"/>
      <c r="N101" s="454"/>
      <c r="O101" s="454"/>
      <c r="P101" s="454"/>
      <c r="Q101" s="454"/>
      <c r="R101" s="454"/>
      <c r="S101" s="454"/>
      <c r="T101" s="454"/>
    </row>
    <row r="102" spans="4:20" ht="15.75" customHeight="1">
      <c r="D102" s="454"/>
      <c r="E102" s="454"/>
      <c r="F102" s="454"/>
      <c r="G102" s="454"/>
      <c r="H102" s="454"/>
      <c r="I102" s="454"/>
      <c r="J102" s="454"/>
      <c r="K102" s="454"/>
      <c r="L102" s="454"/>
      <c r="M102" s="454"/>
      <c r="N102" s="454"/>
      <c r="O102" s="454"/>
      <c r="P102" s="454"/>
      <c r="Q102" s="454"/>
      <c r="R102" s="454"/>
      <c r="S102" s="454"/>
      <c r="T102" s="454"/>
    </row>
    <row r="103" spans="4:20" ht="15.75" customHeight="1">
      <c r="D103" s="454"/>
      <c r="E103" s="454"/>
      <c r="F103" s="454"/>
      <c r="G103" s="454"/>
      <c r="H103" s="454"/>
      <c r="I103" s="454"/>
      <c r="J103" s="454"/>
      <c r="K103" s="454"/>
      <c r="L103" s="454"/>
      <c r="M103" s="454"/>
      <c r="N103" s="454"/>
      <c r="O103" s="454"/>
      <c r="P103" s="454"/>
      <c r="Q103" s="454"/>
      <c r="R103" s="454"/>
      <c r="S103" s="454"/>
      <c r="T103" s="454"/>
    </row>
    <row r="104" spans="4:20" ht="15.75" customHeight="1">
      <c r="D104" s="454"/>
      <c r="E104" s="454"/>
      <c r="F104" s="454"/>
      <c r="G104" s="454"/>
      <c r="H104" s="454"/>
      <c r="I104" s="454"/>
      <c r="J104" s="454"/>
      <c r="K104" s="454"/>
      <c r="L104" s="454"/>
      <c r="M104" s="454"/>
      <c r="N104" s="454"/>
      <c r="O104" s="454"/>
      <c r="P104" s="454"/>
      <c r="Q104" s="454"/>
      <c r="R104" s="454"/>
      <c r="S104" s="454"/>
      <c r="T104" s="454"/>
    </row>
    <row r="105" spans="4:20" ht="15.75" customHeight="1">
      <c r="D105" s="454"/>
      <c r="E105" s="454"/>
      <c r="F105" s="454"/>
      <c r="G105" s="454"/>
      <c r="H105" s="454"/>
      <c r="I105" s="454"/>
      <c r="J105" s="454"/>
      <c r="K105" s="454"/>
      <c r="L105" s="454"/>
      <c r="M105" s="454"/>
      <c r="N105" s="454"/>
      <c r="O105" s="454"/>
      <c r="P105" s="454"/>
      <c r="Q105" s="454"/>
      <c r="R105" s="454"/>
      <c r="S105" s="454"/>
      <c r="T105" s="454"/>
    </row>
    <row r="106" spans="4:20" ht="15.75" customHeight="1">
      <c r="D106" s="454"/>
      <c r="E106" s="454"/>
      <c r="F106" s="454"/>
      <c r="G106" s="454"/>
      <c r="H106" s="454"/>
      <c r="I106" s="454"/>
      <c r="J106" s="454"/>
      <c r="K106" s="454"/>
      <c r="L106" s="454"/>
      <c r="M106" s="454"/>
      <c r="N106" s="454"/>
      <c r="O106" s="454"/>
      <c r="P106" s="454"/>
      <c r="Q106" s="454"/>
      <c r="R106" s="454"/>
      <c r="S106" s="454"/>
      <c r="T106" s="454"/>
    </row>
    <row r="107" spans="4:20" ht="15.75" customHeight="1">
      <c r="D107" s="454"/>
      <c r="E107" s="454"/>
      <c r="F107" s="454"/>
      <c r="G107" s="454"/>
      <c r="H107" s="454"/>
      <c r="I107" s="454"/>
      <c r="J107" s="454"/>
      <c r="K107" s="454"/>
      <c r="L107" s="454"/>
      <c r="M107" s="454"/>
      <c r="N107" s="454"/>
      <c r="O107" s="454"/>
      <c r="P107" s="454"/>
      <c r="Q107" s="454"/>
      <c r="R107" s="454"/>
      <c r="S107" s="454"/>
      <c r="T107" s="454"/>
    </row>
    <row r="108" spans="4:20" ht="15.75" customHeight="1">
      <c r="D108" s="454"/>
      <c r="E108" s="454"/>
      <c r="F108" s="454"/>
      <c r="G108" s="454"/>
      <c r="H108" s="454"/>
      <c r="I108" s="454"/>
      <c r="J108" s="454"/>
      <c r="K108" s="454"/>
      <c r="L108" s="454"/>
      <c r="M108" s="454"/>
      <c r="N108" s="454"/>
      <c r="O108" s="454"/>
      <c r="P108" s="454"/>
      <c r="Q108" s="454"/>
      <c r="R108" s="454"/>
      <c r="S108" s="454"/>
      <c r="T108" s="454"/>
    </row>
    <row r="109" spans="4:20" ht="15.75" customHeight="1">
      <c r="D109" s="454"/>
      <c r="E109" s="454"/>
      <c r="F109" s="454"/>
      <c r="G109" s="454"/>
      <c r="H109" s="454"/>
      <c r="I109" s="454"/>
      <c r="J109" s="454"/>
      <c r="K109" s="454"/>
      <c r="L109" s="454"/>
      <c r="M109" s="454"/>
      <c r="N109" s="454"/>
      <c r="O109" s="454"/>
      <c r="P109" s="454"/>
      <c r="Q109" s="454"/>
      <c r="R109" s="454"/>
      <c r="S109" s="454"/>
      <c r="T109" s="454"/>
    </row>
    <row r="110" spans="4:20" ht="15.75" customHeight="1">
      <c r="D110" s="454"/>
      <c r="E110" s="454"/>
      <c r="F110" s="454"/>
      <c r="G110" s="454"/>
      <c r="H110" s="454"/>
      <c r="I110" s="454"/>
      <c r="J110" s="454"/>
      <c r="K110" s="454"/>
      <c r="L110" s="454"/>
      <c r="M110" s="454"/>
      <c r="N110" s="454"/>
      <c r="O110" s="454"/>
      <c r="P110" s="454"/>
      <c r="Q110" s="454"/>
      <c r="R110" s="454"/>
      <c r="S110" s="454"/>
      <c r="T110" s="454"/>
    </row>
    <row r="111" spans="4:20" ht="15.75" customHeight="1">
      <c r="D111" s="454"/>
      <c r="E111" s="454"/>
      <c r="F111" s="454"/>
      <c r="G111" s="454"/>
      <c r="H111" s="454"/>
      <c r="I111" s="454"/>
      <c r="J111" s="454"/>
      <c r="K111" s="454"/>
      <c r="L111" s="454"/>
      <c r="M111" s="454"/>
      <c r="N111" s="454"/>
      <c r="O111" s="454"/>
      <c r="P111" s="454"/>
      <c r="Q111" s="454"/>
      <c r="R111" s="454"/>
      <c r="S111" s="454"/>
      <c r="T111" s="454"/>
    </row>
    <row r="112" spans="4:20" ht="15.75" customHeight="1">
      <c r="D112" s="454"/>
      <c r="E112" s="454"/>
      <c r="F112" s="454"/>
      <c r="G112" s="454"/>
      <c r="H112" s="454"/>
      <c r="I112" s="454"/>
      <c r="J112" s="454"/>
      <c r="K112" s="454"/>
      <c r="L112" s="454"/>
      <c r="M112" s="454"/>
      <c r="N112" s="454"/>
      <c r="O112" s="454"/>
      <c r="P112" s="454"/>
      <c r="Q112" s="454"/>
      <c r="R112" s="454"/>
      <c r="S112" s="454"/>
      <c r="T112" s="454"/>
    </row>
    <row r="113" spans="4:20" ht="15.75" customHeight="1">
      <c r="D113" s="454"/>
      <c r="E113" s="454"/>
      <c r="F113" s="454"/>
      <c r="G113" s="454"/>
      <c r="H113" s="454"/>
      <c r="I113" s="454"/>
      <c r="J113" s="454"/>
      <c r="K113" s="454"/>
      <c r="L113" s="454"/>
      <c r="M113" s="454"/>
      <c r="N113" s="454"/>
      <c r="O113" s="454"/>
      <c r="P113" s="454"/>
      <c r="Q113" s="454"/>
      <c r="R113" s="454"/>
      <c r="S113" s="454"/>
      <c r="T113" s="454"/>
    </row>
    <row r="114" spans="4:20" ht="15.75" customHeight="1">
      <c r="D114" s="454"/>
      <c r="E114" s="454"/>
      <c r="F114" s="454"/>
      <c r="G114" s="454"/>
      <c r="H114" s="454"/>
      <c r="I114" s="454"/>
      <c r="J114" s="454"/>
      <c r="K114" s="454"/>
      <c r="L114" s="454"/>
      <c r="M114" s="454"/>
      <c r="N114" s="454"/>
      <c r="O114" s="454"/>
      <c r="P114" s="454"/>
      <c r="Q114" s="454"/>
      <c r="R114" s="454"/>
      <c r="S114" s="454"/>
      <c r="T114" s="454"/>
    </row>
  </sheetData>
  <mergeCells count="29">
    <mergeCell ref="U72:U73"/>
    <mergeCell ref="A1:U1"/>
    <mergeCell ref="C5:C6"/>
    <mergeCell ref="B83:Q83"/>
    <mergeCell ref="B81:U81"/>
    <mergeCell ref="B79:U79"/>
    <mergeCell ref="B80:U80"/>
    <mergeCell ref="B78:U78"/>
    <mergeCell ref="A75:B75"/>
    <mergeCell ref="B76:U76"/>
    <mergeCell ref="B77:U77"/>
    <mergeCell ref="B82:Q82"/>
    <mergeCell ref="A5:A6"/>
    <mergeCell ref="B5:B6"/>
    <mergeCell ref="U20:U21"/>
    <mergeCell ref="A2:U2"/>
    <mergeCell ref="A3:U3"/>
    <mergeCell ref="E5:K5"/>
    <mergeCell ref="U37:U42"/>
    <mergeCell ref="U28:U34"/>
    <mergeCell ref="D5:D6"/>
    <mergeCell ref="Q5:T5"/>
    <mergeCell ref="U67:U69"/>
    <mergeCell ref="AN6:AN7"/>
    <mergeCell ref="A4:U4"/>
    <mergeCell ref="U5:U6"/>
    <mergeCell ref="W5:W6"/>
    <mergeCell ref="X5:X6"/>
    <mergeCell ref="L5:P5"/>
  </mergeCells>
  <printOptions horizontalCentered="1"/>
  <pageMargins left="0.39370078740157483" right="0.39370078740157483" top="0.6692913385826772" bottom="0.55118110236220474" header="0.31496062992125984" footer="0.27559055118110237"/>
  <pageSetup paperSize="9" scale="85" fitToHeight="0" orientation="landscape" r:id="rId1"/>
  <headerFooter>
    <oddFooter>&amp;C&amp;"Times New Roman,Regular"&amp;11Page &amp;P</oddFooter>
    <evenFooter>Page &amp;P</evenFooter>
  </headerFooter>
  <rowBreaks count="1" manualBreakCount="1">
    <brk id="86" max="16383" man="1"/>
  </rowBreaks>
  <legacyDrawing r:id="rId2"/>
</worksheet>
</file>

<file path=xl/worksheets/sheet1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BU157"/>
  <sheetViews>
    <sheetView zoomScaleNormal="100" workbookViewId="0">
      <pane xSplit="23" ySplit="15" topLeftCell="AM16" activePane="bottomRight" state="frozen"/>
      <selection activeCell="AP143" sqref="AP143"/>
      <selection pane="topRight" activeCell="AP143" sqref="AP143"/>
      <selection pane="bottomLeft" activeCell="AP143" sqref="AP143"/>
      <selection pane="bottomRight" activeCell="AX16" sqref="AX16"/>
    </sheetView>
  </sheetViews>
  <sheetFormatPr defaultColWidth="9" defaultRowHeight="16.5" customHeight="1"/>
  <cols>
    <col min="1" max="1" width="4.875" style="1004" customWidth="1"/>
    <col min="2" max="2" width="29.125" style="1003" customWidth="1"/>
    <col min="3" max="3" width="6.375" style="1100" customWidth="1"/>
    <col min="4" max="5" width="9.25" style="1099" hidden="1" customWidth="1"/>
    <col min="6" max="6" width="8.125" style="1099" customWidth="1"/>
    <col min="7" max="7" width="7.875" style="1099" hidden="1" customWidth="1"/>
    <col min="8" max="8" width="8.75" style="1099" hidden="1" customWidth="1"/>
    <col min="9" max="20" width="7.875" style="1099" hidden="1" customWidth="1"/>
    <col min="21" max="21" width="7.25" style="1099" hidden="1" customWidth="1"/>
    <col min="22" max="22" width="7.375" style="1099" hidden="1" customWidth="1"/>
    <col min="23" max="23" width="8.625" style="1099" customWidth="1"/>
    <col min="24" max="24" width="7" style="1099" hidden="1" customWidth="1"/>
    <col min="25" max="26" width="7.75" style="1099" hidden="1" customWidth="1"/>
    <col min="27" max="28" width="8.125" style="1099" hidden="1" customWidth="1"/>
    <col min="29" max="30" width="7.875" style="1099" hidden="1" customWidth="1"/>
    <col min="31" max="31" width="8.25" style="1099" hidden="1" customWidth="1"/>
    <col min="32" max="32" width="8.125" style="1099" hidden="1" customWidth="1"/>
    <col min="33" max="33" width="7" style="1099" hidden="1" customWidth="1"/>
    <col min="34" max="34" width="8.125" style="1099" hidden="1" customWidth="1"/>
    <col min="35" max="35" width="7" style="1099" hidden="1" customWidth="1"/>
    <col min="36" max="36" width="8.5" style="1099" hidden="1" customWidth="1"/>
    <col min="37" max="37" width="8.25" style="1099" hidden="1" customWidth="1"/>
    <col min="38" max="38" width="8.25" style="1099" customWidth="1"/>
    <col min="39" max="39" width="7" style="1099" customWidth="1"/>
    <col min="40" max="41" width="7.75" style="1099" customWidth="1"/>
    <col min="42" max="43" width="8.125" style="1099" customWidth="1"/>
    <col min="44" max="45" width="7.875" style="1099" customWidth="1"/>
    <col min="46" max="46" width="8.25" style="1099" customWidth="1"/>
    <col min="47" max="47" width="8.125" style="1099" customWidth="1"/>
    <col min="48" max="48" width="7" style="1099" customWidth="1"/>
    <col min="49" max="49" width="8.125" style="1099" customWidth="1"/>
    <col min="50" max="50" width="7" style="1099" customWidth="1"/>
    <col min="51" max="51" width="8.5" style="1099" customWidth="1"/>
    <col min="52" max="52" width="8.25" style="1099" customWidth="1"/>
    <col min="53" max="53" width="7.75" style="1099" customWidth="1"/>
    <col min="54" max="54" width="8.125" style="1099" customWidth="1"/>
    <col min="55" max="55" width="4" style="1003" customWidth="1"/>
    <col min="56" max="56" width="9.875" style="1045" customWidth="1"/>
    <col min="57" max="57" width="7" style="1046" customWidth="1"/>
    <col min="58" max="58" width="14.25" style="1003" customWidth="1"/>
    <col min="59" max="60" width="9" style="353" customWidth="1"/>
    <col min="61" max="61" width="18.875" style="353" customWidth="1"/>
    <col min="62" max="62" width="15" style="353" customWidth="1"/>
    <col min="63" max="68" width="9" style="353" customWidth="1"/>
    <col min="69" max="16384" width="9" style="353"/>
  </cols>
  <sheetData>
    <row r="1" spans="1:57" s="976" customFormat="1" ht="21.95" customHeight="1">
      <c r="A1" s="2030" t="s">
        <v>775</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030"/>
      <c r="AW1" s="2030"/>
      <c r="AX1" s="2030"/>
      <c r="AY1" s="2030"/>
      <c r="AZ1" s="2030"/>
      <c r="BA1" s="2030"/>
      <c r="BB1" s="2030"/>
      <c r="BC1" s="2030"/>
      <c r="BD1" s="975"/>
      <c r="BE1" s="975"/>
    </row>
    <row r="2" spans="1:57" s="976" customFormat="1" ht="21.95" customHeight="1">
      <c r="A2" s="2031" t="s">
        <v>55</v>
      </c>
      <c r="B2" s="2031"/>
      <c r="C2" s="2031"/>
      <c r="D2" s="2031"/>
      <c r="E2" s="2031"/>
      <c r="F2" s="2031"/>
      <c r="G2" s="2031"/>
      <c r="H2" s="2031"/>
      <c r="I2" s="2031"/>
      <c r="J2" s="2031"/>
      <c r="K2" s="2031"/>
      <c r="L2" s="2031"/>
      <c r="M2" s="2031"/>
      <c r="N2" s="2031"/>
      <c r="O2" s="2031"/>
      <c r="P2" s="2031"/>
      <c r="Q2" s="2031"/>
      <c r="R2" s="2031"/>
      <c r="S2" s="2031"/>
      <c r="T2" s="2031"/>
      <c r="U2" s="2031"/>
      <c r="V2" s="2031"/>
      <c r="W2" s="2031"/>
      <c r="X2" s="2031"/>
      <c r="Y2" s="2031"/>
      <c r="Z2" s="2031"/>
      <c r="AA2" s="2031"/>
      <c r="AB2" s="2031"/>
      <c r="AC2" s="2031"/>
      <c r="AD2" s="2031"/>
      <c r="AE2" s="2031"/>
      <c r="AF2" s="2031"/>
      <c r="AG2" s="2031"/>
      <c r="AH2" s="2031"/>
      <c r="AI2" s="2031"/>
      <c r="AJ2" s="2031"/>
      <c r="AK2" s="2031"/>
      <c r="AL2" s="2031"/>
      <c r="AM2" s="2031"/>
      <c r="AN2" s="2031"/>
      <c r="AO2" s="2031"/>
      <c r="AP2" s="2031"/>
      <c r="AQ2" s="2031"/>
      <c r="AR2" s="2031"/>
      <c r="AS2" s="2031"/>
      <c r="AT2" s="2031"/>
      <c r="AU2" s="2031"/>
      <c r="AV2" s="2031"/>
      <c r="AW2" s="2031"/>
      <c r="AX2" s="2031"/>
      <c r="AY2" s="2031"/>
      <c r="AZ2" s="2031"/>
      <c r="BA2" s="2031"/>
      <c r="BB2" s="2031"/>
      <c r="BC2" s="2031"/>
      <c r="BD2" s="975"/>
      <c r="BE2" s="975"/>
    </row>
    <row r="3" spans="1:57" s="976" customFormat="1" ht="21.95" customHeight="1">
      <c r="A3" s="2032" t="str">
        <f>'B1 Bieu TH '!A3:U3</f>
        <v>(Kèm theo Báo cáo số:  1525 /BC-UBND, ngày   30  tháng 5 năm 2025 của UBND huyện Mường Tè)</v>
      </c>
      <c r="B3" s="2032"/>
      <c r="C3" s="2032"/>
      <c r="D3" s="2032"/>
      <c r="E3" s="2032"/>
      <c r="F3" s="2032"/>
      <c r="G3" s="2032"/>
      <c r="H3" s="2032"/>
      <c r="I3" s="2032"/>
      <c r="J3" s="2032"/>
      <c r="K3" s="2032"/>
      <c r="L3" s="2032"/>
      <c r="M3" s="2032"/>
      <c r="N3" s="2032"/>
      <c r="O3" s="2032"/>
      <c r="P3" s="2032"/>
      <c r="Q3" s="2032"/>
      <c r="R3" s="2032"/>
      <c r="S3" s="2032"/>
      <c r="T3" s="2032"/>
      <c r="U3" s="2032"/>
      <c r="V3" s="2032"/>
      <c r="W3" s="2032"/>
      <c r="X3" s="2032"/>
      <c r="Y3" s="2032"/>
      <c r="Z3" s="2032"/>
      <c r="AA3" s="2032"/>
      <c r="AB3" s="2032"/>
      <c r="AC3" s="2032"/>
      <c r="AD3" s="2032"/>
      <c r="AE3" s="2032"/>
      <c r="AF3" s="2032"/>
      <c r="AG3" s="2032"/>
      <c r="AH3" s="2032"/>
      <c r="AI3" s="2032"/>
      <c r="AJ3" s="2032"/>
      <c r="AK3" s="2032"/>
      <c r="AL3" s="2032"/>
      <c r="AM3" s="2032"/>
      <c r="AN3" s="2032"/>
      <c r="AO3" s="2032"/>
      <c r="AP3" s="2032"/>
      <c r="AQ3" s="2032"/>
      <c r="AR3" s="2032"/>
      <c r="AS3" s="2032"/>
      <c r="AT3" s="2032"/>
      <c r="AU3" s="2032"/>
      <c r="AV3" s="2032"/>
      <c r="AW3" s="2032"/>
      <c r="AX3" s="2032"/>
      <c r="AY3" s="2032"/>
      <c r="AZ3" s="2032"/>
      <c r="BA3" s="2032"/>
      <c r="BB3" s="2032"/>
      <c r="BC3" s="2032"/>
      <c r="BD3" s="975"/>
      <c r="BE3" s="975"/>
    </row>
    <row r="4" spans="1:57" s="976" customFormat="1" ht="21.95" customHeight="1">
      <c r="A4" s="1051"/>
      <c r="B4" s="1051"/>
      <c r="C4" s="1051"/>
      <c r="D4" s="1052"/>
      <c r="E4" s="1052"/>
      <c r="F4" s="1052"/>
      <c r="G4" s="1052"/>
      <c r="H4" s="1052"/>
      <c r="I4" s="1052"/>
      <c r="J4" s="1052"/>
      <c r="K4" s="1052"/>
      <c r="L4" s="1052"/>
      <c r="M4" s="1052"/>
      <c r="N4" s="1052"/>
      <c r="O4" s="1052"/>
      <c r="P4" s="1052"/>
      <c r="Q4" s="1052"/>
      <c r="R4" s="1052"/>
      <c r="S4" s="1052"/>
      <c r="T4" s="1052"/>
      <c r="U4" s="1052"/>
      <c r="V4" s="1052"/>
      <c r="W4" s="1052"/>
      <c r="X4" s="1052"/>
      <c r="Y4" s="1052"/>
      <c r="Z4" s="1052"/>
      <c r="AA4" s="1052"/>
      <c r="AB4" s="1052"/>
      <c r="AC4" s="1052"/>
      <c r="AD4" s="1052"/>
      <c r="AE4" s="1052"/>
      <c r="AF4" s="1052"/>
      <c r="AG4" s="1052"/>
      <c r="AH4" s="1052"/>
      <c r="AI4" s="1052"/>
      <c r="AJ4" s="1052"/>
      <c r="AK4" s="1052"/>
      <c r="AL4" s="1052"/>
      <c r="AM4" s="1052"/>
      <c r="AN4" s="1052"/>
      <c r="AO4" s="1052"/>
      <c r="AP4" s="1052"/>
      <c r="AQ4" s="1052"/>
      <c r="AR4" s="1052"/>
      <c r="AS4" s="1052"/>
      <c r="AT4" s="1052"/>
      <c r="AU4" s="1052"/>
      <c r="AV4" s="1052"/>
      <c r="AW4" s="1052"/>
      <c r="AX4" s="1052"/>
      <c r="AY4" s="1052"/>
      <c r="AZ4" s="1052"/>
      <c r="BA4" s="1052"/>
      <c r="BB4" s="1052"/>
      <c r="BD4" s="978"/>
      <c r="BE4" s="979"/>
    </row>
    <row r="5" spans="1:57" s="1003" customFormat="1" ht="23.25" customHeight="1">
      <c r="A5" s="2033" t="s">
        <v>178</v>
      </c>
      <c r="B5" s="2033" t="s">
        <v>56</v>
      </c>
      <c r="C5" s="2033" t="s">
        <v>57</v>
      </c>
      <c r="D5" s="2035" t="s">
        <v>880</v>
      </c>
      <c r="E5" s="2035" t="s">
        <v>865</v>
      </c>
      <c r="F5" s="2035"/>
      <c r="G5" s="2035"/>
      <c r="H5" s="2035"/>
      <c r="I5" s="2035"/>
      <c r="J5" s="2035"/>
      <c r="K5" s="2035"/>
      <c r="L5" s="2035"/>
      <c r="M5" s="2035"/>
      <c r="N5" s="2035"/>
      <c r="O5" s="2035"/>
      <c r="P5" s="2035"/>
      <c r="Q5" s="2035"/>
      <c r="R5" s="2035"/>
      <c r="S5" s="2035"/>
      <c r="T5" s="2035"/>
      <c r="U5" s="2035"/>
      <c r="V5" s="2035"/>
      <c r="W5" s="2038" t="s">
        <v>952</v>
      </c>
      <c r="X5" s="2039"/>
      <c r="Y5" s="2039"/>
      <c r="Z5" s="2039"/>
      <c r="AA5" s="2039"/>
      <c r="AB5" s="2039"/>
      <c r="AC5" s="2039"/>
      <c r="AD5" s="2039"/>
      <c r="AE5" s="2039"/>
      <c r="AF5" s="2039"/>
      <c r="AG5" s="2039"/>
      <c r="AH5" s="2039"/>
      <c r="AI5" s="2039"/>
      <c r="AJ5" s="2039"/>
      <c r="AK5" s="2039"/>
      <c r="AL5" s="2039"/>
      <c r="AM5" s="2039"/>
      <c r="AN5" s="2039"/>
      <c r="AO5" s="2039"/>
      <c r="AP5" s="2039"/>
      <c r="AQ5" s="2039"/>
      <c r="AR5" s="2039"/>
      <c r="AS5" s="2039"/>
      <c r="AT5" s="2039"/>
      <c r="AU5" s="2039"/>
      <c r="AV5" s="2039"/>
      <c r="AW5" s="2039"/>
      <c r="AX5" s="2039"/>
      <c r="AY5" s="2039"/>
      <c r="AZ5" s="2040"/>
      <c r="BA5" s="2035" t="s">
        <v>9</v>
      </c>
      <c r="BB5" s="2035"/>
      <c r="BC5" s="2034" t="s">
        <v>656</v>
      </c>
      <c r="BD5" s="2029"/>
      <c r="BE5" s="2028"/>
    </row>
    <row r="6" spans="1:57" s="1003" customFormat="1" ht="21.95" customHeight="1">
      <c r="A6" s="2033"/>
      <c r="B6" s="2033"/>
      <c r="C6" s="2033"/>
      <c r="D6" s="2035"/>
      <c r="E6" s="2035" t="s">
        <v>11</v>
      </c>
      <c r="F6" s="2036" t="s">
        <v>972</v>
      </c>
      <c r="G6" s="1790"/>
      <c r="H6" s="2035" t="s">
        <v>797</v>
      </c>
      <c r="I6" s="2035" t="s">
        <v>882</v>
      </c>
      <c r="J6" s="2035"/>
      <c r="K6" s="2035"/>
      <c r="L6" s="2035"/>
      <c r="M6" s="2035"/>
      <c r="N6" s="2035"/>
      <c r="O6" s="2035"/>
      <c r="P6" s="2035"/>
      <c r="Q6" s="2035"/>
      <c r="R6" s="2035"/>
      <c r="S6" s="2035"/>
      <c r="T6" s="2035"/>
      <c r="U6" s="2035"/>
      <c r="V6" s="2035"/>
      <c r="W6" s="2036" t="s">
        <v>765</v>
      </c>
      <c r="X6" s="2035" t="s">
        <v>883</v>
      </c>
      <c r="Y6" s="2035"/>
      <c r="Z6" s="2035"/>
      <c r="AA6" s="2035"/>
      <c r="AB6" s="2035"/>
      <c r="AC6" s="2035"/>
      <c r="AD6" s="2035"/>
      <c r="AE6" s="2035"/>
      <c r="AF6" s="2035"/>
      <c r="AG6" s="2035"/>
      <c r="AH6" s="2035"/>
      <c r="AI6" s="2035"/>
      <c r="AJ6" s="2035"/>
      <c r="AK6" s="2035"/>
      <c r="AL6" s="2036" t="s">
        <v>973</v>
      </c>
      <c r="AM6" s="2035" t="s">
        <v>883</v>
      </c>
      <c r="AN6" s="2035"/>
      <c r="AO6" s="2035"/>
      <c r="AP6" s="2035"/>
      <c r="AQ6" s="2035"/>
      <c r="AR6" s="2035"/>
      <c r="AS6" s="2035"/>
      <c r="AT6" s="2035"/>
      <c r="AU6" s="2035"/>
      <c r="AV6" s="2035"/>
      <c r="AW6" s="2035"/>
      <c r="AX6" s="2035"/>
      <c r="AY6" s="2035"/>
      <c r="AZ6" s="2035"/>
      <c r="BA6" s="2035" t="s">
        <v>959</v>
      </c>
      <c r="BB6" s="2035" t="s">
        <v>960</v>
      </c>
      <c r="BC6" s="2034"/>
      <c r="BD6" s="2029"/>
      <c r="BE6" s="2028"/>
    </row>
    <row r="7" spans="1:57" s="1003" customFormat="1" ht="68.25" customHeight="1">
      <c r="A7" s="2033"/>
      <c r="B7" s="2033"/>
      <c r="C7" s="2033"/>
      <c r="D7" s="2035"/>
      <c r="E7" s="2035"/>
      <c r="F7" s="2037"/>
      <c r="G7" s="1790" t="s">
        <v>871</v>
      </c>
      <c r="H7" s="2035"/>
      <c r="I7" s="1794" t="s">
        <v>59</v>
      </c>
      <c r="J7" s="1794" t="s">
        <v>60</v>
      </c>
      <c r="K7" s="1794" t="s">
        <v>61</v>
      </c>
      <c r="L7" s="1794" t="s">
        <v>62</v>
      </c>
      <c r="M7" s="1794" t="s">
        <v>63</v>
      </c>
      <c r="N7" s="1794" t="s">
        <v>64</v>
      </c>
      <c r="O7" s="1794" t="s">
        <v>65</v>
      </c>
      <c r="P7" s="1794" t="s">
        <v>66</v>
      </c>
      <c r="Q7" s="1794" t="s">
        <v>67</v>
      </c>
      <c r="R7" s="1794" t="s">
        <v>68</v>
      </c>
      <c r="S7" s="1794" t="s">
        <v>69</v>
      </c>
      <c r="T7" s="1794" t="s">
        <v>70</v>
      </c>
      <c r="U7" s="1794" t="s">
        <v>71</v>
      </c>
      <c r="V7" s="1794" t="s">
        <v>72</v>
      </c>
      <c r="W7" s="2037"/>
      <c r="X7" s="1794" t="s">
        <v>937</v>
      </c>
      <c r="Y7" s="1794" t="s">
        <v>60</v>
      </c>
      <c r="Z7" s="1794" t="s">
        <v>61</v>
      </c>
      <c r="AA7" s="1794" t="s">
        <v>62</v>
      </c>
      <c r="AB7" s="1794" t="s">
        <v>63</v>
      </c>
      <c r="AC7" s="1794" t="s">
        <v>64</v>
      </c>
      <c r="AD7" s="1794" t="s">
        <v>65</v>
      </c>
      <c r="AE7" s="1794" t="s">
        <v>66</v>
      </c>
      <c r="AF7" s="1794" t="s">
        <v>67</v>
      </c>
      <c r="AG7" s="1794" t="s">
        <v>68</v>
      </c>
      <c r="AH7" s="1794" t="s">
        <v>69</v>
      </c>
      <c r="AI7" s="1794" t="s">
        <v>70</v>
      </c>
      <c r="AJ7" s="1794" t="s">
        <v>71</v>
      </c>
      <c r="AK7" s="1794" t="s">
        <v>72</v>
      </c>
      <c r="AL7" s="2037"/>
      <c r="AM7" s="1794" t="s">
        <v>937</v>
      </c>
      <c r="AN7" s="1794" t="s">
        <v>974</v>
      </c>
      <c r="AO7" s="1794" t="s">
        <v>975</v>
      </c>
      <c r="AP7" s="1794" t="s">
        <v>976</v>
      </c>
      <c r="AQ7" s="1794" t="s">
        <v>977</v>
      </c>
      <c r="AR7" s="1794" t="s">
        <v>978</v>
      </c>
      <c r="AS7" s="1794" t="s">
        <v>979</v>
      </c>
      <c r="AT7" s="1794" t="s">
        <v>980</v>
      </c>
      <c r="AU7" s="1794" t="s">
        <v>981</v>
      </c>
      <c r="AV7" s="1794" t="s">
        <v>982</v>
      </c>
      <c r="AW7" s="1794" t="s">
        <v>983</v>
      </c>
      <c r="AX7" s="1794" t="s">
        <v>984</v>
      </c>
      <c r="AY7" s="1794" t="s">
        <v>985</v>
      </c>
      <c r="AZ7" s="1794" t="s">
        <v>986</v>
      </c>
      <c r="BA7" s="2035"/>
      <c r="BB7" s="2035"/>
      <c r="BC7" s="2034"/>
      <c r="BD7" s="2029"/>
      <c r="BE7" s="2028"/>
    </row>
    <row r="8" spans="1:57" s="976" customFormat="1" ht="47.25" hidden="1" customHeight="1">
      <c r="A8" s="1794" t="s">
        <v>73</v>
      </c>
      <c r="B8" s="1796" t="s">
        <v>74</v>
      </c>
      <c r="C8" s="1791" t="s">
        <v>15</v>
      </c>
      <c r="D8" s="1792"/>
      <c r="E8" s="1792"/>
      <c r="F8" s="1792"/>
      <c r="G8" s="1792"/>
      <c r="H8" s="1792"/>
      <c r="I8" s="1792"/>
      <c r="J8" s="1792"/>
      <c r="K8" s="1792"/>
      <c r="L8" s="1792"/>
      <c r="M8" s="1792"/>
      <c r="N8" s="1792"/>
      <c r="O8" s="1792"/>
      <c r="P8" s="1792"/>
      <c r="Q8" s="1792"/>
      <c r="R8" s="1792"/>
      <c r="S8" s="1792"/>
      <c r="T8" s="1792"/>
      <c r="U8" s="1792"/>
      <c r="V8" s="1792"/>
      <c r="W8" s="1792"/>
      <c r="X8" s="1792"/>
      <c r="Y8" s="1792"/>
      <c r="Z8" s="1792"/>
      <c r="AA8" s="1792"/>
      <c r="AB8" s="1792"/>
      <c r="AC8" s="1792"/>
      <c r="AD8" s="1792"/>
      <c r="AE8" s="1792"/>
      <c r="AF8" s="1792"/>
      <c r="AG8" s="1792"/>
      <c r="AH8" s="1792"/>
      <c r="AI8" s="1792"/>
      <c r="AJ8" s="1792"/>
      <c r="AK8" s="1792"/>
      <c r="AL8" s="1792"/>
      <c r="AM8" s="1792"/>
      <c r="AN8" s="1792"/>
      <c r="AO8" s="1792"/>
      <c r="AP8" s="1792"/>
      <c r="AQ8" s="1792"/>
      <c r="AR8" s="1792"/>
      <c r="AS8" s="1792"/>
      <c r="AT8" s="1792"/>
      <c r="AU8" s="1792"/>
      <c r="AV8" s="1792"/>
      <c r="AW8" s="1792"/>
      <c r="AX8" s="1792"/>
      <c r="AY8" s="1792"/>
      <c r="AZ8" s="1792"/>
      <c r="BA8" s="1792"/>
      <c r="BB8" s="1792"/>
      <c r="BC8" s="1797"/>
      <c r="BD8" s="980"/>
      <c r="BE8" s="981"/>
    </row>
    <row r="9" spans="1:57" s="466" customFormat="1" ht="18.75" hidden="1" customHeight="1">
      <c r="A9" s="1790"/>
      <c r="B9" s="1798" t="s">
        <v>75</v>
      </c>
      <c r="C9" s="947" t="s">
        <v>15</v>
      </c>
      <c r="D9" s="1792"/>
      <c r="E9" s="1792"/>
      <c r="F9" s="1792"/>
      <c r="G9" s="1792"/>
      <c r="H9" s="1792"/>
      <c r="I9" s="1792"/>
      <c r="J9" s="1792"/>
      <c r="K9" s="1792"/>
      <c r="L9" s="1792"/>
      <c r="M9" s="1792"/>
      <c r="N9" s="1792"/>
      <c r="O9" s="1792"/>
      <c r="P9" s="1792"/>
      <c r="Q9" s="1792"/>
      <c r="R9" s="1792"/>
      <c r="S9" s="1792"/>
      <c r="T9" s="1792"/>
      <c r="U9" s="1792"/>
      <c r="V9" s="1792"/>
      <c r="W9" s="1792"/>
      <c r="X9" s="1792"/>
      <c r="Y9" s="1792"/>
      <c r="Z9" s="1792"/>
      <c r="AA9" s="1792"/>
      <c r="AB9" s="1792"/>
      <c r="AC9" s="1792"/>
      <c r="AD9" s="1792"/>
      <c r="AE9" s="1792"/>
      <c r="AF9" s="1792"/>
      <c r="AG9" s="1792"/>
      <c r="AH9" s="1792"/>
      <c r="AI9" s="1792"/>
      <c r="AJ9" s="1792"/>
      <c r="AK9" s="1792"/>
      <c r="AL9" s="1792"/>
      <c r="AM9" s="1792"/>
      <c r="AN9" s="1792"/>
      <c r="AO9" s="1792"/>
      <c r="AP9" s="1792"/>
      <c r="AQ9" s="1792"/>
      <c r="AR9" s="1792"/>
      <c r="AS9" s="1792"/>
      <c r="AT9" s="1792"/>
      <c r="AU9" s="1792"/>
      <c r="AV9" s="1792"/>
      <c r="AW9" s="1792"/>
      <c r="AX9" s="1792"/>
      <c r="AY9" s="1792"/>
      <c r="AZ9" s="1792"/>
      <c r="BA9" s="1792"/>
      <c r="BB9" s="1792"/>
      <c r="BC9" s="1799"/>
      <c r="BD9" s="982"/>
      <c r="BE9" s="393"/>
    </row>
    <row r="10" spans="1:57" s="466" customFormat="1" ht="18.75" hidden="1" customHeight="1">
      <c r="A10" s="1790"/>
      <c r="B10" s="1798" t="s">
        <v>76</v>
      </c>
      <c r="C10" s="947" t="s">
        <v>15</v>
      </c>
      <c r="D10" s="1792"/>
      <c r="E10" s="1792"/>
      <c r="F10" s="1792"/>
      <c r="G10" s="1792"/>
      <c r="H10" s="1792"/>
      <c r="I10" s="1792"/>
      <c r="J10" s="1792"/>
      <c r="K10" s="1792"/>
      <c r="L10" s="1792"/>
      <c r="M10" s="1792"/>
      <c r="N10" s="1792"/>
      <c r="O10" s="1792"/>
      <c r="P10" s="1792"/>
      <c r="Q10" s="1792"/>
      <c r="R10" s="1792"/>
      <c r="S10" s="1792"/>
      <c r="T10" s="1792"/>
      <c r="U10" s="1792"/>
      <c r="V10" s="1792"/>
      <c r="W10" s="1792"/>
      <c r="X10" s="1792"/>
      <c r="Y10" s="1792"/>
      <c r="Z10" s="1792"/>
      <c r="AA10" s="1792"/>
      <c r="AB10" s="1792"/>
      <c r="AC10" s="1792"/>
      <c r="AD10" s="1792"/>
      <c r="AE10" s="1792"/>
      <c r="AF10" s="1792"/>
      <c r="AG10" s="1792"/>
      <c r="AH10" s="1792"/>
      <c r="AI10" s="1792"/>
      <c r="AJ10" s="1792"/>
      <c r="AK10" s="1792"/>
      <c r="AL10" s="1792"/>
      <c r="AM10" s="1792"/>
      <c r="AN10" s="1792"/>
      <c r="AO10" s="1792"/>
      <c r="AP10" s="1792"/>
      <c r="AQ10" s="1792"/>
      <c r="AR10" s="1792"/>
      <c r="AS10" s="1792"/>
      <c r="AT10" s="1792"/>
      <c r="AU10" s="1792"/>
      <c r="AV10" s="1792"/>
      <c r="AW10" s="1792"/>
      <c r="AX10" s="1792"/>
      <c r="AY10" s="1792"/>
      <c r="AZ10" s="1792"/>
      <c r="BA10" s="1792"/>
      <c r="BB10" s="1792"/>
      <c r="BC10" s="1799"/>
      <c r="BD10" s="982"/>
      <c r="BE10" s="393"/>
    </row>
    <row r="11" spans="1:57" s="466" customFormat="1" ht="18.75" hidden="1" customHeight="1">
      <c r="A11" s="1790"/>
      <c r="B11" s="1798" t="s">
        <v>77</v>
      </c>
      <c r="C11" s="947" t="s">
        <v>15</v>
      </c>
      <c r="D11" s="1792"/>
      <c r="E11" s="1792"/>
      <c r="F11" s="1792"/>
      <c r="G11" s="1792"/>
      <c r="H11" s="1792"/>
      <c r="I11" s="1792"/>
      <c r="J11" s="1792"/>
      <c r="K11" s="1792"/>
      <c r="L11" s="1792"/>
      <c r="M11" s="1792"/>
      <c r="N11" s="1792"/>
      <c r="O11" s="1792"/>
      <c r="P11" s="1792"/>
      <c r="Q11" s="1792"/>
      <c r="R11" s="1792"/>
      <c r="S11" s="1792"/>
      <c r="T11" s="1792"/>
      <c r="U11" s="1792"/>
      <c r="V11" s="1792"/>
      <c r="W11" s="1792"/>
      <c r="X11" s="1792"/>
      <c r="Y11" s="1792"/>
      <c r="Z11" s="1792"/>
      <c r="AA11" s="1792"/>
      <c r="AB11" s="1792"/>
      <c r="AC11" s="1792"/>
      <c r="AD11" s="1792"/>
      <c r="AE11" s="1792"/>
      <c r="AF11" s="1792"/>
      <c r="AG11" s="1792"/>
      <c r="AH11" s="1792"/>
      <c r="AI11" s="1792"/>
      <c r="AJ11" s="1792"/>
      <c r="AK11" s="1792"/>
      <c r="AL11" s="1792"/>
      <c r="AM11" s="1792"/>
      <c r="AN11" s="1792"/>
      <c r="AO11" s="1792"/>
      <c r="AP11" s="1792"/>
      <c r="AQ11" s="1792"/>
      <c r="AR11" s="1792"/>
      <c r="AS11" s="1792"/>
      <c r="AT11" s="1792"/>
      <c r="AU11" s="1792"/>
      <c r="AV11" s="1792"/>
      <c r="AW11" s="1792"/>
      <c r="AX11" s="1792"/>
      <c r="AY11" s="1792"/>
      <c r="AZ11" s="1792"/>
      <c r="BA11" s="1792"/>
      <c r="BB11" s="1792"/>
      <c r="BC11" s="1799"/>
      <c r="BD11" s="982"/>
      <c r="BE11" s="393"/>
    </row>
    <row r="12" spans="1:57" s="466" customFormat="1" ht="18.75" hidden="1" customHeight="1">
      <c r="A12" s="1790"/>
      <c r="B12" s="1798" t="s">
        <v>78</v>
      </c>
      <c r="C12" s="947" t="s">
        <v>15</v>
      </c>
      <c r="D12" s="1792"/>
      <c r="E12" s="1792"/>
      <c r="F12" s="1792"/>
      <c r="G12" s="1792"/>
      <c r="H12" s="1792"/>
      <c r="I12" s="1792"/>
      <c r="J12" s="1792"/>
      <c r="K12" s="1792"/>
      <c r="L12" s="1792"/>
      <c r="M12" s="1792"/>
      <c r="N12" s="1792"/>
      <c r="O12" s="1792"/>
      <c r="P12" s="1792"/>
      <c r="Q12" s="1792"/>
      <c r="R12" s="1792"/>
      <c r="S12" s="1792"/>
      <c r="T12" s="1792"/>
      <c r="U12" s="1792"/>
      <c r="V12" s="1792"/>
      <c r="W12" s="1792"/>
      <c r="X12" s="1792"/>
      <c r="Y12" s="1792"/>
      <c r="Z12" s="1792"/>
      <c r="AA12" s="1792"/>
      <c r="AB12" s="1792"/>
      <c r="AC12" s="1792"/>
      <c r="AD12" s="1792"/>
      <c r="AE12" s="1792"/>
      <c r="AF12" s="1792"/>
      <c r="AG12" s="1792"/>
      <c r="AH12" s="1792"/>
      <c r="AI12" s="1792"/>
      <c r="AJ12" s="1792"/>
      <c r="AK12" s="1792"/>
      <c r="AL12" s="1792"/>
      <c r="AM12" s="1792"/>
      <c r="AN12" s="1792"/>
      <c r="AO12" s="1792"/>
      <c r="AP12" s="1792"/>
      <c r="AQ12" s="1792"/>
      <c r="AR12" s="1792"/>
      <c r="AS12" s="1792"/>
      <c r="AT12" s="1792"/>
      <c r="AU12" s="1792"/>
      <c r="AV12" s="1792"/>
      <c r="AW12" s="1792"/>
      <c r="AX12" s="1792"/>
      <c r="AY12" s="1792"/>
      <c r="AZ12" s="1792"/>
      <c r="BA12" s="1792"/>
      <c r="BB12" s="1792"/>
      <c r="BC12" s="1799"/>
      <c r="BD12" s="982"/>
      <c r="BE12" s="393"/>
    </row>
    <row r="13" spans="1:57" s="466" customFormat="1" ht="18.75" hidden="1" customHeight="1">
      <c r="A13" s="1790"/>
      <c r="B13" s="1798" t="s">
        <v>79</v>
      </c>
      <c r="C13" s="947" t="s">
        <v>15</v>
      </c>
      <c r="D13" s="1792"/>
      <c r="E13" s="1792"/>
      <c r="F13" s="1792"/>
      <c r="G13" s="1792"/>
      <c r="H13" s="1792"/>
      <c r="I13" s="1792"/>
      <c r="J13" s="1792"/>
      <c r="K13" s="1792"/>
      <c r="L13" s="1792"/>
      <c r="M13" s="1792"/>
      <c r="N13" s="1792"/>
      <c r="O13" s="1792"/>
      <c r="P13" s="1792"/>
      <c r="Q13" s="1792"/>
      <c r="R13" s="1792"/>
      <c r="S13" s="1792"/>
      <c r="T13" s="1792"/>
      <c r="U13" s="1792"/>
      <c r="V13" s="1792"/>
      <c r="W13" s="1792"/>
      <c r="X13" s="1792"/>
      <c r="Y13" s="1792"/>
      <c r="Z13" s="1792"/>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9"/>
      <c r="BD13" s="982"/>
      <c r="BE13" s="393"/>
    </row>
    <row r="14" spans="1:57" s="466" customFormat="1" ht="18.75" hidden="1" customHeight="1">
      <c r="A14" s="1790"/>
      <c r="B14" s="1798" t="s">
        <v>80</v>
      </c>
      <c r="C14" s="947" t="s">
        <v>15</v>
      </c>
      <c r="D14" s="1792"/>
      <c r="E14" s="1792"/>
      <c r="F14" s="1792"/>
      <c r="G14" s="1792"/>
      <c r="H14" s="1792"/>
      <c r="I14" s="1792"/>
      <c r="J14" s="1792"/>
      <c r="K14" s="1792"/>
      <c r="L14" s="1792"/>
      <c r="M14" s="1792"/>
      <c r="N14" s="1792"/>
      <c r="O14" s="1792"/>
      <c r="P14" s="1792"/>
      <c r="Q14" s="1792"/>
      <c r="R14" s="1792"/>
      <c r="S14" s="1792"/>
      <c r="T14" s="1792"/>
      <c r="U14" s="1792"/>
      <c r="V14" s="1792"/>
      <c r="W14" s="1792"/>
      <c r="X14" s="1792"/>
      <c r="Y14" s="1792"/>
      <c r="Z14" s="1792"/>
      <c r="AA14" s="1792"/>
      <c r="AB14" s="1792"/>
      <c r="AC14" s="1792"/>
      <c r="AD14" s="1792"/>
      <c r="AE14" s="1792"/>
      <c r="AF14" s="1792"/>
      <c r="AG14" s="1792"/>
      <c r="AH14" s="1792"/>
      <c r="AI14" s="1792"/>
      <c r="AJ14" s="1792"/>
      <c r="AK14" s="1792"/>
      <c r="AL14" s="1792"/>
      <c r="AM14" s="1792"/>
      <c r="AN14" s="1792"/>
      <c r="AO14" s="1792"/>
      <c r="AP14" s="1792"/>
      <c r="AQ14" s="1792"/>
      <c r="AR14" s="1792"/>
      <c r="AS14" s="1792"/>
      <c r="AT14" s="1792"/>
      <c r="AU14" s="1792"/>
      <c r="AV14" s="1792"/>
      <c r="AW14" s="1792"/>
      <c r="AX14" s="1792"/>
      <c r="AY14" s="1792"/>
      <c r="AZ14" s="1792"/>
      <c r="BA14" s="1792"/>
      <c r="BB14" s="1792"/>
      <c r="BC14" s="1799"/>
      <c r="BD14" s="982"/>
      <c r="BE14" s="393"/>
    </row>
    <row r="15" spans="1:57" s="466" customFormat="1" ht="1.5" hidden="1" customHeight="1">
      <c r="A15" s="1790"/>
      <c r="B15" s="1798" t="s">
        <v>81</v>
      </c>
      <c r="C15" s="947" t="s">
        <v>15</v>
      </c>
      <c r="D15" s="1792"/>
      <c r="E15" s="1792"/>
      <c r="F15" s="1792"/>
      <c r="G15" s="1792"/>
      <c r="H15" s="1792"/>
      <c r="I15" s="1792"/>
      <c r="J15" s="1792"/>
      <c r="K15" s="1792"/>
      <c r="L15" s="1792"/>
      <c r="M15" s="1792"/>
      <c r="N15" s="1792"/>
      <c r="O15" s="1792"/>
      <c r="P15" s="1792"/>
      <c r="Q15" s="1792"/>
      <c r="R15" s="1792"/>
      <c r="S15" s="1792"/>
      <c r="T15" s="1792"/>
      <c r="U15" s="1792"/>
      <c r="V15" s="1792"/>
      <c r="W15" s="1792"/>
      <c r="X15" s="1792"/>
      <c r="Y15" s="1792"/>
      <c r="Z15" s="1792"/>
      <c r="AA15" s="1792"/>
      <c r="AB15" s="1792"/>
      <c r="AC15" s="1792"/>
      <c r="AD15" s="1792"/>
      <c r="AE15" s="1792"/>
      <c r="AF15" s="1792"/>
      <c r="AG15" s="1792"/>
      <c r="AH15" s="1792"/>
      <c r="AI15" s="1792"/>
      <c r="AJ15" s="1792"/>
      <c r="AK15" s="1792"/>
      <c r="AL15" s="1792"/>
      <c r="AM15" s="1792"/>
      <c r="AN15" s="1792"/>
      <c r="AO15" s="1792"/>
      <c r="AP15" s="1792"/>
      <c r="AQ15" s="1792"/>
      <c r="AR15" s="1792"/>
      <c r="AS15" s="1792"/>
      <c r="AT15" s="1792"/>
      <c r="AU15" s="1792"/>
      <c r="AV15" s="1792"/>
      <c r="AW15" s="1792"/>
      <c r="AX15" s="1792"/>
      <c r="AY15" s="1792"/>
      <c r="AZ15" s="1792"/>
      <c r="BA15" s="1792"/>
      <c r="BB15" s="1792"/>
      <c r="BC15" s="1799"/>
      <c r="BD15" s="982"/>
      <c r="BE15" s="393"/>
    </row>
    <row r="16" spans="1:57" s="490" customFormat="1" ht="21.95" customHeight="1">
      <c r="A16" s="1790" t="s">
        <v>73</v>
      </c>
      <c r="B16" s="1800" t="s">
        <v>82</v>
      </c>
      <c r="C16" s="947"/>
      <c r="D16" s="1801"/>
      <c r="E16" s="1801"/>
      <c r="F16" s="1801"/>
      <c r="G16" s="1801"/>
      <c r="H16" s="1801"/>
      <c r="I16" s="1801"/>
      <c r="J16" s="1801"/>
      <c r="K16" s="1801"/>
      <c r="L16" s="1801"/>
      <c r="M16" s="1801"/>
      <c r="N16" s="1801"/>
      <c r="O16" s="1801"/>
      <c r="P16" s="1801"/>
      <c r="Q16" s="1801"/>
      <c r="R16" s="1801"/>
      <c r="S16" s="1801"/>
      <c r="T16" s="1801"/>
      <c r="U16" s="1801"/>
      <c r="V16" s="1801"/>
      <c r="W16" s="1801"/>
      <c r="X16" s="1801"/>
      <c r="Y16" s="1801"/>
      <c r="Z16" s="1801"/>
      <c r="AA16" s="1801"/>
      <c r="AB16" s="1801"/>
      <c r="AC16" s="1801"/>
      <c r="AD16" s="1801"/>
      <c r="AE16" s="1801"/>
      <c r="AF16" s="1801"/>
      <c r="AG16" s="1801"/>
      <c r="AH16" s="1801"/>
      <c r="AI16" s="1801"/>
      <c r="AJ16" s="1801"/>
      <c r="AK16" s="1801"/>
      <c r="AL16" s="1801"/>
      <c r="AM16" s="1801"/>
      <c r="AN16" s="1801"/>
      <c r="AO16" s="1801"/>
      <c r="AP16" s="1801"/>
      <c r="AQ16" s="1801"/>
      <c r="AR16" s="1801"/>
      <c r="AS16" s="1801"/>
      <c r="AT16" s="1801"/>
      <c r="AU16" s="1801"/>
      <c r="AV16" s="1801"/>
      <c r="AW16" s="1801"/>
      <c r="AX16" s="1801"/>
      <c r="AY16" s="1801"/>
      <c r="AZ16" s="1801"/>
      <c r="BA16" s="1801"/>
      <c r="BB16" s="1801"/>
      <c r="BC16" s="1799"/>
      <c r="BD16" s="982"/>
      <c r="BE16" s="983"/>
    </row>
    <row r="17" spans="1:73" s="1003" customFormat="1" ht="21.95" customHeight="1">
      <c r="A17" s="1794" t="s">
        <v>83</v>
      </c>
      <c r="B17" s="925" t="s">
        <v>84</v>
      </c>
      <c r="C17" s="1791"/>
      <c r="D17" s="1801"/>
      <c r="E17" s="1801"/>
      <c r="F17" s="1801"/>
      <c r="G17" s="1801"/>
      <c r="H17" s="1801"/>
      <c r="I17" s="1802"/>
      <c r="J17" s="1801"/>
      <c r="K17" s="1801"/>
      <c r="L17" s="1801"/>
      <c r="M17" s="1801"/>
      <c r="N17" s="1801"/>
      <c r="O17" s="1801"/>
      <c r="P17" s="1801"/>
      <c r="Q17" s="1801"/>
      <c r="R17" s="1801"/>
      <c r="S17" s="1801"/>
      <c r="T17" s="1801"/>
      <c r="U17" s="1801"/>
      <c r="V17" s="1801"/>
      <c r="W17" s="1801"/>
      <c r="X17" s="1801"/>
      <c r="Y17" s="1801"/>
      <c r="Z17" s="1801"/>
      <c r="AA17" s="1801"/>
      <c r="AB17" s="1801"/>
      <c r="AC17" s="1801"/>
      <c r="AD17" s="1801"/>
      <c r="AE17" s="1801"/>
      <c r="AF17" s="1801"/>
      <c r="AG17" s="1801"/>
      <c r="AH17" s="1801"/>
      <c r="AI17" s="1801"/>
      <c r="AJ17" s="1801"/>
      <c r="AK17" s="1801"/>
      <c r="AL17" s="1801"/>
      <c r="AM17" s="1801"/>
      <c r="AN17" s="1801"/>
      <c r="AO17" s="1801"/>
      <c r="AP17" s="1801"/>
      <c r="AQ17" s="1801"/>
      <c r="AR17" s="1801"/>
      <c r="AS17" s="1801"/>
      <c r="AT17" s="1801"/>
      <c r="AU17" s="1801"/>
      <c r="AV17" s="1801"/>
      <c r="AW17" s="1801"/>
      <c r="AX17" s="1801"/>
      <c r="AY17" s="1801"/>
      <c r="AZ17" s="1801"/>
      <c r="BA17" s="1801"/>
      <c r="BB17" s="1801"/>
      <c r="BC17" s="1797"/>
      <c r="BD17" s="980"/>
      <c r="BE17" s="127"/>
    </row>
    <row r="18" spans="1:73" s="1054" customFormat="1" ht="21.95" customHeight="1">
      <c r="A18" s="1803"/>
      <c r="B18" s="1804" t="s">
        <v>85</v>
      </c>
      <c r="C18" s="1803" t="s">
        <v>32</v>
      </c>
      <c r="D18" s="926">
        <v>17500.677</v>
      </c>
      <c r="E18" s="926">
        <f t="shared" ref="E18:F18" si="0">E19+E20</f>
        <v>17649.617000000002</v>
      </c>
      <c r="F18" s="926">
        <f t="shared" si="0"/>
        <v>5374.7380000000003</v>
      </c>
      <c r="G18" s="926">
        <f t="shared" ref="G18:H18" si="1">G19+G20</f>
        <v>9788.4760000000006</v>
      </c>
      <c r="H18" s="926">
        <f t="shared" si="1"/>
        <v>18342.778328</v>
      </c>
      <c r="I18" s="926">
        <f t="shared" ref="I18:V18" si="2">I19+I20</f>
        <v>131.86750000000001</v>
      </c>
      <c r="J18" s="926">
        <f t="shared" si="2"/>
        <v>1512.9299999999998</v>
      </c>
      <c r="K18" s="926">
        <f t="shared" si="2"/>
        <v>1904.95</v>
      </c>
      <c r="L18" s="926">
        <f t="shared" si="2"/>
        <v>1002.6991199999999</v>
      </c>
      <c r="M18" s="926">
        <f t="shared" si="2"/>
        <v>2107.864208</v>
      </c>
      <c r="N18" s="926">
        <f t="shared" si="2"/>
        <v>560.97900000000004</v>
      </c>
      <c r="O18" s="926">
        <f t="shared" si="2"/>
        <v>1791.8199999999997</v>
      </c>
      <c r="P18" s="926">
        <f t="shared" si="2"/>
        <v>918.75199999999995</v>
      </c>
      <c r="Q18" s="926">
        <f t="shared" si="2"/>
        <v>1057.3847000000001</v>
      </c>
      <c r="R18" s="926">
        <f t="shared" si="2"/>
        <v>724.66500000000008</v>
      </c>
      <c r="S18" s="926">
        <f t="shared" si="2"/>
        <v>1254.2718000000002</v>
      </c>
      <c r="T18" s="926">
        <f t="shared" si="2"/>
        <v>1407.4090000000001</v>
      </c>
      <c r="U18" s="926">
        <f t="shared" si="2"/>
        <v>1271.4559999999999</v>
      </c>
      <c r="V18" s="926">
        <f t="shared" si="2"/>
        <v>2695.73</v>
      </c>
      <c r="W18" s="926">
        <f t="shared" ref="W18:AZ18" si="3">W19+W20</f>
        <v>17859.988800000003</v>
      </c>
      <c r="X18" s="926">
        <f t="shared" si="3"/>
        <v>112.39000000000001</v>
      </c>
      <c r="Y18" s="926">
        <f t="shared" si="3"/>
        <v>1465.02</v>
      </c>
      <c r="Z18" s="926">
        <f t="shared" si="3"/>
        <v>1890</v>
      </c>
      <c r="AA18" s="926">
        <f t="shared" si="3"/>
        <v>1005.2499999999999</v>
      </c>
      <c r="AB18" s="926">
        <f t="shared" si="3"/>
        <v>2099.17</v>
      </c>
      <c r="AC18" s="926">
        <f t="shared" si="3"/>
        <v>560.34300000000007</v>
      </c>
      <c r="AD18" s="926">
        <f t="shared" si="3"/>
        <v>1718.08</v>
      </c>
      <c r="AE18" s="926">
        <f t="shared" si="3"/>
        <v>908.702</v>
      </c>
      <c r="AF18" s="926">
        <f t="shared" si="3"/>
        <v>1068.135</v>
      </c>
      <c r="AG18" s="926">
        <f t="shared" si="3"/>
        <v>720.97800000000007</v>
      </c>
      <c r="AH18" s="926">
        <f t="shared" si="3"/>
        <v>1226.8499999999999</v>
      </c>
      <c r="AI18" s="926">
        <f t="shared" si="3"/>
        <v>1285.48</v>
      </c>
      <c r="AJ18" s="926">
        <f t="shared" si="3"/>
        <v>1269.5927999999999</v>
      </c>
      <c r="AK18" s="926">
        <f t="shared" si="3"/>
        <v>2529.998</v>
      </c>
      <c r="AL18" s="936">
        <f t="shared" si="3"/>
        <v>5501.8376000000007</v>
      </c>
      <c r="AM18" s="936">
        <f t="shared" si="3"/>
        <v>72.069999999999993</v>
      </c>
      <c r="AN18" s="936">
        <f t="shared" si="3"/>
        <v>710.19999999999993</v>
      </c>
      <c r="AO18" s="936">
        <f t="shared" si="3"/>
        <v>813.15</v>
      </c>
      <c r="AP18" s="936">
        <f t="shared" si="3"/>
        <v>289.12</v>
      </c>
      <c r="AQ18" s="936">
        <f t="shared" si="3"/>
        <v>1167.3</v>
      </c>
      <c r="AR18" s="936">
        <f t="shared" si="3"/>
        <v>164.89999999999998</v>
      </c>
      <c r="AS18" s="936">
        <f t="shared" si="3"/>
        <v>319.60000000000002</v>
      </c>
      <c r="AT18" s="936">
        <f t="shared" si="3"/>
        <v>263.37399999999997</v>
      </c>
      <c r="AU18" s="936">
        <f t="shared" si="3"/>
        <v>567.39359999999999</v>
      </c>
      <c r="AV18" s="936">
        <f t="shared" si="3"/>
        <v>164.15</v>
      </c>
      <c r="AW18" s="936">
        <f t="shared" si="3"/>
        <v>231.2</v>
      </c>
      <c r="AX18" s="936">
        <f t="shared" si="3"/>
        <v>112</v>
      </c>
      <c r="AY18" s="936">
        <f t="shared" si="3"/>
        <v>288.8</v>
      </c>
      <c r="AZ18" s="936">
        <f t="shared" si="3"/>
        <v>338.58000000000004</v>
      </c>
      <c r="BA18" s="1825">
        <f>AL18/F18%</f>
        <v>102.36475898918238</v>
      </c>
      <c r="BB18" s="1825">
        <f>AL18/W18%</f>
        <v>30.805381020171748</v>
      </c>
      <c r="BC18" s="1805"/>
      <c r="BD18" s="984"/>
      <c r="BE18" s="985"/>
      <c r="BF18" s="1054">
        <f>H18-D18</f>
        <v>842.10132800000065</v>
      </c>
      <c r="BQ18" s="1055" t="e">
        <f>#REF!-#REF!</f>
        <v>#REF!</v>
      </c>
    </row>
    <row r="19" spans="1:73" s="1056" customFormat="1" ht="21.95" customHeight="1">
      <c r="A19" s="1806"/>
      <c r="B19" s="1807" t="s">
        <v>854</v>
      </c>
      <c r="C19" s="1806" t="s">
        <v>32</v>
      </c>
      <c r="D19" s="927">
        <v>13561.216999999999</v>
      </c>
      <c r="E19" s="927">
        <f t="shared" ref="E19:F19" si="4">E24</f>
        <v>13649.852000000001</v>
      </c>
      <c r="F19" s="927">
        <f t="shared" si="4"/>
        <v>2679.1480000000001</v>
      </c>
      <c r="G19" s="927">
        <f t="shared" ref="G19:H19" si="5">G24</f>
        <v>5850.3860000000004</v>
      </c>
      <c r="H19" s="927">
        <f t="shared" si="5"/>
        <v>14307.068328000001</v>
      </c>
      <c r="I19" s="927">
        <f t="shared" ref="I19:V19" si="6">I24</f>
        <v>98.267499999999998</v>
      </c>
      <c r="J19" s="927">
        <f t="shared" si="6"/>
        <v>1353.33</v>
      </c>
      <c r="K19" s="927">
        <f t="shared" si="6"/>
        <v>1570.79</v>
      </c>
      <c r="L19" s="927">
        <f t="shared" si="6"/>
        <v>832.09911999999986</v>
      </c>
      <c r="M19" s="927">
        <f t="shared" si="6"/>
        <v>1989.7142079999999</v>
      </c>
      <c r="N19" s="927">
        <f t="shared" si="6"/>
        <v>402.589</v>
      </c>
      <c r="O19" s="927">
        <f t="shared" si="6"/>
        <v>1219.5999999999999</v>
      </c>
      <c r="P19" s="927">
        <f t="shared" si="6"/>
        <v>533.75199999999995</v>
      </c>
      <c r="Q19" s="927">
        <f t="shared" si="6"/>
        <v>595.69470000000001</v>
      </c>
      <c r="R19" s="927">
        <f t="shared" si="6"/>
        <v>523.06500000000005</v>
      </c>
      <c r="S19" s="927">
        <f t="shared" si="6"/>
        <v>941.37180000000012</v>
      </c>
      <c r="T19" s="927">
        <f t="shared" si="6"/>
        <v>1235.4090000000001</v>
      </c>
      <c r="U19" s="927">
        <f t="shared" si="6"/>
        <v>925.65599999999995</v>
      </c>
      <c r="V19" s="927">
        <f t="shared" si="6"/>
        <v>2085.73</v>
      </c>
      <c r="W19" s="927">
        <f t="shared" ref="W19:AZ19" si="7">W24</f>
        <v>13854.286800000002</v>
      </c>
      <c r="X19" s="927">
        <f t="shared" si="7"/>
        <v>85.350000000000009</v>
      </c>
      <c r="Y19" s="927">
        <f t="shared" si="7"/>
        <v>1318.92</v>
      </c>
      <c r="Z19" s="927">
        <f t="shared" si="7"/>
        <v>1555.45</v>
      </c>
      <c r="AA19" s="927">
        <f t="shared" si="7"/>
        <v>831.99999999999989</v>
      </c>
      <c r="AB19" s="927">
        <f t="shared" si="7"/>
        <v>1987.12</v>
      </c>
      <c r="AC19" s="927">
        <f t="shared" si="7"/>
        <v>400.54300000000001</v>
      </c>
      <c r="AD19" s="927">
        <f t="shared" si="7"/>
        <v>1150.4799999999998</v>
      </c>
      <c r="AE19" s="927">
        <f t="shared" si="7"/>
        <v>533.39</v>
      </c>
      <c r="AF19" s="927">
        <f t="shared" si="7"/>
        <v>595.48500000000001</v>
      </c>
      <c r="AG19" s="927">
        <f t="shared" si="7"/>
        <v>519.97800000000007</v>
      </c>
      <c r="AH19" s="927">
        <f t="shared" si="7"/>
        <v>920.85</v>
      </c>
      <c r="AI19" s="927">
        <f t="shared" si="7"/>
        <v>1110.48</v>
      </c>
      <c r="AJ19" s="927">
        <f t="shared" si="7"/>
        <v>922.79279999999994</v>
      </c>
      <c r="AK19" s="927">
        <f t="shared" si="7"/>
        <v>1921.4479999999999</v>
      </c>
      <c r="AL19" s="935">
        <f t="shared" si="7"/>
        <v>2790.6936000000005</v>
      </c>
      <c r="AM19" s="935">
        <f t="shared" si="7"/>
        <v>45.03</v>
      </c>
      <c r="AN19" s="935">
        <f t="shared" si="7"/>
        <v>604.79999999999995</v>
      </c>
      <c r="AO19" s="935">
        <f t="shared" si="7"/>
        <v>554.4</v>
      </c>
      <c r="AP19" s="935">
        <f t="shared" si="7"/>
        <v>193.92</v>
      </c>
      <c r="AQ19" s="935">
        <f t="shared" si="7"/>
        <v>1092.5</v>
      </c>
      <c r="AR19" s="935">
        <f t="shared" si="7"/>
        <v>66.3</v>
      </c>
      <c r="AS19" s="935">
        <f t="shared" si="7"/>
        <v>0</v>
      </c>
      <c r="AT19" s="935">
        <f t="shared" si="7"/>
        <v>15.4</v>
      </c>
      <c r="AU19" s="935">
        <f t="shared" si="7"/>
        <v>191.34359999999998</v>
      </c>
      <c r="AV19" s="935">
        <f t="shared" si="7"/>
        <v>0</v>
      </c>
      <c r="AW19" s="935">
        <f t="shared" si="7"/>
        <v>0</v>
      </c>
      <c r="AX19" s="935">
        <f t="shared" si="7"/>
        <v>0</v>
      </c>
      <c r="AY19" s="935">
        <f t="shared" si="7"/>
        <v>27</v>
      </c>
      <c r="AZ19" s="935">
        <f t="shared" si="7"/>
        <v>0</v>
      </c>
      <c r="BA19" s="928">
        <f t="shared" ref="BA19:BA33" si="8">AL19/F19%</f>
        <v>104.16347286525419</v>
      </c>
      <c r="BB19" s="928">
        <f t="shared" ref="BB19:BB33" si="9">AL19/W19%</f>
        <v>20.143177633654876</v>
      </c>
      <c r="BC19" s="1808"/>
      <c r="BD19" s="986"/>
      <c r="BE19" s="987"/>
      <c r="BG19" s="1057"/>
      <c r="BH19" s="1058"/>
    </row>
    <row r="20" spans="1:73" s="1059" customFormat="1" ht="21.95" customHeight="1">
      <c r="A20" s="1806"/>
      <c r="B20" s="1807" t="s">
        <v>86</v>
      </c>
      <c r="C20" s="1806" t="s">
        <v>32</v>
      </c>
      <c r="D20" s="927">
        <v>3939.46</v>
      </c>
      <c r="E20" s="927">
        <f t="shared" ref="E20:F20" si="10">E43</f>
        <v>3999.7649999999999</v>
      </c>
      <c r="F20" s="927">
        <f t="shared" si="10"/>
        <v>2695.59</v>
      </c>
      <c r="G20" s="927">
        <f t="shared" ref="G20:H20" si="11">G43</f>
        <v>3938.09</v>
      </c>
      <c r="H20" s="927">
        <f t="shared" si="11"/>
        <v>4035.71</v>
      </c>
      <c r="I20" s="927">
        <f t="shared" ref="I20:V20" si="12">I43</f>
        <v>33.6</v>
      </c>
      <c r="J20" s="927">
        <f t="shared" si="12"/>
        <v>159.6</v>
      </c>
      <c r="K20" s="927">
        <f t="shared" si="12"/>
        <v>334.16</v>
      </c>
      <c r="L20" s="927">
        <f t="shared" si="12"/>
        <v>170.6</v>
      </c>
      <c r="M20" s="927">
        <f t="shared" si="12"/>
        <v>118.14999999999999</v>
      </c>
      <c r="N20" s="927">
        <f t="shared" si="12"/>
        <v>158.39000000000001</v>
      </c>
      <c r="O20" s="927">
        <f t="shared" si="12"/>
        <v>572.21999999999991</v>
      </c>
      <c r="P20" s="927">
        <f t="shared" si="12"/>
        <v>385</v>
      </c>
      <c r="Q20" s="927">
        <f t="shared" si="12"/>
        <v>461.69000000000005</v>
      </c>
      <c r="R20" s="927">
        <f t="shared" si="12"/>
        <v>201.6</v>
      </c>
      <c r="S20" s="927">
        <f t="shared" si="12"/>
        <v>312.90000000000009</v>
      </c>
      <c r="T20" s="927">
        <f t="shared" si="12"/>
        <v>172</v>
      </c>
      <c r="U20" s="927">
        <f t="shared" si="12"/>
        <v>345.8</v>
      </c>
      <c r="V20" s="927">
        <f t="shared" si="12"/>
        <v>610</v>
      </c>
      <c r="W20" s="927">
        <f t="shared" ref="W20:AZ20" si="13">W43</f>
        <v>4005.7020000000002</v>
      </c>
      <c r="X20" s="927">
        <f t="shared" si="13"/>
        <v>27.04</v>
      </c>
      <c r="Y20" s="927">
        <f t="shared" si="13"/>
        <v>146.1</v>
      </c>
      <c r="Z20" s="927">
        <f t="shared" si="13"/>
        <v>334.55</v>
      </c>
      <c r="AA20" s="927">
        <f t="shared" si="13"/>
        <v>173.25</v>
      </c>
      <c r="AB20" s="927">
        <f t="shared" si="13"/>
        <v>112.05</v>
      </c>
      <c r="AC20" s="927">
        <f t="shared" si="13"/>
        <v>159.80000000000001</v>
      </c>
      <c r="AD20" s="927">
        <f t="shared" si="13"/>
        <v>567.6</v>
      </c>
      <c r="AE20" s="927">
        <f t="shared" si="13"/>
        <v>375.31200000000001</v>
      </c>
      <c r="AF20" s="927">
        <f t="shared" si="13"/>
        <v>472.65</v>
      </c>
      <c r="AG20" s="927">
        <f t="shared" si="13"/>
        <v>201</v>
      </c>
      <c r="AH20" s="927">
        <f t="shared" si="13"/>
        <v>306</v>
      </c>
      <c r="AI20" s="927">
        <f t="shared" si="13"/>
        <v>175</v>
      </c>
      <c r="AJ20" s="927">
        <f t="shared" si="13"/>
        <v>346.8</v>
      </c>
      <c r="AK20" s="927">
        <f t="shared" si="13"/>
        <v>608.55000000000007</v>
      </c>
      <c r="AL20" s="935">
        <f t="shared" si="13"/>
        <v>2711.1440000000002</v>
      </c>
      <c r="AM20" s="935">
        <f t="shared" si="13"/>
        <v>27.04</v>
      </c>
      <c r="AN20" s="935">
        <f t="shared" si="13"/>
        <v>105.4</v>
      </c>
      <c r="AO20" s="935">
        <f t="shared" si="13"/>
        <v>258.75</v>
      </c>
      <c r="AP20" s="935">
        <f t="shared" si="13"/>
        <v>95.2</v>
      </c>
      <c r="AQ20" s="935">
        <f t="shared" si="13"/>
        <v>74.8</v>
      </c>
      <c r="AR20" s="935">
        <f t="shared" si="13"/>
        <v>98.6</v>
      </c>
      <c r="AS20" s="935">
        <f t="shared" si="13"/>
        <v>319.60000000000002</v>
      </c>
      <c r="AT20" s="935">
        <f t="shared" si="13"/>
        <v>247.97399999999999</v>
      </c>
      <c r="AU20" s="935">
        <f t="shared" si="13"/>
        <v>376.05</v>
      </c>
      <c r="AV20" s="935">
        <f t="shared" si="13"/>
        <v>164.15</v>
      </c>
      <c r="AW20" s="935">
        <f t="shared" si="13"/>
        <v>231.2</v>
      </c>
      <c r="AX20" s="935">
        <f t="shared" si="13"/>
        <v>112</v>
      </c>
      <c r="AY20" s="935">
        <f t="shared" si="13"/>
        <v>261.8</v>
      </c>
      <c r="AZ20" s="935">
        <f t="shared" si="13"/>
        <v>338.58000000000004</v>
      </c>
      <c r="BA20" s="928">
        <f t="shared" si="8"/>
        <v>100.57701653441363</v>
      </c>
      <c r="BB20" s="928">
        <f t="shared" si="9"/>
        <v>67.682119139167128</v>
      </c>
      <c r="BC20" s="1809"/>
      <c r="BD20" s="986"/>
      <c r="BE20" s="987"/>
    </row>
    <row r="21" spans="1:73" s="1060" customFormat="1" ht="21.95" customHeight="1">
      <c r="A21" s="929">
        <v>1</v>
      </c>
      <c r="B21" s="1810" t="s">
        <v>586</v>
      </c>
      <c r="C21" s="1811" t="s">
        <v>87</v>
      </c>
      <c r="D21" s="930">
        <v>2877.17</v>
      </c>
      <c r="E21" s="930">
        <f t="shared" ref="E21:F21" si="14">E25+E29+E33</f>
        <v>2918.4700000000003</v>
      </c>
      <c r="F21" s="931">
        <f t="shared" si="14"/>
        <v>2029.5</v>
      </c>
      <c r="G21" s="931">
        <f t="shared" ref="G21:H21" si="15">G25+G29+G33</f>
        <v>2947.39</v>
      </c>
      <c r="H21" s="931">
        <f t="shared" si="15"/>
        <v>2947.3500000000004</v>
      </c>
      <c r="I21" s="930">
        <f t="shared" ref="I21:V21" si="16">I25+I29+I33</f>
        <v>17.810000000000002</v>
      </c>
      <c r="J21" s="930">
        <f t="shared" si="16"/>
        <v>242.9</v>
      </c>
      <c r="K21" s="930">
        <f t="shared" si="16"/>
        <v>285</v>
      </c>
      <c r="L21" s="930">
        <f t="shared" si="16"/>
        <v>181.64</v>
      </c>
      <c r="M21" s="930">
        <f t="shared" si="16"/>
        <v>367.74</v>
      </c>
      <c r="N21" s="930">
        <f t="shared" si="16"/>
        <v>114.28999999999999</v>
      </c>
      <c r="O21" s="930">
        <f t="shared" si="16"/>
        <v>249</v>
      </c>
      <c r="P21" s="930">
        <f t="shared" si="16"/>
        <v>163.99</v>
      </c>
      <c r="Q21" s="930">
        <f t="shared" si="16"/>
        <v>156.28</v>
      </c>
      <c r="R21" s="930">
        <f t="shared" si="16"/>
        <v>122.9</v>
      </c>
      <c r="S21" s="930">
        <f t="shared" si="16"/>
        <v>175.4</v>
      </c>
      <c r="T21" s="930">
        <f t="shared" si="16"/>
        <v>198.3</v>
      </c>
      <c r="U21" s="930">
        <f t="shared" si="16"/>
        <v>206.2</v>
      </c>
      <c r="V21" s="930">
        <f t="shared" si="16"/>
        <v>465.9</v>
      </c>
      <c r="W21" s="930">
        <f t="shared" ref="W21:AZ22" si="17">W25+W29+W33</f>
        <v>2944.5000000000005</v>
      </c>
      <c r="X21" s="930">
        <f t="shared" si="17"/>
        <v>17.8</v>
      </c>
      <c r="Y21" s="930">
        <f t="shared" si="17"/>
        <v>240</v>
      </c>
      <c r="Z21" s="930">
        <f t="shared" si="17"/>
        <v>285</v>
      </c>
      <c r="AA21" s="930">
        <f t="shared" si="17"/>
        <v>181.6</v>
      </c>
      <c r="AB21" s="930">
        <f t="shared" si="17"/>
        <v>367.7</v>
      </c>
      <c r="AC21" s="930">
        <f t="shared" si="17"/>
        <v>114.4</v>
      </c>
      <c r="AD21" s="930">
        <f t="shared" si="17"/>
        <v>249</v>
      </c>
      <c r="AE21" s="930">
        <f t="shared" si="17"/>
        <v>164</v>
      </c>
      <c r="AF21" s="930">
        <f t="shared" si="17"/>
        <v>156.30000000000001</v>
      </c>
      <c r="AG21" s="930">
        <f t="shared" si="17"/>
        <v>122.9</v>
      </c>
      <c r="AH21" s="930">
        <f t="shared" si="17"/>
        <v>175.4</v>
      </c>
      <c r="AI21" s="930">
        <f t="shared" si="17"/>
        <v>198.3</v>
      </c>
      <c r="AJ21" s="930">
        <f t="shared" si="17"/>
        <v>206.2</v>
      </c>
      <c r="AK21" s="930">
        <f t="shared" si="17"/>
        <v>465.9</v>
      </c>
      <c r="AL21" s="1369">
        <f t="shared" si="17"/>
        <v>2032.9</v>
      </c>
      <c r="AM21" s="1369">
        <f t="shared" si="17"/>
        <v>9.9</v>
      </c>
      <c r="AN21" s="1369">
        <f t="shared" si="17"/>
        <v>108</v>
      </c>
      <c r="AO21" s="1369">
        <f t="shared" si="17"/>
        <v>123</v>
      </c>
      <c r="AP21" s="1369">
        <f t="shared" si="17"/>
        <v>60.4</v>
      </c>
      <c r="AQ21" s="1369">
        <f t="shared" si="17"/>
        <v>193</v>
      </c>
      <c r="AR21" s="1369">
        <f t="shared" si="17"/>
        <v>58</v>
      </c>
      <c r="AS21" s="1369">
        <f t="shared" si="17"/>
        <v>238</v>
      </c>
      <c r="AT21" s="1369">
        <f t="shared" si="17"/>
        <v>154.5</v>
      </c>
      <c r="AU21" s="1369">
        <f t="shared" si="17"/>
        <v>88.8</v>
      </c>
      <c r="AV21" s="1369">
        <f t="shared" si="17"/>
        <v>118</v>
      </c>
      <c r="AW21" s="1369">
        <f t="shared" si="17"/>
        <v>165</v>
      </c>
      <c r="AX21" s="1369">
        <f t="shared" si="17"/>
        <v>198.3</v>
      </c>
      <c r="AY21" s="1369">
        <f t="shared" si="17"/>
        <v>143</v>
      </c>
      <c r="AZ21" s="1369">
        <f t="shared" si="17"/>
        <v>375</v>
      </c>
      <c r="BA21" s="1825">
        <f t="shared" si="8"/>
        <v>100.16752894801675</v>
      </c>
      <c r="BB21" s="1825">
        <f t="shared" si="9"/>
        <v>69.040584139921876</v>
      </c>
      <c r="BC21" s="1812"/>
      <c r="BD21" s="1633"/>
      <c r="BE21" s="985"/>
    </row>
    <row r="22" spans="1:73" s="1062" customFormat="1" ht="21.95" customHeight="1">
      <c r="A22" s="1813"/>
      <c r="B22" s="1814" t="s">
        <v>88</v>
      </c>
      <c r="C22" s="1815" t="s">
        <v>87</v>
      </c>
      <c r="D22" s="1816">
        <v>2877.17</v>
      </c>
      <c r="E22" s="1816">
        <f t="shared" ref="E22:F22" si="18">E26+E30+E34</f>
        <v>2918.4700000000003</v>
      </c>
      <c r="F22" s="1816">
        <f t="shared" si="18"/>
        <v>489.7</v>
      </c>
      <c r="G22" s="1816">
        <f t="shared" ref="G22:H22" si="19">G26+G30+G34</f>
        <v>1211.7</v>
      </c>
      <c r="H22" s="1817">
        <f t="shared" si="19"/>
        <v>2944.3500000000004</v>
      </c>
      <c r="I22" s="1816">
        <f t="shared" ref="I22:V22" si="20">I26+I30+I34</f>
        <v>17.810000000000002</v>
      </c>
      <c r="J22" s="1816">
        <f t="shared" si="20"/>
        <v>239.9</v>
      </c>
      <c r="K22" s="1816">
        <f t="shared" si="20"/>
        <v>285</v>
      </c>
      <c r="L22" s="1816">
        <f t="shared" si="20"/>
        <v>181.64</v>
      </c>
      <c r="M22" s="1816">
        <f t="shared" si="20"/>
        <v>367.74</v>
      </c>
      <c r="N22" s="1816">
        <f t="shared" si="20"/>
        <v>114.28999999999999</v>
      </c>
      <c r="O22" s="1816">
        <f t="shared" si="20"/>
        <v>249</v>
      </c>
      <c r="P22" s="1816">
        <f t="shared" si="20"/>
        <v>163.99</v>
      </c>
      <c r="Q22" s="1816">
        <f t="shared" si="20"/>
        <v>156.28</v>
      </c>
      <c r="R22" s="1816">
        <f t="shared" si="20"/>
        <v>122.9</v>
      </c>
      <c r="S22" s="1816">
        <f t="shared" si="20"/>
        <v>175.4</v>
      </c>
      <c r="T22" s="1816">
        <f t="shared" si="20"/>
        <v>198.3</v>
      </c>
      <c r="U22" s="1816">
        <f t="shared" si="20"/>
        <v>206.2</v>
      </c>
      <c r="V22" s="1816">
        <f t="shared" si="20"/>
        <v>465.9</v>
      </c>
      <c r="W22" s="1816">
        <f t="shared" ref="W22:AK22" si="21">W26+W30+W34</f>
        <v>2944.5000000000005</v>
      </c>
      <c r="X22" s="1816">
        <f t="shared" si="21"/>
        <v>17.8</v>
      </c>
      <c r="Y22" s="1816">
        <f t="shared" si="21"/>
        <v>240</v>
      </c>
      <c r="Z22" s="1816">
        <f t="shared" si="21"/>
        <v>285</v>
      </c>
      <c r="AA22" s="1816">
        <f t="shared" si="21"/>
        <v>181.6</v>
      </c>
      <c r="AB22" s="1816">
        <f t="shared" si="21"/>
        <v>367.7</v>
      </c>
      <c r="AC22" s="1816">
        <f t="shared" si="21"/>
        <v>114.4</v>
      </c>
      <c r="AD22" s="1816">
        <f t="shared" si="21"/>
        <v>249</v>
      </c>
      <c r="AE22" s="1816">
        <f t="shared" si="21"/>
        <v>164</v>
      </c>
      <c r="AF22" s="1816">
        <f t="shared" si="21"/>
        <v>156.30000000000001</v>
      </c>
      <c r="AG22" s="1816">
        <f t="shared" si="21"/>
        <v>122.9</v>
      </c>
      <c r="AH22" s="1816">
        <f t="shared" si="21"/>
        <v>175.4</v>
      </c>
      <c r="AI22" s="1816">
        <f t="shared" si="21"/>
        <v>198.3</v>
      </c>
      <c r="AJ22" s="1816">
        <f t="shared" si="21"/>
        <v>206.2</v>
      </c>
      <c r="AK22" s="1816">
        <f t="shared" si="21"/>
        <v>465.9</v>
      </c>
      <c r="AL22" s="1818">
        <f>AL26+AL30+AL34</f>
        <v>505.6</v>
      </c>
      <c r="AM22" s="1818">
        <f t="shared" si="17"/>
        <v>7.9</v>
      </c>
      <c r="AN22" s="1818">
        <f t="shared" si="17"/>
        <v>108</v>
      </c>
      <c r="AO22" s="1818">
        <f t="shared" si="17"/>
        <v>99</v>
      </c>
      <c r="AP22" s="1818">
        <f t="shared" si="17"/>
        <v>40.4</v>
      </c>
      <c r="AQ22" s="1818">
        <f t="shared" si="17"/>
        <v>190</v>
      </c>
      <c r="AR22" s="1818">
        <f t="shared" si="17"/>
        <v>13</v>
      </c>
      <c r="AS22" s="1818"/>
      <c r="AT22" s="1818">
        <f t="shared" si="17"/>
        <v>3.5</v>
      </c>
      <c r="AU22" s="1818">
        <f t="shared" si="17"/>
        <v>37.799999999999997</v>
      </c>
      <c r="AV22" s="1818"/>
      <c r="AW22" s="1818"/>
      <c r="AX22" s="1818"/>
      <c r="AY22" s="1818">
        <f t="shared" si="17"/>
        <v>6</v>
      </c>
      <c r="AZ22" s="1818"/>
      <c r="BA22" s="1825">
        <f t="shared" si="8"/>
        <v>103.24688584847866</v>
      </c>
      <c r="BB22" s="1825">
        <f t="shared" si="9"/>
        <v>17.170996773645779</v>
      </c>
      <c r="BC22" s="1819"/>
      <c r="BD22" s="988"/>
      <c r="BE22" s="990"/>
      <c r="BF22" s="1061"/>
    </row>
    <row r="23" spans="1:73" s="1003" customFormat="1" ht="21.95" customHeight="1">
      <c r="A23" s="1820"/>
      <c r="B23" s="932" t="s">
        <v>89</v>
      </c>
      <c r="C23" s="947" t="s">
        <v>90</v>
      </c>
      <c r="D23" s="933">
        <v>47.133874605949586</v>
      </c>
      <c r="E23" s="933">
        <f t="shared" ref="E23:F23" si="22">E24*10/E22</f>
        <v>46.770574993061437</v>
      </c>
      <c r="F23" s="933">
        <f t="shared" si="22"/>
        <v>54.70998570553401</v>
      </c>
      <c r="G23" s="933">
        <f t="shared" ref="G23:H23" si="23">G24*10/G22</f>
        <v>48.282462655772882</v>
      </c>
      <c r="H23" s="933">
        <f t="shared" si="23"/>
        <v>48.591601976667171</v>
      </c>
      <c r="I23" s="933">
        <f t="shared" ref="I23:V23" si="24">I24*10/I22</f>
        <v>55.175463222908469</v>
      </c>
      <c r="J23" s="933">
        <f t="shared" si="24"/>
        <v>56.412255106294282</v>
      </c>
      <c r="K23" s="933">
        <f t="shared" si="24"/>
        <v>55.115438596491224</v>
      </c>
      <c r="L23" s="933">
        <f t="shared" si="24"/>
        <v>45.81034573882404</v>
      </c>
      <c r="M23" s="933">
        <f t="shared" si="24"/>
        <v>54.106548322184146</v>
      </c>
      <c r="N23" s="933">
        <f t="shared" si="24"/>
        <v>35.225216554379209</v>
      </c>
      <c r="O23" s="933">
        <f t="shared" si="24"/>
        <v>48.979919678714857</v>
      </c>
      <c r="P23" s="933">
        <f t="shared" si="24"/>
        <v>32.54783828282212</v>
      </c>
      <c r="Q23" s="933">
        <f t="shared" si="24"/>
        <v>38.117142308676733</v>
      </c>
      <c r="R23" s="933">
        <f t="shared" si="24"/>
        <v>42.560211554109031</v>
      </c>
      <c r="S23" s="933">
        <f t="shared" si="24"/>
        <v>53.67</v>
      </c>
      <c r="T23" s="933">
        <f t="shared" si="24"/>
        <v>62.3</v>
      </c>
      <c r="U23" s="933">
        <f t="shared" si="24"/>
        <v>44.891173617846754</v>
      </c>
      <c r="V23" s="933">
        <f t="shared" si="24"/>
        <v>44.767761322172142</v>
      </c>
      <c r="W23" s="933">
        <f t="shared" ref="W23:AY23" si="25">W24*10/W22</f>
        <v>47.051407030056033</v>
      </c>
      <c r="X23" s="933">
        <f t="shared" si="25"/>
        <v>47.949438202247194</v>
      </c>
      <c r="Y23" s="933">
        <f t="shared" si="25"/>
        <v>54.955000000000005</v>
      </c>
      <c r="Z23" s="933">
        <f t="shared" si="25"/>
        <v>54.57719298245614</v>
      </c>
      <c r="AA23" s="933">
        <f t="shared" si="25"/>
        <v>45.814977973568276</v>
      </c>
      <c r="AB23" s="933">
        <f t="shared" si="25"/>
        <v>54.041881968996456</v>
      </c>
      <c r="AC23" s="933">
        <f t="shared" si="25"/>
        <v>35.012500000000003</v>
      </c>
      <c r="AD23" s="933">
        <f t="shared" si="25"/>
        <v>46.204016064257019</v>
      </c>
      <c r="AE23" s="933">
        <f t="shared" si="25"/>
        <v>32.523780487804878</v>
      </c>
      <c r="AF23" s="933">
        <f t="shared" si="25"/>
        <v>38.09884836852207</v>
      </c>
      <c r="AG23" s="933">
        <f t="shared" si="25"/>
        <v>42.309031733116356</v>
      </c>
      <c r="AH23" s="933">
        <f t="shared" si="25"/>
        <v>52.5</v>
      </c>
      <c r="AI23" s="933">
        <f t="shared" si="25"/>
        <v>55.999999999999993</v>
      </c>
      <c r="AJ23" s="933">
        <f t="shared" si="25"/>
        <v>44.752318137730363</v>
      </c>
      <c r="AK23" s="933">
        <f t="shared" si="25"/>
        <v>41.241639836874867</v>
      </c>
      <c r="AL23" s="928">
        <f t="shared" si="25"/>
        <v>55.19568037974684</v>
      </c>
      <c r="AM23" s="928">
        <f t="shared" si="25"/>
        <v>57</v>
      </c>
      <c r="AN23" s="928">
        <f t="shared" si="25"/>
        <v>56</v>
      </c>
      <c r="AO23" s="928">
        <f t="shared" si="25"/>
        <v>56</v>
      </c>
      <c r="AP23" s="928">
        <f t="shared" si="25"/>
        <v>48</v>
      </c>
      <c r="AQ23" s="928">
        <f t="shared" si="25"/>
        <v>57.5</v>
      </c>
      <c r="AR23" s="928">
        <f t="shared" si="25"/>
        <v>51</v>
      </c>
      <c r="AS23" s="1821"/>
      <c r="AT23" s="928">
        <f t="shared" si="25"/>
        <v>44</v>
      </c>
      <c r="AU23" s="928">
        <f t="shared" si="25"/>
        <v>50.62</v>
      </c>
      <c r="AV23" s="1821"/>
      <c r="AW23" s="1821"/>
      <c r="AX23" s="1821"/>
      <c r="AY23" s="928">
        <f t="shared" si="25"/>
        <v>45</v>
      </c>
      <c r="AZ23" s="1821"/>
      <c r="BA23" s="928">
        <f t="shared" si="8"/>
        <v>100.88776238551219</v>
      </c>
      <c r="BB23" s="928">
        <f t="shared" si="9"/>
        <v>117.30930882574523</v>
      </c>
      <c r="BC23" s="1822"/>
      <c r="BD23" s="989"/>
      <c r="BE23" s="987"/>
      <c r="BF23" s="1064"/>
    </row>
    <row r="24" spans="1:73" s="1059" customFormat="1" ht="21.95" customHeight="1">
      <c r="A24" s="1806"/>
      <c r="B24" s="1807" t="s">
        <v>91</v>
      </c>
      <c r="C24" s="1806" t="s">
        <v>32</v>
      </c>
      <c r="D24" s="934">
        <v>13561.216999999999</v>
      </c>
      <c r="E24" s="934">
        <f t="shared" ref="E24:F24" si="26">E28+E32+E36</f>
        <v>13649.852000000001</v>
      </c>
      <c r="F24" s="1823">
        <f t="shared" si="26"/>
        <v>2679.1480000000001</v>
      </c>
      <c r="G24" s="1823">
        <f t="shared" ref="G24:H24" si="27">G28+G32+G36</f>
        <v>5850.3860000000004</v>
      </c>
      <c r="H24" s="934">
        <f t="shared" si="27"/>
        <v>14307.068328000001</v>
      </c>
      <c r="I24" s="934">
        <f t="shared" ref="I24:V24" si="28">I28+I32+I36</f>
        <v>98.267499999999998</v>
      </c>
      <c r="J24" s="934">
        <f t="shared" si="28"/>
        <v>1353.33</v>
      </c>
      <c r="K24" s="934">
        <f t="shared" si="28"/>
        <v>1570.79</v>
      </c>
      <c r="L24" s="934">
        <f t="shared" si="28"/>
        <v>832.09911999999986</v>
      </c>
      <c r="M24" s="934">
        <f t="shared" si="28"/>
        <v>1989.7142079999999</v>
      </c>
      <c r="N24" s="934">
        <f t="shared" si="28"/>
        <v>402.589</v>
      </c>
      <c r="O24" s="934">
        <f t="shared" si="28"/>
        <v>1219.5999999999999</v>
      </c>
      <c r="P24" s="934">
        <f t="shared" si="28"/>
        <v>533.75199999999995</v>
      </c>
      <c r="Q24" s="934">
        <f t="shared" si="28"/>
        <v>595.69470000000001</v>
      </c>
      <c r="R24" s="934">
        <f t="shared" si="28"/>
        <v>523.06500000000005</v>
      </c>
      <c r="S24" s="934">
        <f t="shared" si="28"/>
        <v>941.37180000000012</v>
      </c>
      <c r="T24" s="934">
        <f t="shared" si="28"/>
        <v>1235.4090000000001</v>
      </c>
      <c r="U24" s="934">
        <f t="shared" si="28"/>
        <v>925.65599999999995</v>
      </c>
      <c r="V24" s="934">
        <f t="shared" si="28"/>
        <v>2085.73</v>
      </c>
      <c r="W24" s="934">
        <f t="shared" ref="W24:AZ24" si="29">W28+W32+W36</f>
        <v>13854.286800000002</v>
      </c>
      <c r="X24" s="934">
        <f t="shared" si="29"/>
        <v>85.350000000000009</v>
      </c>
      <c r="Y24" s="934">
        <f t="shared" si="29"/>
        <v>1318.92</v>
      </c>
      <c r="Z24" s="934">
        <f t="shared" si="29"/>
        <v>1555.45</v>
      </c>
      <c r="AA24" s="934">
        <f t="shared" si="29"/>
        <v>831.99999999999989</v>
      </c>
      <c r="AB24" s="934">
        <f t="shared" si="29"/>
        <v>1987.12</v>
      </c>
      <c r="AC24" s="934">
        <f t="shared" si="29"/>
        <v>400.54300000000001</v>
      </c>
      <c r="AD24" s="934">
        <f t="shared" si="29"/>
        <v>1150.4799999999998</v>
      </c>
      <c r="AE24" s="934">
        <f t="shared" si="29"/>
        <v>533.39</v>
      </c>
      <c r="AF24" s="934">
        <f t="shared" si="29"/>
        <v>595.48500000000001</v>
      </c>
      <c r="AG24" s="934">
        <f t="shared" si="29"/>
        <v>519.97800000000007</v>
      </c>
      <c r="AH24" s="934">
        <f t="shared" si="29"/>
        <v>920.85</v>
      </c>
      <c r="AI24" s="934">
        <f t="shared" si="29"/>
        <v>1110.48</v>
      </c>
      <c r="AJ24" s="934">
        <f t="shared" si="29"/>
        <v>922.79279999999994</v>
      </c>
      <c r="AK24" s="934">
        <f t="shared" si="29"/>
        <v>1921.4479999999999</v>
      </c>
      <c r="AL24" s="1823">
        <f t="shared" si="29"/>
        <v>2790.6936000000005</v>
      </c>
      <c r="AM24" s="1823">
        <f t="shared" si="29"/>
        <v>45.03</v>
      </c>
      <c r="AN24" s="1823">
        <f t="shared" si="29"/>
        <v>604.79999999999995</v>
      </c>
      <c r="AO24" s="1823">
        <f t="shared" si="29"/>
        <v>554.4</v>
      </c>
      <c r="AP24" s="1823">
        <f t="shared" si="29"/>
        <v>193.92</v>
      </c>
      <c r="AQ24" s="1823">
        <f t="shared" si="29"/>
        <v>1092.5</v>
      </c>
      <c r="AR24" s="1823">
        <f t="shared" si="29"/>
        <v>66.3</v>
      </c>
      <c r="AS24" s="1821"/>
      <c r="AT24" s="1823">
        <f t="shared" si="29"/>
        <v>15.4</v>
      </c>
      <c r="AU24" s="1823">
        <f t="shared" si="29"/>
        <v>191.34359999999998</v>
      </c>
      <c r="AV24" s="1821"/>
      <c r="AW24" s="1823">
        <f t="shared" si="29"/>
        <v>0</v>
      </c>
      <c r="AX24" s="1821"/>
      <c r="AY24" s="1823">
        <f t="shared" si="29"/>
        <v>27</v>
      </c>
      <c r="AZ24" s="1823">
        <f t="shared" si="29"/>
        <v>0</v>
      </c>
      <c r="BA24" s="928">
        <f t="shared" si="8"/>
        <v>104.16347286525419</v>
      </c>
      <c r="BB24" s="928">
        <f t="shared" si="9"/>
        <v>20.143177633654876</v>
      </c>
      <c r="BC24" s="1809"/>
      <c r="BD24" s="986"/>
      <c r="BE24" s="987"/>
    </row>
    <row r="25" spans="1:73" s="1065" customFormat="1" ht="21.95" customHeight="1">
      <c r="A25" s="1794"/>
      <c r="B25" s="925" t="s">
        <v>92</v>
      </c>
      <c r="C25" s="1791" t="s">
        <v>93</v>
      </c>
      <c r="D25" s="1824">
        <v>465.47</v>
      </c>
      <c r="E25" s="1825">
        <v>483.47</v>
      </c>
      <c r="F25" s="1825">
        <v>493.7</v>
      </c>
      <c r="G25" s="1825">
        <v>493.7</v>
      </c>
      <c r="H25" s="1825">
        <f>SUM(I25:V25)</f>
        <v>493.65</v>
      </c>
      <c r="I25" s="1825">
        <v>7.91</v>
      </c>
      <c r="J25" s="1825">
        <v>107.9</v>
      </c>
      <c r="K25" s="1825">
        <v>99</v>
      </c>
      <c r="L25" s="1825">
        <v>50.44</v>
      </c>
      <c r="M25" s="1825">
        <v>168.74</v>
      </c>
      <c r="N25" s="1825">
        <v>12.39</v>
      </c>
      <c r="O25" s="1825">
        <v>0</v>
      </c>
      <c r="P25" s="1825">
        <v>3.49</v>
      </c>
      <c r="Q25" s="1825">
        <v>37.78</v>
      </c>
      <c r="R25" s="1825">
        <v>0</v>
      </c>
      <c r="S25" s="1825">
        <v>0</v>
      </c>
      <c r="T25" s="1825">
        <v>0</v>
      </c>
      <c r="U25" s="1825">
        <v>6</v>
      </c>
      <c r="V25" s="1825">
        <v>0</v>
      </c>
      <c r="W25" s="1825">
        <f>SUM(X25:AK25)</f>
        <v>493.8</v>
      </c>
      <c r="X25" s="1825">
        <v>7.9</v>
      </c>
      <c r="Y25" s="1825">
        <v>108</v>
      </c>
      <c r="Z25" s="1825">
        <v>99</v>
      </c>
      <c r="AA25" s="1825">
        <v>50.4</v>
      </c>
      <c r="AB25" s="1825">
        <v>168.7</v>
      </c>
      <c r="AC25" s="1825">
        <v>12.5</v>
      </c>
      <c r="AD25" s="1825"/>
      <c r="AE25" s="1825">
        <v>3.5</v>
      </c>
      <c r="AF25" s="1825">
        <v>37.799999999999997</v>
      </c>
      <c r="AG25" s="1825"/>
      <c r="AH25" s="1825"/>
      <c r="AI25" s="1825"/>
      <c r="AJ25" s="1825">
        <v>6</v>
      </c>
      <c r="AK25" s="1825"/>
      <c r="AL25" s="1825">
        <f>SUM(AM25:AZ25)</f>
        <v>505.6</v>
      </c>
      <c r="AM25" s="1825">
        <v>7.9</v>
      </c>
      <c r="AN25" s="1825">
        <v>108</v>
      </c>
      <c r="AO25" s="1825">
        <v>99</v>
      </c>
      <c r="AP25" s="1825">
        <v>40.4</v>
      </c>
      <c r="AQ25" s="1825">
        <v>190</v>
      </c>
      <c r="AR25" s="1825">
        <v>13</v>
      </c>
      <c r="AS25" s="1825"/>
      <c r="AT25" s="1825">
        <v>3.5</v>
      </c>
      <c r="AU25" s="1825">
        <v>37.799999999999997</v>
      </c>
      <c r="AV25" s="1825"/>
      <c r="AW25" s="1825"/>
      <c r="AX25" s="1825"/>
      <c r="AY25" s="1825">
        <v>6</v>
      </c>
      <c r="AZ25" s="1825"/>
      <c r="BA25" s="928">
        <f t="shared" si="8"/>
        <v>102.41037067044763</v>
      </c>
      <c r="BB25" s="928">
        <f t="shared" si="9"/>
        <v>102.38963142972865</v>
      </c>
      <c r="BC25" s="1808"/>
      <c r="BD25" s="991"/>
      <c r="BE25" s="985"/>
    </row>
    <row r="26" spans="1:73" s="1069" customFormat="1" ht="21.95" customHeight="1">
      <c r="A26" s="1826"/>
      <c r="B26" s="1827" t="s">
        <v>745</v>
      </c>
      <c r="C26" s="954" t="s">
        <v>87</v>
      </c>
      <c r="D26" s="1828">
        <v>465.47</v>
      </c>
      <c r="E26" s="1829">
        <v>483.47</v>
      </c>
      <c r="F26" s="1829">
        <v>489.7</v>
      </c>
      <c r="G26" s="1829">
        <v>493.7</v>
      </c>
      <c r="H26" s="1829">
        <f>SUM(I26:V26)</f>
        <v>493.65</v>
      </c>
      <c r="I26" s="1829">
        <v>7.91</v>
      </c>
      <c r="J26" s="1829">
        <v>107.9</v>
      </c>
      <c r="K26" s="1829">
        <v>99</v>
      </c>
      <c r="L26" s="1829">
        <v>50.44</v>
      </c>
      <c r="M26" s="1829">
        <v>168.74</v>
      </c>
      <c r="N26" s="1829">
        <v>12.39</v>
      </c>
      <c r="O26" s="1829">
        <v>0</v>
      </c>
      <c r="P26" s="1829">
        <v>3.49</v>
      </c>
      <c r="Q26" s="1829">
        <v>37.78</v>
      </c>
      <c r="R26" s="1829">
        <v>0</v>
      </c>
      <c r="S26" s="1829">
        <v>0</v>
      </c>
      <c r="T26" s="1829">
        <v>0</v>
      </c>
      <c r="U26" s="1829">
        <v>6</v>
      </c>
      <c r="V26" s="1829">
        <v>0</v>
      </c>
      <c r="W26" s="1829">
        <f>SUM(X26:AK26)</f>
        <v>493.8</v>
      </c>
      <c r="X26" s="1829">
        <v>7.9</v>
      </c>
      <c r="Y26" s="1829">
        <v>108</v>
      </c>
      <c r="Z26" s="1829">
        <v>99</v>
      </c>
      <c r="AA26" s="1829">
        <v>50.4</v>
      </c>
      <c r="AB26" s="1829">
        <v>168.7</v>
      </c>
      <c r="AC26" s="1829">
        <v>12.5</v>
      </c>
      <c r="AD26" s="1829"/>
      <c r="AE26" s="1829">
        <v>3.5</v>
      </c>
      <c r="AF26" s="1829">
        <v>37.799999999999997</v>
      </c>
      <c r="AG26" s="1829"/>
      <c r="AH26" s="1829"/>
      <c r="AI26" s="1829"/>
      <c r="AJ26" s="1829">
        <v>6</v>
      </c>
      <c r="AK26" s="1829"/>
      <c r="AL26" s="1829">
        <f>SUM(AM26:AZ26)</f>
        <v>505.6</v>
      </c>
      <c r="AM26" s="1829">
        <v>7.9</v>
      </c>
      <c r="AN26" s="1829">
        <v>108</v>
      </c>
      <c r="AO26" s="1829">
        <v>99</v>
      </c>
      <c r="AP26" s="1829">
        <v>40.4</v>
      </c>
      <c r="AQ26" s="1829">
        <v>190</v>
      </c>
      <c r="AR26" s="1829">
        <v>13</v>
      </c>
      <c r="AS26" s="1829"/>
      <c r="AT26" s="1829">
        <v>3.5</v>
      </c>
      <c r="AU26" s="1829">
        <v>37.799999999999997</v>
      </c>
      <c r="AV26" s="1829"/>
      <c r="AW26" s="1829"/>
      <c r="AX26" s="1829"/>
      <c r="AY26" s="1829">
        <v>6</v>
      </c>
      <c r="AZ26" s="1829"/>
      <c r="BA26" s="928">
        <f t="shared" si="8"/>
        <v>103.24688584847866</v>
      </c>
      <c r="BB26" s="928">
        <f t="shared" si="9"/>
        <v>102.38963142972865</v>
      </c>
      <c r="BC26" s="1830"/>
      <c r="BD26" s="992"/>
      <c r="BE26" s="990"/>
      <c r="BF26" s="1066"/>
      <c r="BG26" s="1067"/>
      <c r="BH26" s="1068"/>
    </row>
    <row r="27" spans="1:73" s="1003" customFormat="1" ht="21.95" customHeight="1">
      <c r="A27" s="1826"/>
      <c r="B27" s="932" t="s">
        <v>94</v>
      </c>
      <c r="C27" s="947" t="s">
        <v>90</v>
      </c>
      <c r="D27" s="1831">
        <v>53.493952349238398</v>
      </c>
      <c r="E27" s="928">
        <f>E28/E26*10</f>
        <v>54.607359298405299</v>
      </c>
      <c r="F27" s="928">
        <f>F28/F26*10</f>
        <v>54.70998570553401</v>
      </c>
      <c r="G27" s="928">
        <f>G28/G26*10</f>
        <v>54.691229491594093</v>
      </c>
      <c r="H27" s="928">
        <f>H28/H26*10</f>
        <v>54.697164549782244</v>
      </c>
      <c r="I27" s="928">
        <v>60</v>
      </c>
      <c r="J27" s="928">
        <v>54.46987951807229</v>
      </c>
      <c r="K27" s="928">
        <v>57.5</v>
      </c>
      <c r="L27" s="928">
        <v>49.98</v>
      </c>
      <c r="M27" s="928">
        <v>55.792000000000002</v>
      </c>
      <c r="N27" s="928">
        <v>51</v>
      </c>
      <c r="O27" s="928"/>
      <c r="P27" s="928">
        <v>48</v>
      </c>
      <c r="Q27" s="928">
        <v>50.4</v>
      </c>
      <c r="R27" s="928"/>
      <c r="S27" s="928"/>
      <c r="T27" s="928"/>
      <c r="U27" s="928">
        <v>53</v>
      </c>
      <c r="V27" s="928"/>
      <c r="W27" s="928">
        <f>W28/W26*10</f>
        <v>54.801032806804372</v>
      </c>
      <c r="X27" s="928">
        <v>53.5</v>
      </c>
      <c r="Y27" s="928">
        <v>56</v>
      </c>
      <c r="Z27" s="928">
        <v>56.5</v>
      </c>
      <c r="AA27" s="928">
        <v>50</v>
      </c>
      <c r="AB27" s="928">
        <v>56</v>
      </c>
      <c r="AC27" s="928">
        <v>51</v>
      </c>
      <c r="AD27" s="928"/>
      <c r="AE27" s="928">
        <v>48</v>
      </c>
      <c r="AF27" s="928">
        <v>50.5</v>
      </c>
      <c r="AG27" s="928"/>
      <c r="AH27" s="928"/>
      <c r="AI27" s="928"/>
      <c r="AJ27" s="928">
        <v>52.5</v>
      </c>
      <c r="AK27" s="928"/>
      <c r="AL27" s="928">
        <f>AL28/AL26*10</f>
        <v>55.195680379746847</v>
      </c>
      <c r="AM27" s="928">
        <v>57</v>
      </c>
      <c r="AN27" s="928">
        <v>56</v>
      </c>
      <c r="AO27" s="928">
        <v>56</v>
      </c>
      <c r="AP27" s="928">
        <v>48</v>
      </c>
      <c r="AQ27" s="928">
        <v>57.5</v>
      </c>
      <c r="AR27" s="935">
        <v>51</v>
      </c>
      <c r="AS27" s="928"/>
      <c r="AT27" s="928">
        <v>44</v>
      </c>
      <c r="AU27" s="928">
        <v>50.62</v>
      </c>
      <c r="AV27" s="928"/>
      <c r="AW27" s="928"/>
      <c r="AX27" s="928"/>
      <c r="AY27" s="928">
        <v>45</v>
      </c>
      <c r="AZ27" s="928"/>
      <c r="BA27" s="928">
        <f t="shared" si="8"/>
        <v>100.8877623855122</v>
      </c>
      <c r="BB27" s="928">
        <f t="shared" si="9"/>
        <v>100.7201462321591</v>
      </c>
      <c r="BC27" s="1809"/>
      <c r="BD27" s="991"/>
      <c r="BE27" s="987"/>
      <c r="BF27" s="1064"/>
      <c r="BG27" s="1070"/>
      <c r="BH27" s="489"/>
      <c r="BQ27" s="1071"/>
      <c r="BU27" s="1070"/>
    </row>
    <row r="28" spans="1:73" s="1059" customFormat="1" ht="21.95" customHeight="1">
      <c r="A28" s="1806"/>
      <c r="B28" s="1807" t="s">
        <v>95</v>
      </c>
      <c r="C28" s="1806" t="s">
        <v>32</v>
      </c>
      <c r="D28" s="1832">
        <v>2489.9829999999997</v>
      </c>
      <c r="E28" s="935">
        <v>2640.1020000000008</v>
      </c>
      <c r="F28" s="935">
        <v>2679.1480000000001</v>
      </c>
      <c r="G28" s="935">
        <v>2700.1060000000002</v>
      </c>
      <c r="H28" s="935">
        <f t="shared" ref="H28:H39" si="30">SUM(I28:V28)</f>
        <v>2700.125528</v>
      </c>
      <c r="I28" s="935">
        <f>I26*I27/10</f>
        <v>47.46</v>
      </c>
      <c r="J28" s="935">
        <f t="shared" ref="J28:Q28" si="31">J26*J27/10</f>
        <v>587.73</v>
      </c>
      <c r="K28" s="935">
        <f t="shared" si="31"/>
        <v>569.25</v>
      </c>
      <c r="L28" s="935">
        <f t="shared" si="31"/>
        <v>252.09912</v>
      </c>
      <c r="M28" s="935">
        <f t="shared" si="31"/>
        <v>941.43420800000001</v>
      </c>
      <c r="N28" s="935">
        <f t="shared" si="31"/>
        <v>63.189</v>
      </c>
      <c r="O28" s="935">
        <f t="shared" si="31"/>
        <v>0</v>
      </c>
      <c r="P28" s="935">
        <f t="shared" si="31"/>
        <v>16.752000000000002</v>
      </c>
      <c r="Q28" s="935">
        <f t="shared" si="31"/>
        <v>190.41120000000001</v>
      </c>
      <c r="R28" s="935">
        <v>0</v>
      </c>
      <c r="S28" s="935">
        <v>0</v>
      </c>
      <c r="T28" s="935">
        <v>0</v>
      </c>
      <c r="U28" s="935">
        <v>31.8</v>
      </c>
      <c r="V28" s="935">
        <v>0</v>
      </c>
      <c r="W28" s="935">
        <f t="shared" ref="W28:W43" si="32">SUM(X28:AK28)</f>
        <v>2706.0749999999998</v>
      </c>
      <c r="X28" s="935">
        <f t="shared" ref="X28:AK28" si="33">X26*X27/10</f>
        <v>42.265000000000001</v>
      </c>
      <c r="Y28" s="935">
        <f t="shared" si="33"/>
        <v>604.79999999999995</v>
      </c>
      <c r="Z28" s="935">
        <f t="shared" si="33"/>
        <v>559.35</v>
      </c>
      <c r="AA28" s="935">
        <f t="shared" si="33"/>
        <v>252</v>
      </c>
      <c r="AB28" s="935">
        <f t="shared" si="33"/>
        <v>944.71999999999991</v>
      </c>
      <c r="AC28" s="935">
        <f t="shared" si="33"/>
        <v>63.75</v>
      </c>
      <c r="AD28" s="935">
        <f t="shared" si="33"/>
        <v>0</v>
      </c>
      <c r="AE28" s="935">
        <f t="shared" si="33"/>
        <v>16.8</v>
      </c>
      <c r="AF28" s="935">
        <f t="shared" si="33"/>
        <v>190.89</v>
      </c>
      <c r="AG28" s="935">
        <f t="shared" si="33"/>
        <v>0</v>
      </c>
      <c r="AH28" s="935">
        <f t="shared" si="33"/>
        <v>0</v>
      </c>
      <c r="AI28" s="935">
        <f t="shared" si="33"/>
        <v>0</v>
      </c>
      <c r="AJ28" s="935">
        <f t="shared" si="33"/>
        <v>31.5</v>
      </c>
      <c r="AK28" s="935">
        <f t="shared" si="33"/>
        <v>0</v>
      </c>
      <c r="AL28" s="935">
        <f t="shared" ref="AL28:AL29" si="34">SUM(AM28:AZ28)</f>
        <v>2790.6936000000005</v>
      </c>
      <c r="AM28" s="935">
        <f t="shared" ref="AM28:AZ28" si="35">AM26*AM27/10</f>
        <v>45.03</v>
      </c>
      <c r="AN28" s="935">
        <f t="shared" si="35"/>
        <v>604.79999999999995</v>
      </c>
      <c r="AO28" s="935">
        <f>AO26*AO27/10</f>
        <v>554.4</v>
      </c>
      <c r="AP28" s="935">
        <f>AP26*AP27/10</f>
        <v>193.92</v>
      </c>
      <c r="AQ28" s="935">
        <f t="shared" si="35"/>
        <v>1092.5</v>
      </c>
      <c r="AR28" s="935">
        <f t="shared" si="35"/>
        <v>66.3</v>
      </c>
      <c r="AS28" s="935">
        <f t="shared" si="35"/>
        <v>0</v>
      </c>
      <c r="AT28" s="935">
        <f t="shared" si="35"/>
        <v>15.4</v>
      </c>
      <c r="AU28" s="935">
        <f t="shared" si="35"/>
        <v>191.34359999999998</v>
      </c>
      <c r="AV28" s="935">
        <f t="shared" si="35"/>
        <v>0</v>
      </c>
      <c r="AW28" s="935">
        <f t="shared" si="35"/>
        <v>0</v>
      </c>
      <c r="AX28" s="935">
        <f t="shared" si="35"/>
        <v>0</v>
      </c>
      <c r="AY28" s="935">
        <f t="shared" si="35"/>
        <v>27</v>
      </c>
      <c r="AZ28" s="935">
        <f t="shared" si="35"/>
        <v>0</v>
      </c>
      <c r="BA28" s="928">
        <f t="shared" si="8"/>
        <v>104.16347286525419</v>
      </c>
      <c r="BB28" s="928">
        <f t="shared" si="9"/>
        <v>103.12698650259142</v>
      </c>
      <c r="BC28" s="1809"/>
      <c r="BD28" s="992"/>
      <c r="BE28" s="987"/>
      <c r="BF28" s="1072"/>
      <c r="BG28" s="1070"/>
      <c r="BT28" s="1059" t="e">
        <f>#REF!+#REF!+#REF!</f>
        <v>#REF!</v>
      </c>
    </row>
    <row r="29" spans="1:73" s="1065" customFormat="1" ht="21.95" customHeight="1">
      <c r="A29" s="1794"/>
      <c r="B29" s="925" t="s">
        <v>96</v>
      </c>
      <c r="C29" s="1791" t="s">
        <v>93</v>
      </c>
      <c r="D29" s="1824">
        <v>2036.6999999999998</v>
      </c>
      <c r="E29" s="936">
        <v>2070</v>
      </c>
      <c r="F29" s="936">
        <v>1170.8</v>
      </c>
      <c r="G29" s="936">
        <v>2088.69</v>
      </c>
      <c r="H29" s="1825">
        <f t="shared" si="30"/>
        <v>2088.7000000000003</v>
      </c>
      <c r="I29" s="936">
        <v>7.9</v>
      </c>
      <c r="J29" s="936">
        <v>135</v>
      </c>
      <c r="K29" s="936">
        <v>184</v>
      </c>
      <c r="L29" s="936">
        <v>111.19999999999999</v>
      </c>
      <c r="M29" s="936">
        <v>196</v>
      </c>
      <c r="N29" s="936">
        <v>56.9</v>
      </c>
      <c r="O29" s="936">
        <v>211</v>
      </c>
      <c r="P29" s="936">
        <v>90.5</v>
      </c>
      <c r="Q29" s="936">
        <v>73.5</v>
      </c>
      <c r="R29" s="936">
        <v>102.9</v>
      </c>
      <c r="S29" s="936">
        <v>175.4</v>
      </c>
      <c r="T29" s="936">
        <v>198.3</v>
      </c>
      <c r="U29" s="936">
        <v>160.19999999999999</v>
      </c>
      <c r="V29" s="936">
        <v>385.9</v>
      </c>
      <c r="W29" s="1825">
        <f t="shared" si="32"/>
        <v>2085.7000000000003</v>
      </c>
      <c r="X29" s="1825">
        <v>7.9</v>
      </c>
      <c r="Y29" s="936">
        <v>132</v>
      </c>
      <c r="Z29" s="936">
        <v>184</v>
      </c>
      <c r="AA29" s="936">
        <v>111.19999999999999</v>
      </c>
      <c r="AB29" s="936">
        <v>196</v>
      </c>
      <c r="AC29" s="936">
        <v>56.9</v>
      </c>
      <c r="AD29" s="936">
        <v>211</v>
      </c>
      <c r="AE29" s="936">
        <v>90.5</v>
      </c>
      <c r="AF29" s="936">
        <v>73.5</v>
      </c>
      <c r="AG29" s="936">
        <v>102.9</v>
      </c>
      <c r="AH29" s="936">
        <v>175.4</v>
      </c>
      <c r="AI29" s="936">
        <v>198.3</v>
      </c>
      <c r="AJ29" s="936">
        <v>160.19999999999999</v>
      </c>
      <c r="AK29" s="936">
        <v>385.9</v>
      </c>
      <c r="AL29" s="1825">
        <f t="shared" si="34"/>
        <v>1162.3</v>
      </c>
      <c r="AM29" s="1825"/>
      <c r="AN29" s="936"/>
      <c r="AO29" s="936">
        <v>22</v>
      </c>
      <c r="AP29" s="936"/>
      <c r="AQ29" s="936"/>
      <c r="AR29" s="936"/>
      <c r="AS29" s="936">
        <v>200</v>
      </c>
      <c r="AT29" s="936">
        <v>81</v>
      </c>
      <c r="AU29" s="936">
        <v>6</v>
      </c>
      <c r="AV29" s="936">
        <v>98</v>
      </c>
      <c r="AW29" s="936">
        <v>165</v>
      </c>
      <c r="AX29" s="936">
        <v>198.3</v>
      </c>
      <c r="AY29" s="936">
        <v>97</v>
      </c>
      <c r="AZ29" s="936">
        <v>295</v>
      </c>
      <c r="BA29" s="1825">
        <f t="shared" si="8"/>
        <v>99.274000683293465</v>
      </c>
      <c r="BB29" s="1825">
        <f t="shared" si="9"/>
        <v>55.727094021191917</v>
      </c>
      <c r="BC29" s="1833"/>
      <c r="BD29" s="984"/>
      <c r="BE29" s="985"/>
      <c r="BG29" s="1073"/>
      <c r="BH29" s="1055"/>
      <c r="BT29" s="1065" t="e">
        <f>#REF!-#REF!</f>
        <v>#REF!</v>
      </c>
    </row>
    <row r="30" spans="1:73" s="1069" customFormat="1" ht="21.95" customHeight="1">
      <c r="A30" s="1826"/>
      <c r="B30" s="1834" t="s">
        <v>745</v>
      </c>
      <c r="C30" s="954"/>
      <c r="D30" s="1828">
        <v>2036.6999999999998</v>
      </c>
      <c r="E30" s="1835">
        <v>2070</v>
      </c>
      <c r="F30" s="1835"/>
      <c r="G30" s="1835">
        <v>585</v>
      </c>
      <c r="H30" s="1829">
        <f t="shared" si="30"/>
        <v>2085.7000000000003</v>
      </c>
      <c r="I30" s="1835">
        <v>7.9</v>
      </c>
      <c r="J30" s="1835">
        <v>132</v>
      </c>
      <c r="K30" s="1835">
        <v>184</v>
      </c>
      <c r="L30" s="1835">
        <v>111.19999999999999</v>
      </c>
      <c r="M30" s="1835">
        <v>196</v>
      </c>
      <c r="N30" s="1835">
        <v>56.9</v>
      </c>
      <c r="O30" s="1835">
        <v>211</v>
      </c>
      <c r="P30" s="1835">
        <v>90.5</v>
      </c>
      <c r="Q30" s="1835">
        <v>73.5</v>
      </c>
      <c r="R30" s="1835">
        <v>102.9</v>
      </c>
      <c r="S30" s="1835">
        <v>175.4</v>
      </c>
      <c r="T30" s="1835">
        <v>198.3</v>
      </c>
      <c r="U30" s="1835">
        <v>160.19999999999999</v>
      </c>
      <c r="V30" s="1835">
        <v>385.9</v>
      </c>
      <c r="W30" s="1829">
        <f t="shared" si="32"/>
        <v>2085.7000000000003</v>
      </c>
      <c r="X30" s="1829">
        <v>7.9</v>
      </c>
      <c r="Y30" s="1835">
        <v>132</v>
      </c>
      <c r="Z30" s="1835">
        <v>184</v>
      </c>
      <c r="AA30" s="1835">
        <v>111.19999999999999</v>
      </c>
      <c r="AB30" s="1835">
        <v>196</v>
      </c>
      <c r="AC30" s="1835">
        <v>56.9</v>
      </c>
      <c r="AD30" s="1835">
        <v>211</v>
      </c>
      <c r="AE30" s="1835">
        <v>90.5</v>
      </c>
      <c r="AF30" s="1835">
        <v>73.5</v>
      </c>
      <c r="AG30" s="1835">
        <v>102.9</v>
      </c>
      <c r="AH30" s="1835">
        <v>175.4</v>
      </c>
      <c r="AI30" s="1835">
        <v>198.3</v>
      </c>
      <c r="AJ30" s="1835">
        <v>160.19999999999999</v>
      </c>
      <c r="AK30" s="1835">
        <v>385.9</v>
      </c>
      <c r="AL30" s="1829"/>
      <c r="AM30" s="1829"/>
      <c r="AN30" s="1829"/>
      <c r="AO30" s="1829"/>
      <c r="AP30" s="1829"/>
      <c r="AQ30" s="1829"/>
      <c r="AR30" s="1829"/>
      <c r="AS30" s="1829"/>
      <c r="AT30" s="1829"/>
      <c r="AU30" s="1829"/>
      <c r="AV30" s="1829"/>
      <c r="AW30" s="1829"/>
      <c r="AX30" s="1829"/>
      <c r="AY30" s="1829"/>
      <c r="AZ30" s="1829"/>
      <c r="BA30" s="928"/>
      <c r="BB30" s="928"/>
      <c r="BC30" s="1836"/>
      <c r="BD30" s="992"/>
      <c r="BE30" s="990"/>
      <c r="BG30" s="1074"/>
    </row>
    <row r="31" spans="1:73" s="1075" customFormat="1" ht="21.95" customHeight="1">
      <c r="A31" s="1820"/>
      <c r="B31" s="932" t="s">
        <v>94</v>
      </c>
      <c r="C31" s="947" t="s">
        <v>90</v>
      </c>
      <c r="D31" s="1831">
        <v>52.141375754897624</v>
      </c>
      <c r="E31" s="928">
        <f>E32/E30*10</f>
        <v>51.061449275362314</v>
      </c>
      <c r="F31" s="928"/>
      <c r="G31" s="928">
        <f>G32/G30*10</f>
        <v>51.099999999999994</v>
      </c>
      <c r="H31" s="928">
        <f>H32/H30*10</f>
        <v>52.73842259193556</v>
      </c>
      <c r="I31" s="928">
        <v>61.25</v>
      </c>
      <c r="J31" s="928">
        <v>58</v>
      </c>
      <c r="K31" s="928">
        <v>54.3</v>
      </c>
      <c r="L31" s="928">
        <v>50</v>
      </c>
      <c r="M31" s="928">
        <v>53.3</v>
      </c>
      <c r="N31" s="928">
        <v>50</v>
      </c>
      <c r="O31" s="928">
        <v>56</v>
      </c>
      <c r="P31" s="928">
        <v>48</v>
      </c>
      <c r="Q31" s="928">
        <v>47.61</v>
      </c>
      <c r="R31" s="928">
        <v>48.5</v>
      </c>
      <c r="S31" s="928">
        <v>53.67</v>
      </c>
      <c r="T31" s="928">
        <v>62.3</v>
      </c>
      <c r="U31" s="928">
        <v>52.8</v>
      </c>
      <c r="V31" s="928">
        <v>47</v>
      </c>
      <c r="W31" s="928">
        <f>W32/W30*10</f>
        <v>51.334668456633267</v>
      </c>
      <c r="X31" s="928">
        <v>51.5</v>
      </c>
      <c r="Y31" s="928">
        <v>54.1</v>
      </c>
      <c r="Z31" s="928">
        <v>54</v>
      </c>
      <c r="AA31" s="928">
        <v>50</v>
      </c>
      <c r="AB31" s="928">
        <v>53</v>
      </c>
      <c r="AC31" s="928">
        <v>49.7</v>
      </c>
      <c r="AD31" s="928">
        <v>52.4</v>
      </c>
      <c r="AE31" s="928">
        <v>47.8</v>
      </c>
      <c r="AF31" s="928">
        <v>47.7</v>
      </c>
      <c r="AG31" s="928">
        <v>48.2</v>
      </c>
      <c r="AH31" s="928">
        <v>52.5</v>
      </c>
      <c r="AI31" s="928">
        <v>56</v>
      </c>
      <c r="AJ31" s="928">
        <v>52.64</v>
      </c>
      <c r="AK31" s="928">
        <v>47.2</v>
      </c>
      <c r="AL31" s="1829"/>
      <c r="AM31" s="1829"/>
      <c r="AN31" s="1829"/>
      <c r="AO31" s="1829"/>
      <c r="AP31" s="1829"/>
      <c r="AQ31" s="1829"/>
      <c r="AR31" s="1829"/>
      <c r="AS31" s="1829"/>
      <c r="AT31" s="1829"/>
      <c r="AU31" s="1829"/>
      <c r="AV31" s="1829"/>
      <c r="AW31" s="1829"/>
      <c r="AX31" s="1829"/>
      <c r="AY31" s="1829"/>
      <c r="AZ31" s="1829"/>
      <c r="BA31" s="928"/>
      <c r="BB31" s="928"/>
      <c r="BC31" s="1837"/>
      <c r="BD31" s="986"/>
      <c r="BE31" s="987"/>
      <c r="BG31" s="1070"/>
    </row>
    <row r="32" spans="1:73" s="1076" customFormat="1" ht="21.95" customHeight="1">
      <c r="A32" s="1806"/>
      <c r="B32" s="1807" t="s">
        <v>97</v>
      </c>
      <c r="C32" s="1806" t="s">
        <v>32</v>
      </c>
      <c r="D32" s="1832">
        <v>10619.633999999998</v>
      </c>
      <c r="E32" s="935">
        <v>10569.72</v>
      </c>
      <c r="F32" s="935"/>
      <c r="G32" s="935">
        <v>2989.35</v>
      </c>
      <c r="H32" s="1838">
        <f t="shared" si="30"/>
        <v>10999.6528</v>
      </c>
      <c r="I32" s="935">
        <f t="shared" ref="I32:V32" si="36">I30*I31/10</f>
        <v>48.387500000000003</v>
      </c>
      <c r="J32" s="935">
        <f t="shared" si="36"/>
        <v>765.6</v>
      </c>
      <c r="K32" s="935">
        <f t="shared" si="36"/>
        <v>999.11999999999989</v>
      </c>
      <c r="L32" s="935">
        <f t="shared" si="36"/>
        <v>555.99999999999989</v>
      </c>
      <c r="M32" s="935">
        <f t="shared" si="36"/>
        <v>1044.6799999999998</v>
      </c>
      <c r="N32" s="935">
        <f t="shared" si="36"/>
        <v>284.5</v>
      </c>
      <c r="O32" s="935">
        <f t="shared" si="36"/>
        <v>1181.5999999999999</v>
      </c>
      <c r="P32" s="935">
        <f t="shared" si="36"/>
        <v>434.4</v>
      </c>
      <c r="Q32" s="935">
        <f t="shared" si="36"/>
        <v>349.93349999999998</v>
      </c>
      <c r="R32" s="935">
        <f t="shared" si="36"/>
        <v>499.06500000000005</v>
      </c>
      <c r="S32" s="935">
        <f t="shared" si="36"/>
        <v>941.37180000000012</v>
      </c>
      <c r="T32" s="935">
        <f t="shared" si="36"/>
        <v>1235.4090000000001</v>
      </c>
      <c r="U32" s="935">
        <f t="shared" si="36"/>
        <v>845.85599999999999</v>
      </c>
      <c r="V32" s="935">
        <f t="shared" si="36"/>
        <v>1813.73</v>
      </c>
      <c r="W32" s="937">
        <f t="shared" si="32"/>
        <v>10706.871800000001</v>
      </c>
      <c r="X32" s="935">
        <f t="shared" ref="X32:AK32" si="37">X30*X31/10</f>
        <v>40.685000000000002</v>
      </c>
      <c r="Y32" s="935">
        <f t="shared" si="37"/>
        <v>714.12</v>
      </c>
      <c r="Z32" s="935">
        <f t="shared" si="37"/>
        <v>993.6</v>
      </c>
      <c r="AA32" s="935">
        <f t="shared" si="37"/>
        <v>555.99999999999989</v>
      </c>
      <c r="AB32" s="935">
        <f t="shared" si="37"/>
        <v>1038.8</v>
      </c>
      <c r="AC32" s="935">
        <f>AC30*AC31/10</f>
        <v>282.79300000000001</v>
      </c>
      <c r="AD32" s="935">
        <f t="shared" si="37"/>
        <v>1105.6399999999999</v>
      </c>
      <c r="AE32" s="935">
        <f t="shared" si="37"/>
        <v>432.59</v>
      </c>
      <c r="AF32" s="935">
        <f t="shared" si="37"/>
        <v>350.59500000000003</v>
      </c>
      <c r="AG32" s="935">
        <f t="shared" si="37"/>
        <v>495.97800000000007</v>
      </c>
      <c r="AH32" s="935">
        <f t="shared" si="37"/>
        <v>920.85</v>
      </c>
      <c r="AI32" s="935">
        <f t="shared" si="37"/>
        <v>1110.48</v>
      </c>
      <c r="AJ32" s="935">
        <f t="shared" si="37"/>
        <v>843.29279999999994</v>
      </c>
      <c r="AK32" s="935">
        <f t="shared" si="37"/>
        <v>1821.4479999999999</v>
      </c>
      <c r="AL32" s="1829"/>
      <c r="AM32" s="1829"/>
      <c r="AN32" s="1829"/>
      <c r="AO32" s="1829"/>
      <c r="AP32" s="1829"/>
      <c r="AQ32" s="1829"/>
      <c r="AR32" s="1829"/>
      <c r="AS32" s="1829"/>
      <c r="AT32" s="1829"/>
      <c r="AU32" s="1829"/>
      <c r="AV32" s="1829"/>
      <c r="AW32" s="1829"/>
      <c r="AX32" s="1829"/>
      <c r="AY32" s="1829"/>
      <c r="AZ32" s="1829"/>
      <c r="BA32" s="928"/>
      <c r="BB32" s="928"/>
      <c r="BC32" s="1830"/>
      <c r="BD32" s="992"/>
      <c r="BE32" s="987"/>
      <c r="BG32" s="1070"/>
    </row>
    <row r="33" spans="1:71" s="1065" customFormat="1" ht="21.95" customHeight="1">
      <c r="A33" s="1794"/>
      <c r="B33" s="925" t="s">
        <v>98</v>
      </c>
      <c r="C33" s="1791" t="s">
        <v>93</v>
      </c>
      <c r="D33" s="1824">
        <v>375</v>
      </c>
      <c r="E33" s="936">
        <v>365</v>
      </c>
      <c r="F33" s="936">
        <v>365</v>
      </c>
      <c r="G33" s="936">
        <v>365</v>
      </c>
      <c r="H33" s="1825">
        <f t="shared" si="30"/>
        <v>365</v>
      </c>
      <c r="I33" s="936">
        <v>2</v>
      </c>
      <c r="J33" s="936"/>
      <c r="K33" s="936">
        <v>2</v>
      </c>
      <c r="L33" s="936">
        <v>20</v>
      </c>
      <c r="M33" s="936">
        <v>3</v>
      </c>
      <c r="N33" s="936">
        <v>45</v>
      </c>
      <c r="O33" s="936">
        <v>38</v>
      </c>
      <c r="P33" s="936">
        <v>70</v>
      </c>
      <c r="Q33" s="936">
        <v>45</v>
      </c>
      <c r="R33" s="936">
        <v>20</v>
      </c>
      <c r="S33" s="936"/>
      <c r="T33" s="936"/>
      <c r="U33" s="936">
        <v>40</v>
      </c>
      <c r="V33" s="936">
        <v>80</v>
      </c>
      <c r="W33" s="1825">
        <f t="shared" si="32"/>
        <v>365</v>
      </c>
      <c r="X33" s="936">
        <v>2</v>
      </c>
      <c r="Y33" s="936"/>
      <c r="Z33" s="936">
        <v>2</v>
      </c>
      <c r="AA33" s="936">
        <v>20</v>
      </c>
      <c r="AB33" s="936">
        <v>3</v>
      </c>
      <c r="AC33" s="936">
        <v>45</v>
      </c>
      <c r="AD33" s="936">
        <v>38</v>
      </c>
      <c r="AE33" s="936">
        <v>70</v>
      </c>
      <c r="AF33" s="936">
        <v>45</v>
      </c>
      <c r="AG33" s="936">
        <v>20</v>
      </c>
      <c r="AH33" s="936"/>
      <c r="AI33" s="936"/>
      <c r="AJ33" s="936">
        <v>40</v>
      </c>
      <c r="AK33" s="936">
        <v>80</v>
      </c>
      <c r="AL33" s="1825">
        <f t="shared" ref="AL33" si="38">SUM(AM33:AZ33)</f>
        <v>365</v>
      </c>
      <c r="AM33" s="936">
        <v>2</v>
      </c>
      <c r="AN33" s="936"/>
      <c r="AO33" s="936">
        <v>2</v>
      </c>
      <c r="AP33" s="936">
        <v>20</v>
      </c>
      <c r="AQ33" s="936">
        <v>3</v>
      </c>
      <c r="AR33" s="936">
        <v>45</v>
      </c>
      <c r="AS33" s="936">
        <v>38</v>
      </c>
      <c r="AT33" s="936">
        <v>70</v>
      </c>
      <c r="AU33" s="936">
        <v>45</v>
      </c>
      <c r="AV33" s="936">
        <v>20</v>
      </c>
      <c r="AW33" s="936"/>
      <c r="AX33" s="936"/>
      <c r="AY33" s="936">
        <v>40</v>
      </c>
      <c r="AZ33" s="936">
        <v>80</v>
      </c>
      <c r="BA33" s="1825">
        <f t="shared" si="8"/>
        <v>100</v>
      </c>
      <c r="BB33" s="1825">
        <f t="shared" si="9"/>
        <v>100</v>
      </c>
      <c r="BC33" s="1833"/>
      <c r="BD33" s="993"/>
      <c r="BE33" s="985"/>
      <c r="BG33" s="1073"/>
      <c r="BR33" s="1077" t="e">
        <f>#REF!-#REF!</f>
        <v>#REF!</v>
      </c>
    </row>
    <row r="34" spans="1:71" s="1069" customFormat="1" ht="21.95" customHeight="1">
      <c r="A34" s="1826"/>
      <c r="B34" s="1839" t="s">
        <v>745</v>
      </c>
      <c r="C34" s="954"/>
      <c r="D34" s="1828">
        <v>375</v>
      </c>
      <c r="E34" s="1835">
        <v>365</v>
      </c>
      <c r="F34" s="1835"/>
      <c r="G34" s="1835">
        <v>133</v>
      </c>
      <c r="H34" s="1829">
        <f t="shared" si="30"/>
        <v>365</v>
      </c>
      <c r="I34" s="1835">
        <v>2</v>
      </c>
      <c r="J34" s="1835"/>
      <c r="K34" s="1835">
        <v>2</v>
      </c>
      <c r="L34" s="1835">
        <v>20</v>
      </c>
      <c r="M34" s="1835">
        <v>3</v>
      </c>
      <c r="N34" s="1835">
        <v>45</v>
      </c>
      <c r="O34" s="1835">
        <v>38</v>
      </c>
      <c r="P34" s="1835">
        <v>70</v>
      </c>
      <c r="Q34" s="1835">
        <v>45</v>
      </c>
      <c r="R34" s="1835">
        <v>20</v>
      </c>
      <c r="S34" s="1835"/>
      <c r="T34" s="1835"/>
      <c r="U34" s="1835">
        <v>40</v>
      </c>
      <c r="V34" s="1835">
        <v>80</v>
      </c>
      <c r="W34" s="1829">
        <f t="shared" si="32"/>
        <v>365</v>
      </c>
      <c r="X34" s="1835">
        <v>2</v>
      </c>
      <c r="Y34" s="1835"/>
      <c r="Z34" s="1835">
        <v>2</v>
      </c>
      <c r="AA34" s="1835">
        <v>20</v>
      </c>
      <c r="AB34" s="1835">
        <v>3</v>
      </c>
      <c r="AC34" s="1835">
        <v>45</v>
      </c>
      <c r="AD34" s="1835">
        <v>38</v>
      </c>
      <c r="AE34" s="1835">
        <v>70</v>
      </c>
      <c r="AF34" s="1835">
        <v>45</v>
      </c>
      <c r="AG34" s="1835">
        <v>20</v>
      </c>
      <c r="AH34" s="1835"/>
      <c r="AI34" s="1835"/>
      <c r="AJ34" s="1835">
        <v>40</v>
      </c>
      <c r="AK34" s="1835">
        <v>80</v>
      </c>
      <c r="AL34" s="1835"/>
      <c r="AM34" s="1835"/>
      <c r="AN34" s="1835"/>
      <c r="AO34" s="1835"/>
      <c r="AP34" s="1835"/>
      <c r="AQ34" s="1835"/>
      <c r="AR34" s="1835"/>
      <c r="AS34" s="1835"/>
      <c r="AT34" s="1835"/>
      <c r="AU34" s="1835"/>
      <c r="AV34" s="1835"/>
      <c r="AW34" s="1835"/>
      <c r="AX34" s="1835"/>
      <c r="AY34" s="1835"/>
      <c r="AZ34" s="1835"/>
      <c r="BA34" s="928"/>
      <c r="BB34" s="928"/>
      <c r="BC34" s="1836"/>
      <c r="BD34" s="992"/>
      <c r="BE34" s="990"/>
      <c r="BG34" s="1074"/>
    </row>
    <row r="35" spans="1:71" s="1003" customFormat="1" ht="21.95" customHeight="1">
      <c r="A35" s="1826"/>
      <c r="B35" s="932" t="s">
        <v>94</v>
      </c>
      <c r="C35" s="947" t="s">
        <v>90</v>
      </c>
      <c r="D35" s="1831">
        <v>12.042666666666669</v>
      </c>
      <c r="E35" s="928">
        <f>E36/E34*10</f>
        <v>12.055616438356164</v>
      </c>
      <c r="F35" s="928"/>
      <c r="G35" s="928">
        <f>G36/G34*10</f>
        <v>12.1</v>
      </c>
      <c r="H35" s="928">
        <f>H36/H34*10</f>
        <v>16.638082191780821</v>
      </c>
      <c r="I35" s="928">
        <v>12.1</v>
      </c>
      <c r="J35" s="928"/>
      <c r="K35" s="928">
        <v>12.1</v>
      </c>
      <c r="L35" s="928">
        <v>12</v>
      </c>
      <c r="M35" s="928">
        <v>12</v>
      </c>
      <c r="N35" s="928">
        <v>12.2</v>
      </c>
      <c r="O35" s="928">
        <v>10</v>
      </c>
      <c r="P35" s="928">
        <v>11.8</v>
      </c>
      <c r="Q35" s="928">
        <v>12.3</v>
      </c>
      <c r="R35" s="928">
        <v>12</v>
      </c>
      <c r="S35" s="928"/>
      <c r="T35" s="928"/>
      <c r="U35" s="928">
        <v>12</v>
      </c>
      <c r="V35" s="928">
        <v>34</v>
      </c>
      <c r="W35" s="928">
        <f>W36/W34*10</f>
        <v>12.091506849315071</v>
      </c>
      <c r="X35" s="928">
        <v>12</v>
      </c>
      <c r="Y35" s="928"/>
      <c r="Z35" s="928">
        <v>12.5</v>
      </c>
      <c r="AA35" s="928">
        <v>12</v>
      </c>
      <c r="AB35" s="928">
        <v>12</v>
      </c>
      <c r="AC35" s="928">
        <v>12</v>
      </c>
      <c r="AD35" s="928">
        <v>11.8</v>
      </c>
      <c r="AE35" s="928">
        <v>12</v>
      </c>
      <c r="AF35" s="928">
        <v>12</v>
      </c>
      <c r="AG35" s="928">
        <v>12</v>
      </c>
      <c r="AH35" s="928"/>
      <c r="AI35" s="928"/>
      <c r="AJ35" s="928">
        <v>12</v>
      </c>
      <c r="AK35" s="928">
        <v>12.5</v>
      </c>
      <c r="AL35" s="1835"/>
      <c r="AM35" s="1835"/>
      <c r="AN35" s="1835"/>
      <c r="AO35" s="1835"/>
      <c r="AP35" s="1835"/>
      <c r="AQ35" s="1835"/>
      <c r="AR35" s="1835"/>
      <c r="AS35" s="1835"/>
      <c r="AT35" s="1835"/>
      <c r="AU35" s="1835"/>
      <c r="AV35" s="1835"/>
      <c r="AW35" s="1835"/>
      <c r="AX35" s="1835"/>
      <c r="AY35" s="1835"/>
      <c r="AZ35" s="1835"/>
      <c r="BA35" s="928"/>
      <c r="BB35" s="928"/>
      <c r="BC35" s="1797"/>
      <c r="BD35" s="986"/>
      <c r="BE35" s="987"/>
    </row>
    <row r="36" spans="1:71" s="1075" customFormat="1" ht="21.95" customHeight="1">
      <c r="A36" s="1826"/>
      <c r="B36" s="932" t="s">
        <v>95</v>
      </c>
      <c r="C36" s="947" t="s">
        <v>32</v>
      </c>
      <c r="D36" s="938">
        <v>451.6</v>
      </c>
      <c r="E36" s="935">
        <v>440.03000000000003</v>
      </c>
      <c r="F36" s="935"/>
      <c r="G36" s="935">
        <v>160.93</v>
      </c>
      <c r="H36" s="935">
        <f t="shared" si="30"/>
        <v>607.29</v>
      </c>
      <c r="I36" s="935">
        <f>I34*I35/10</f>
        <v>2.42</v>
      </c>
      <c r="J36" s="935">
        <f t="shared" ref="J36:V36" si="39">J34*J35/10</f>
        <v>0</v>
      </c>
      <c r="K36" s="935">
        <f t="shared" si="39"/>
        <v>2.42</v>
      </c>
      <c r="L36" s="935">
        <f t="shared" si="39"/>
        <v>24</v>
      </c>
      <c r="M36" s="935">
        <f t="shared" si="39"/>
        <v>3.6</v>
      </c>
      <c r="N36" s="935">
        <f t="shared" si="39"/>
        <v>54.9</v>
      </c>
      <c r="O36" s="935">
        <f t="shared" si="39"/>
        <v>38</v>
      </c>
      <c r="P36" s="935">
        <f t="shared" si="39"/>
        <v>82.6</v>
      </c>
      <c r="Q36" s="935">
        <f t="shared" si="39"/>
        <v>55.35</v>
      </c>
      <c r="R36" s="935">
        <f t="shared" si="39"/>
        <v>24</v>
      </c>
      <c r="S36" s="935">
        <f t="shared" si="39"/>
        <v>0</v>
      </c>
      <c r="T36" s="935">
        <f t="shared" si="39"/>
        <v>0</v>
      </c>
      <c r="U36" s="935">
        <f t="shared" si="39"/>
        <v>48</v>
      </c>
      <c r="V36" s="935">
        <f t="shared" si="39"/>
        <v>272</v>
      </c>
      <c r="W36" s="928">
        <f t="shared" si="32"/>
        <v>441.34000000000003</v>
      </c>
      <c r="X36" s="935">
        <v>2.4</v>
      </c>
      <c r="Y36" s="935">
        <v>0</v>
      </c>
      <c r="Z36" s="935">
        <v>2.5</v>
      </c>
      <c r="AA36" s="935">
        <v>24</v>
      </c>
      <c r="AB36" s="935">
        <v>3.6</v>
      </c>
      <c r="AC36" s="935">
        <v>54</v>
      </c>
      <c r="AD36" s="935">
        <v>44.84</v>
      </c>
      <c r="AE36" s="935">
        <v>84</v>
      </c>
      <c r="AF36" s="935">
        <v>54</v>
      </c>
      <c r="AG36" s="935">
        <v>24</v>
      </c>
      <c r="AH36" s="935">
        <v>0</v>
      </c>
      <c r="AI36" s="935">
        <v>0</v>
      </c>
      <c r="AJ36" s="935">
        <v>48</v>
      </c>
      <c r="AK36" s="935">
        <v>100</v>
      </c>
      <c r="AL36" s="1835"/>
      <c r="AM36" s="1835"/>
      <c r="AN36" s="1835"/>
      <c r="AO36" s="1835"/>
      <c r="AP36" s="1835"/>
      <c r="AQ36" s="1835"/>
      <c r="AR36" s="1835"/>
      <c r="AS36" s="1835"/>
      <c r="AT36" s="1835"/>
      <c r="AU36" s="1835"/>
      <c r="AV36" s="1835"/>
      <c r="AW36" s="1835"/>
      <c r="AX36" s="1835"/>
      <c r="AY36" s="1835"/>
      <c r="AZ36" s="1835"/>
      <c r="BA36" s="928"/>
      <c r="BB36" s="928"/>
      <c r="BC36" s="1837"/>
      <c r="BD36" s="992"/>
      <c r="BE36" s="987"/>
    </row>
    <row r="37" spans="1:71" s="1020" customFormat="1" ht="21.6" customHeight="1">
      <c r="A37" s="1794"/>
      <c r="B37" s="925" t="s">
        <v>855</v>
      </c>
      <c r="C37" s="1791"/>
      <c r="D37" s="1824">
        <v>280</v>
      </c>
      <c r="E37" s="939">
        <v>280</v>
      </c>
      <c r="F37" s="939">
        <v>140</v>
      </c>
      <c r="G37" s="939">
        <v>140</v>
      </c>
      <c r="H37" s="1825">
        <f t="shared" si="30"/>
        <v>280</v>
      </c>
      <c r="I37" s="939"/>
      <c r="J37" s="939">
        <v>100</v>
      </c>
      <c r="K37" s="939">
        <v>80</v>
      </c>
      <c r="L37" s="939"/>
      <c r="M37" s="939">
        <v>100</v>
      </c>
      <c r="N37" s="939"/>
      <c r="O37" s="939"/>
      <c r="P37" s="939"/>
      <c r="Q37" s="939"/>
      <c r="R37" s="939"/>
      <c r="S37" s="939"/>
      <c r="T37" s="939"/>
      <c r="U37" s="939"/>
      <c r="V37" s="939"/>
      <c r="W37" s="1825">
        <f t="shared" si="32"/>
        <v>280</v>
      </c>
      <c r="X37" s="939">
        <v>0</v>
      </c>
      <c r="Y37" s="939">
        <v>100</v>
      </c>
      <c r="Z37" s="939">
        <v>80</v>
      </c>
      <c r="AA37" s="939">
        <v>0</v>
      </c>
      <c r="AB37" s="939">
        <v>100</v>
      </c>
      <c r="AC37" s="939">
        <v>0</v>
      </c>
      <c r="AD37" s="939">
        <v>0</v>
      </c>
      <c r="AE37" s="939">
        <v>0</v>
      </c>
      <c r="AF37" s="939">
        <v>0</v>
      </c>
      <c r="AG37" s="939">
        <v>0</v>
      </c>
      <c r="AH37" s="939">
        <v>0</v>
      </c>
      <c r="AI37" s="939">
        <v>0</v>
      </c>
      <c r="AJ37" s="939">
        <v>0</v>
      </c>
      <c r="AK37" s="939">
        <v>0</v>
      </c>
      <c r="AL37" s="1825">
        <f t="shared" ref="AL37" si="40">SUM(AM37:AZ37)</f>
        <v>140</v>
      </c>
      <c r="AM37" s="939">
        <v>0</v>
      </c>
      <c r="AN37" s="939">
        <v>50</v>
      </c>
      <c r="AO37" s="939">
        <v>40</v>
      </c>
      <c r="AP37" s="939">
        <v>0</v>
      </c>
      <c r="AQ37" s="939">
        <v>50</v>
      </c>
      <c r="AR37" s="939">
        <v>0</v>
      </c>
      <c r="AS37" s="939">
        <v>0</v>
      </c>
      <c r="AT37" s="939">
        <v>0</v>
      </c>
      <c r="AU37" s="939">
        <v>0</v>
      </c>
      <c r="AV37" s="939">
        <v>0</v>
      </c>
      <c r="AW37" s="939">
        <v>0</v>
      </c>
      <c r="AX37" s="939">
        <v>0</v>
      </c>
      <c r="AY37" s="939">
        <v>0</v>
      </c>
      <c r="AZ37" s="939">
        <v>0</v>
      </c>
      <c r="BA37" s="1825">
        <f t="shared" ref="BA37:BA43" si="41">AL37/F37%</f>
        <v>100</v>
      </c>
      <c r="BB37" s="1825">
        <f t="shared" ref="BB37:BB43" si="42">AL37/W37%</f>
        <v>50</v>
      </c>
      <c r="BC37" s="1796"/>
      <c r="BD37" s="992"/>
      <c r="BE37" s="985"/>
    </row>
    <row r="38" spans="1:71" s="1075" customFormat="1" ht="21.95" customHeight="1">
      <c r="A38" s="1826"/>
      <c r="B38" s="932" t="s">
        <v>94</v>
      </c>
      <c r="C38" s="947" t="s">
        <v>90</v>
      </c>
      <c r="D38" s="1840">
        <v>52.660714285714285</v>
      </c>
      <c r="E38" s="1841">
        <f>E39/E37*10</f>
        <v>52.321428571428569</v>
      </c>
      <c r="F38" s="1841">
        <f>F39/F37*10</f>
        <v>53.928571428571431</v>
      </c>
      <c r="G38" s="1841">
        <f>G39/G37*10</f>
        <v>53.928571428571431</v>
      </c>
      <c r="H38" s="928">
        <f>H39/H37*10</f>
        <v>52.321428571428569</v>
      </c>
      <c r="I38" s="1841"/>
      <c r="J38" s="1841">
        <v>52.5</v>
      </c>
      <c r="K38" s="1841">
        <v>52.5</v>
      </c>
      <c r="L38" s="1841"/>
      <c r="M38" s="1841">
        <v>52</v>
      </c>
      <c r="N38" s="1841"/>
      <c r="O38" s="1841"/>
      <c r="P38" s="1841"/>
      <c r="Q38" s="1841"/>
      <c r="R38" s="1841"/>
      <c r="S38" s="1841"/>
      <c r="T38" s="1841"/>
      <c r="U38" s="1841"/>
      <c r="V38" s="1841"/>
      <c r="W38" s="928">
        <f>W39/W37*10</f>
        <v>52.928571428571431</v>
      </c>
      <c r="X38" s="1841">
        <v>0</v>
      </c>
      <c r="Y38" s="1841">
        <v>53.5</v>
      </c>
      <c r="Z38" s="1823">
        <v>54</v>
      </c>
      <c r="AA38" s="1841">
        <v>0</v>
      </c>
      <c r="AB38" s="1841">
        <v>51.5</v>
      </c>
      <c r="AC38" s="1841">
        <v>0</v>
      </c>
      <c r="AD38" s="1841">
        <v>0</v>
      </c>
      <c r="AE38" s="1841">
        <v>0</v>
      </c>
      <c r="AF38" s="1841">
        <v>0</v>
      </c>
      <c r="AG38" s="1841">
        <v>0</v>
      </c>
      <c r="AH38" s="1841">
        <v>0</v>
      </c>
      <c r="AI38" s="1841">
        <v>0</v>
      </c>
      <c r="AJ38" s="1841">
        <v>0</v>
      </c>
      <c r="AK38" s="1841">
        <v>0</v>
      </c>
      <c r="AL38" s="928">
        <f>AL39/AL37*10</f>
        <v>54.142857142857146</v>
      </c>
      <c r="AM38" s="1841">
        <v>0</v>
      </c>
      <c r="AN38" s="1841">
        <v>53</v>
      </c>
      <c r="AO38" s="1823">
        <v>54.5</v>
      </c>
      <c r="AP38" s="1841">
        <v>0</v>
      </c>
      <c r="AQ38" s="1841">
        <v>55</v>
      </c>
      <c r="AR38" s="1841">
        <v>0</v>
      </c>
      <c r="AS38" s="1841">
        <v>0</v>
      </c>
      <c r="AT38" s="1841">
        <v>0</v>
      </c>
      <c r="AU38" s="1841">
        <v>0</v>
      </c>
      <c r="AV38" s="1841">
        <v>0</v>
      </c>
      <c r="AW38" s="1841">
        <v>0</v>
      </c>
      <c r="AX38" s="1841">
        <v>0</v>
      </c>
      <c r="AY38" s="1841">
        <v>0</v>
      </c>
      <c r="AZ38" s="1841">
        <v>0</v>
      </c>
      <c r="BA38" s="928">
        <f t="shared" si="41"/>
        <v>100.3973509933775</v>
      </c>
      <c r="BB38" s="928">
        <f t="shared" si="42"/>
        <v>102.29419703103913</v>
      </c>
      <c r="BC38" s="1837"/>
      <c r="BD38" s="986"/>
      <c r="BE38" s="987"/>
    </row>
    <row r="39" spans="1:71" s="1076" customFormat="1" ht="21.95" customHeight="1">
      <c r="A39" s="1842"/>
      <c r="B39" s="1807" t="s">
        <v>95</v>
      </c>
      <c r="C39" s="1806" t="s">
        <v>32</v>
      </c>
      <c r="D39" s="1832">
        <v>1474.5</v>
      </c>
      <c r="E39" s="935">
        <v>1465</v>
      </c>
      <c r="F39" s="935">
        <v>755</v>
      </c>
      <c r="G39" s="935">
        <v>755</v>
      </c>
      <c r="H39" s="928">
        <f t="shared" si="30"/>
        <v>1465</v>
      </c>
      <c r="I39" s="935"/>
      <c r="J39" s="935">
        <v>525</v>
      </c>
      <c r="K39" s="935">
        <v>420</v>
      </c>
      <c r="L39" s="935">
        <v>0</v>
      </c>
      <c r="M39" s="935">
        <v>520</v>
      </c>
      <c r="N39" s="935"/>
      <c r="O39" s="935"/>
      <c r="P39" s="935"/>
      <c r="Q39" s="935"/>
      <c r="R39" s="935"/>
      <c r="S39" s="935"/>
      <c r="T39" s="935"/>
      <c r="U39" s="935"/>
      <c r="V39" s="935"/>
      <c r="W39" s="928">
        <f t="shared" si="32"/>
        <v>1482</v>
      </c>
      <c r="X39" s="935">
        <v>0</v>
      </c>
      <c r="Y39" s="935">
        <f>Y37*Y38/10</f>
        <v>535</v>
      </c>
      <c r="Z39" s="935">
        <f t="shared" ref="Z39:AB39" si="43">Z37*Z38/10</f>
        <v>432</v>
      </c>
      <c r="AA39" s="935">
        <v>0</v>
      </c>
      <c r="AB39" s="935">
        <f t="shared" si="43"/>
        <v>515</v>
      </c>
      <c r="AC39" s="935">
        <v>0</v>
      </c>
      <c r="AD39" s="935">
        <v>0</v>
      </c>
      <c r="AE39" s="935">
        <v>0</v>
      </c>
      <c r="AF39" s="935">
        <v>0</v>
      </c>
      <c r="AG39" s="935">
        <v>0</v>
      </c>
      <c r="AH39" s="935">
        <v>0</v>
      </c>
      <c r="AI39" s="935">
        <v>0</v>
      </c>
      <c r="AJ39" s="935">
        <v>0</v>
      </c>
      <c r="AK39" s="935">
        <v>0</v>
      </c>
      <c r="AL39" s="928">
        <f t="shared" ref="AL39:AL41" si="44">SUM(AM39:AZ39)</f>
        <v>758</v>
      </c>
      <c r="AM39" s="935">
        <v>0</v>
      </c>
      <c r="AN39" s="935">
        <f>AN37*AN38/10</f>
        <v>265</v>
      </c>
      <c r="AO39" s="935">
        <f t="shared" ref="AO39" si="45">AO37*AO38/10</f>
        <v>218</v>
      </c>
      <c r="AP39" s="935">
        <v>0</v>
      </c>
      <c r="AQ39" s="935">
        <f t="shared" ref="AQ39" si="46">AQ37*AQ38/10</f>
        <v>275</v>
      </c>
      <c r="AR39" s="935">
        <v>0</v>
      </c>
      <c r="AS39" s="935">
        <v>0</v>
      </c>
      <c r="AT39" s="935">
        <v>0</v>
      </c>
      <c r="AU39" s="935">
        <v>0</v>
      </c>
      <c r="AV39" s="935">
        <v>0</v>
      </c>
      <c r="AW39" s="935">
        <v>0</v>
      </c>
      <c r="AX39" s="935">
        <v>0</v>
      </c>
      <c r="AY39" s="935">
        <v>0</v>
      </c>
      <c r="AZ39" s="935">
        <v>0</v>
      </c>
      <c r="BA39" s="928">
        <f t="shared" si="41"/>
        <v>100.39735099337749</v>
      </c>
      <c r="BB39" s="928">
        <f t="shared" si="42"/>
        <v>51.147098515519566</v>
      </c>
      <c r="BC39" s="1830"/>
      <c r="BD39" s="992"/>
      <c r="BE39" s="987"/>
    </row>
    <row r="40" spans="1:71" s="1065" customFormat="1" ht="21.95" customHeight="1">
      <c r="A40" s="1794">
        <v>2</v>
      </c>
      <c r="B40" s="925" t="s">
        <v>856</v>
      </c>
      <c r="C40" s="1791" t="s">
        <v>87</v>
      </c>
      <c r="D40" s="1843">
        <v>1231.3</v>
      </c>
      <c r="E40" s="1844">
        <f t="shared" ref="E40:F40" si="47">E44+E48</f>
        <v>1180</v>
      </c>
      <c r="F40" s="1844">
        <f t="shared" si="47"/>
        <v>1165</v>
      </c>
      <c r="G40" s="1843">
        <f t="shared" ref="G40" si="48">G44+G48</f>
        <v>1197.4000000000001</v>
      </c>
      <c r="H40" s="1845">
        <f>SUM(I40:V40)</f>
        <v>1197.4000000000001</v>
      </c>
      <c r="I40" s="1845">
        <f>I44+I48</f>
        <v>10</v>
      </c>
      <c r="J40" s="1845">
        <f t="shared" ref="J40:V40" si="49">J44+J48</f>
        <v>47</v>
      </c>
      <c r="K40" s="1845">
        <f t="shared" si="49"/>
        <v>98</v>
      </c>
      <c r="L40" s="1845">
        <f t="shared" si="49"/>
        <v>51</v>
      </c>
      <c r="M40" s="1845">
        <f t="shared" si="49"/>
        <v>35</v>
      </c>
      <c r="N40" s="1845">
        <f t="shared" si="49"/>
        <v>47</v>
      </c>
      <c r="O40" s="1845">
        <f t="shared" si="49"/>
        <v>169.4</v>
      </c>
      <c r="P40" s="1845">
        <f t="shared" si="49"/>
        <v>115</v>
      </c>
      <c r="Q40" s="1845">
        <f t="shared" si="49"/>
        <v>137</v>
      </c>
      <c r="R40" s="1845">
        <f t="shared" si="49"/>
        <v>60</v>
      </c>
      <c r="S40" s="1845">
        <f t="shared" si="49"/>
        <v>96</v>
      </c>
      <c r="T40" s="1845">
        <f t="shared" si="49"/>
        <v>50</v>
      </c>
      <c r="U40" s="1845">
        <f t="shared" si="49"/>
        <v>102</v>
      </c>
      <c r="V40" s="1845">
        <f t="shared" si="49"/>
        <v>180</v>
      </c>
      <c r="W40" s="1825">
        <f t="shared" si="32"/>
        <v>1175</v>
      </c>
      <c r="X40" s="1846">
        <f>X44+X48</f>
        <v>8</v>
      </c>
      <c r="Y40" s="1846">
        <f t="shared" ref="Y40:AK40" si="50">Y44+Y48</f>
        <v>43</v>
      </c>
      <c r="Z40" s="1846">
        <f t="shared" si="50"/>
        <v>97</v>
      </c>
      <c r="AA40" s="1846">
        <f t="shared" si="50"/>
        <v>51</v>
      </c>
      <c r="AB40" s="1846">
        <f t="shared" si="50"/>
        <v>33</v>
      </c>
      <c r="AC40" s="1846">
        <f t="shared" si="50"/>
        <v>47</v>
      </c>
      <c r="AD40" s="1846">
        <f t="shared" si="50"/>
        <v>167</v>
      </c>
      <c r="AE40" s="1846">
        <f t="shared" si="50"/>
        <v>112</v>
      </c>
      <c r="AF40" s="1846">
        <f t="shared" si="50"/>
        <v>137</v>
      </c>
      <c r="AG40" s="1846">
        <f t="shared" si="50"/>
        <v>60</v>
      </c>
      <c r="AH40" s="1846">
        <f t="shared" si="50"/>
        <v>90</v>
      </c>
      <c r="AI40" s="1846">
        <f t="shared" si="50"/>
        <v>50</v>
      </c>
      <c r="AJ40" s="1846">
        <f t="shared" si="50"/>
        <v>102</v>
      </c>
      <c r="AK40" s="1846">
        <f t="shared" si="50"/>
        <v>178</v>
      </c>
      <c r="AL40" s="1825">
        <f t="shared" si="44"/>
        <v>1160</v>
      </c>
      <c r="AM40" s="1846">
        <f>AM44+AM48</f>
        <v>8</v>
      </c>
      <c r="AN40" s="1846">
        <f t="shared" ref="AN40:AZ40" si="51">AN44+AN48</f>
        <v>41</v>
      </c>
      <c r="AO40" s="1846">
        <f t="shared" si="51"/>
        <v>95</v>
      </c>
      <c r="AP40" s="1846">
        <f t="shared" si="51"/>
        <v>50</v>
      </c>
      <c r="AQ40" s="1846">
        <f t="shared" si="51"/>
        <v>30</v>
      </c>
      <c r="AR40" s="1846">
        <f t="shared" si="51"/>
        <v>47</v>
      </c>
      <c r="AS40" s="1846">
        <f t="shared" si="51"/>
        <v>165</v>
      </c>
      <c r="AT40" s="1846">
        <f t="shared" si="51"/>
        <v>112</v>
      </c>
      <c r="AU40" s="1846">
        <f t="shared" si="51"/>
        <v>137</v>
      </c>
      <c r="AV40" s="1846">
        <f t="shared" si="51"/>
        <v>60</v>
      </c>
      <c r="AW40" s="1846">
        <f t="shared" si="51"/>
        <v>90</v>
      </c>
      <c r="AX40" s="1846">
        <f t="shared" si="51"/>
        <v>50</v>
      </c>
      <c r="AY40" s="1846">
        <f t="shared" si="51"/>
        <v>100</v>
      </c>
      <c r="AZ40" s="1846">
        <f t="shared" si="51"/>
        <v>175</v>
      </c>
      <c r="BA40" s="1825">
        <f t="shared" si="41"/>
        <v>99.570815450643778</v>
      </c>
      <c r="BB40" s="1825">
        <f t="shared" si="42"/>
        <v>98.723404255319153</v>
      </c>
      <c r="BC40" s="1833"/>
      <c r="BD40" s="986"/>
      <c r="BE40" s="985"/>
    </row>
    <row r="41" spans="1:71" s="1078" customFormat="1" ht="21.95" customHeight="1">
      <c r="A41" s="1820"/>
      <c r="B41" s="932" t="s">
        <v>88</v>
      </c>
      <c r="C41" s="947"/>
      <c r="D41" s="1847">
        <v>1226.8999999999999</v>
      </c>
      <c r="E41" s="1847">
        <f t="shared" ref="E41:F41" si="52">E45+E48</f>
        <v>1180</v>
      </c>
      <c r="F41" s="1847">
        <f t="shared" si="52"/>
        <v>795</v>
      </c>
      <c r="G41" s="1831">
        <f t="shared" ref="G41" si="53">G45+G48</f>
        <v>1194.4000000000001</v>
      </c>
      <c r="H41" s="1848">
        <f>SUM(I41:V41)</f>
        <v>1194.4000000000001</v>
      </c>
      <c r="I41" s="1831">
        <f>I45+I48</f>
        <v>10</v>
      </c>
      <c r="J41" s="1831">
        <f t="shared" ref="J41:V41" si="54">J45+J48</f>
        <v>47</v>
      </c>
      <c r="K41" s="1831">
        <f t="shared" si="54"/>
        <v>98</v>
      </c>
      <c r="L41" s="1831">
        <f t="shared" si="54"/>
        <v>51</v>
      </c>
      <c r="M41" s="1831">
        <f t="shared" si="54"/>
        <v>35</v>
      </c>
      <c r="N41" s="1847">
        <f t="shared" si="54"/>
        <v>47</v>
      </c>
      <c r="O41" s="1831">
        <f t="shared" si="54"/>
        <v>169.4</v>
      </c>
      <c r="P41" s="1831">
        <f t="shared" si="54"/>
        <v>115</v>
      </c>
      <c r="Q41" s="1831">
        <f>Q45+Q48</f>
        <v>137</v>
      </c>
      <c r="R41" s="1831">
        <f t="shared" si="54"/>
        <v>60</v>
      </c>
      <c r="S41" s="1831">
        <f t="shared" si="54"/>
        <v>93</v>
      </c>
      <c r="T41" s="1831">
        <f t="shared" si="54"/>
        <v>50</v>
      </c>
      <c r="U41" s="1831">
        <f t="shared" si="54"/>
        <v>102</v>
      </c>
      <c r="V41" s="1831">
        <f t="shared" si="54"/>
        <v>180</v>
      </c>
      <c r="W41" s="928">
        <f t="shared" si="32"/>
        <v>1175</v>
      </c>
      <c r="X41" s="1849">
        <f>X45+X48</f>
        <v>8</v>
      </c>
      <c r="Y41" s="1849">
        <f t="shared" ref="Y41:AK41" si="55">Y45+Y48</f>
        <v>43</v>
      </c>
      <c r="Z41" s="1849">
        <f t="shared" si="55"/>
        <v>97</v>
      </c>
      <c r="AA41" s="1849">
        <f t="shared" si="55"/>
        <v>51</v>
      </c>
      <c r="AB41" s="1849">
        <f t="shared" si="55"/>
        <v>33</v>
      </c>
      <c r="AC41" s="1849">
        <f t="shared" si="55"/>
        <v>47</v>
      </c>
      <c r="AD41" s="1849">
        <f t="shared" si="55"/>
        <v>167</v>
      </c>
      <c r="AE41" s="1849">
        <f t="shared" si="55"/>
        <v>112</v>
      </c>
      <c r="AF41" s="1849">
        <f t="shared" si="55"/>
        <v>137</v>
      </c>
      <c r="AG41" s="1849">
        <f t="shared" si="55"/>
        <v>60</v>
      </c>
      <c r="AH41" s="1849">
        <f t="shared" si="55"/>
        <v>90</v>
      </c>
      <c r="AI41" s="1849">
        <f t="shared" si="55"/>
        <v>50</v>
      </c>
      <c r="AJ41" s="1849">
        <f t="shared" si="55"/>
        <v>102</v>
      </c>
      <c r="AK41" s="1849">
        <f t="shared" si="55"/>
        <v>178</v>
      </c>
      <c r="AL41" s="928">
        <f t="shared" si="44"/>
        <v>795</v>
      </c>
      <c r="AM41" s="1849">
        <f>AM45+AM48</f>
        <v>8</v>
      </c>
      <c r="AN41" s="1849">
        <f t="shared" ref="AN41:AZ41" si="56">AN45+AN48</f>
        <v>31</v>
      </c>
      <c r="AO41" s="1849">
        <f t="shared" si="56"/>
        <v>75</v>
      </c>
      <c r="AP41" s="1849">
        <f t="shared" si="56"/>
        <v>28</v>
      </c>
      <c r="AQ41" s="1849">
        <f t="shared" si="56"/>
        <v>22</v>
      </c>
      <c r="AR41" s="1849">
        <f t="shared" si="56"/>
        <v>29</v>
      </c>
      <c r="AS41" s="1849">
        <f t="shared" si="56"/>
        <v>94</v>
      </c>
      <c r="AT41" s="1849">
        <f t="shared" si="56"/>
        <v>74</v>
      </c>
      <c r="AU41" s="1849">
        <f t="shared" si="56"/>
        <v>109</v>
      </c>
      <c r="AV41" s="1849">
        <f t="shared" si="56"/>
        <v>49</v>
      </c>
      <c r="AW41" s="1849">
        <f t="shared" si="56"/>
        <v>68</v>
      </c>
      <c r="AX41" s="1849">
        <f t="shared" si="56"/>
        <v>32</v>
      </c>
      <c r="AY41" s="1849">
        <f t="shared" si="56"/>
        <v>77</v>
      </c>
      <c r="AZ41" s="1849">
        <f t="shared" si="56"/>
        <v>99</v>
      </c>
      <c r="BA41" s="928">
        <f t="shared" si="41"/>
        <v>100</v>
      </c>
      <c r="BB41" s="928">
        <f t="shared" si="42"/>
        <v>67.659574468085111</v>
      </c>
      <c r="BC41" s="1850"/>
      <c r="BD41" s="994"/>
      <c r="BE41" s="987"/>
      <c r="BG41" s="1079"/>
    </row>
    <row r="42" spans="1:71" s="1080" customFormat="1" ht="21.95" customHeight="1">
      <c r="A42" s="1851"/>
      <c r="B42" s="932" t="s">
        <v>89</v>
      </c>
      <c r="C42" s="947" t="s">
        <v>90</v>
      </c>
      <c r="D42" s="1831">
        <v>32.109055342733718</v>
      </c>
      <c r="E42" s="1831">
        <f>E43/E41*10</f>
        <v>33.896313559322031</v>
      </c>
      <c r="F42" s="1831">
        <f t="shared" ref="F42:G42" si="57">F43/F41*10</f>
        <v>33.906792452830189</v>
      </c>
      <c r="G42" s="1831">
        <f t="shared" si="57"/>
        <v>32.971282652377759</v>
      </c>
      <c r="H42" s="1848">
        <f>H43/H41*10</f>
        <v>33.788596784996649</v>
      </c>
      <c r="I42" s="1848">
        <f t="shared" ref="I42:V42" si="58">I43/I41*10</f>
        <v>33.6</v>
      </c>
      <c r="J42" s="1848">
        <f t="shared" si="58"/>
        <v>33.957446808510639</v>
      </c>
      <c r="K42" s="1848">
        <f t="shared" si="58"/>
        <v>34.097959183673474</v>
      </c>
      <c r="L42" s="1848">
        <f t="shared" si="58"/>
        <v>33.450980392156865</v>
      </c>
      <c r="M42" s="1848">
        <f t="shared" si="58"/>
        <v>33.757142857142853</v>
      </c>
      <c r="N42" s="1848">
        <f t="shared" si="58"/>
        <v>33.700000000000003</v>
      </c>
      <c r="O42" s="1848">
        <f t="shared" si="58"/>
        <v>33.779220779220772</v>
      </c>
      <c r="P42" s="1848">
        <f t="shared" si="58"/>
        <v>33.478260869565219</v>
      </c>
      <c r="Q42" s="1848">
        <f t="shared" si="58"/>
        <v>33.700000000000003</v>
      </c>
      <c r="R42" s="1848">
        <f t="shared" si="58"/>
        <v>33.6</v>
      </c>
      <c r="S42" s="1848">
        <f t="shared" si="58"/>
        <v>33.645161290322591</v>
      </c>
      <c r="T42" s="1848">
        <f t="shared" si="58"/>
        <v>34.4</v>
      </c>
      <c r="U42" s="1848">
        <f t="shared" si="58"/>
        <v>33.901960784313722</v>
      </c>
      <c r="V42" s="1848">
        <f t="shared" si="58"/>
        <v>33.888888888888886</v>
      </c>
      <c r="W42" s="928">
        <f>W43/W41*10</f>
        <v>34.091080851063829</v>
      </c>
      <c r="X42" s="1831">
        <f>X43/X41*10</f>
        <v>33.799999999999997</v>
      </c>
      <c r="Y42" s="1831">
        <f t="shared" ref="Y42:AK42" si="59">Y43/Y41*10</f>
        <v>33.97674418604651</v>
      </c>
      <c r="Z42" s="1831">
        <f t="shared" si="59"/>
        <v>34.489690721649488</v>
      </c>
      <c r="AA42" s="1831">
        <f t="shared" si="59"/>
        <v>33.970588235294116</v>
      </c>
      <c r="AB42" s="1831">
        <f t="shared" si="59"/>
        <v>33.954545454545453</v>
      </c>
      <c r="AC42" s="1831">
        <f t="shared" si="59"/>
        <v>34</v>
      </c>
      <c r="AD42" s="1831">
        <f t="shared" si="59"/>
        <v>33.988023952095809</v>
      </c>
      <c r="AE42" s="1831">
        <f t="shared" si="59"/>
        <v>33.51</v>
      </c>
      <c r="AF42" s="1831">
        <f t="shared" si="59"/>
        <v>34.5</v>
      </c>
      <c r="AG42" s="1831">
        <f t="shared" si="59"/>
        <v>33.5</v>
      </c>
      <c r="AH42" s="1831">
        <f t="shared" si="59"/>
        <v>34</v>
      </c>
      <c r="AI42" s="1831">
        <f t="shared" si="59"/>
        <v>35</v>
      </c>
      <c r="AJ42" s="1831">
        <f t="shared" si="59"/>
        <v>34</v>
      </c>
      <c r="AK42" s="1831">
        <f t="shared" si="59"/>
        <v>34.188202247191015</v>
      </c>
      <c r="AL42" s="928">
        <f>AL43/AL41*10</f>
        <v>34.102440251572325</v>
      </c>
      <c r="AM42" s="1831">
        <f>AM43/AM41*10</f>
        <v>33.799999999999997</v>
      </c>
      <c r="AN42" s="1831">
        <f t="shared" ref="AN42:AZ42" si="60">AN43/AN41*10</f>
        <v>34</v>
      </c>
      <c r="AO42" s="1831">
        <f t="shared" si="60"/>
        <v>34.5</v>
      </c>
      <c r="AP42" s="1831">
        <f t="shared" si="60"/>
        <v>34</v>
      </c>
      <c r="AQ42" s="1831">
        <f t="shared" si="60"/>
        <v>34</v>
      </c>
      <c r="AR42" s="1831">
        <f t="shared" si="60"/>
        <v>34</v>
      </c>
      <c r="AS42" s="1831">
        <f t="shared" si="60"/>
        <v>34</v>
      </c>
      <c r="AT42" s="1831">
        <f t="shared" si="60"/>
        <v>33.51</v>
      </c>
      <c r="AU42" s="1831">
        <f t="shared" si="60"/>
        <v>34.5</v>
      </c>
      <c r="AV42" s="1831">
        <f t="shared" si="60"/>
        <v>33.5</v>
      </c>
      <c r="AW42" s="1831">
        <f t="shared" si="60"/>
        <v>34</v>
      </c>
      <c r="AX42" s="1831">
        <f t="shared" si="60"/>
        <v>35</v>
      </c>
      <c r="AY42" s="1831">
        <f t="shared" si="60"/>
        <v>34</v>
      </c>
      <c r="AZ42" s="1831">
        <f t="shared" si="60"/>
        <v>34.200000000000003</v>
      </c>
      <c r="BA42" s="928">
        <f t="shared" si="41"/>
        <v>100.57701653441362</v>
      </c>
      <c r="BB42" s="928">
        <f t="shared" si="42"/>
        <v>100.03332074027846</v>
      </c>
      <c r="BC42" s="1852"/>
      <c r="BD42" s="995"/>
      <c r="BE42" s="987"/>
      <c r="BS42" s="1081" t="e">
        <f>#REF!-#REF!</f>
        <v>#REF!</v>
      </c>
    </row>
    <row r="43" spans="1:71" s="1082" customFormat="1" ht="21.95" customHeight="1">
      <c r="A43" s="1853"/>
      <c r="B43" s="1854" t="s">
        <v>91</v>
      </c>
      <c r="C43" s="1806" t="s">
        <v>32</v>
      </c>
      <c r="D43" s="934">
        <v>3939.46</v>
      </c>
      <c r="E43" s="934">
        <f t="shared" ref="E43:F43" si="61">E47+E50</f>
        <v>3999.7649999999999</v>
      </c>
      <c r="F43" s="934">
        <f t="shared" si="61"/>
        <v>2695.59</v>
      </c>
      <c r="G43" s="934">
        <f t="shared" ref="G43" si="62">G47+G50</f>
        <v>3938.09</v>
      </c>
      <c r="H43" s="1849">
        <f t="shared" ref="H43" si="63">SUM(I43:V43)</f>
        <v>4035.71</v>
      </c>
      <c r="I43" s="1849">
        <f>I47+I50</f>
        <v>33.6</v>
      </c>
      <c r="J43" s="1849">
        <f>J47+J50</f>
        <v>159.6</v>
      </c>
      <c r="K43" s="1849">
        <f t="shared" ref="K43" si="64">K47+K50</f>
        <v>334.16</v>
      </c>
      <c r="L43" s="1849">
        <f>L47+L50</f>
        <v>170.6</v>
      </c>
      <c r="M43" s="1849">
        <f t="shared" ref="M43:V43" si="65">M47+M50</f>
        <v>118.14999999999999</v>
      </c>
      <c r="N43" s="1849">
        <f t="shared" si="65"/>
        <v>158.39000000000001</v>
      </c>
      <c r="O43" s="1849">
        <f t="shared" si="65"/>
        <v>572.21999999999991</v>
      </c>
      <c r="P43" s="1849">
        <f t="shared" si="65"/>
        <v>385</v>
      </c>
      <c r="Q43" s="1849">
        <f t="shared" si="65"/>
        <v>461.69000000000005</v>
      </c>
      <c r="R43" s="1849">
        <f t="shared" si="65"/>
        <v>201.6</v>
      </c>
      <c r="S43" s="1849">
        <f t="shared" si="65"/>
        <v>312.90000000000009</v>
      </c>
      <c r="T43" s="1849">
        <f t="shared" si="65"/>
        <v>172</v>
      </c>
      <c r="U43" s="1849">
        <f t="shared" si="65"/>
        <v>345.8</v>
      </c>
      <c r="V43" s="1849">
        <f t="shared" si="65"/>
        <v>610</v>
      </c>
      <c r="W43" s="1855">
        <f t="shared" si="32"/>
        <v>4005.7020000000002</v>
      </c>
      <c r="X43" s="1823">
        <f>X47+X50</f>
        <v>27.04</v>
      </c>
      <c r="Y43" s="1823">
        <f t="shared" ref="Y43:AK43" si="66">Y47+Y50</f>
        <v>146.1</v>
      </c>
      <c r="Z43" s="1823">
        <f t="shared" si="66"/>
        <v>334.55</v>
      </c>
      <c r="AA43" s="1823">
        <f t="shared" si="66"/>
        <v>173.25</v>
      </c>
      <c r="AB43" s="1823">
        <f t="shared" si="66"/>
        <v>112.05</v>
      </c>
      <c r="AC43" s="1823">
        <f t="shared" si="66"/>
        <v>159.80000000000001</v>
      </c>
      <c r="AD43" s="1823">
        <f t="shared" si="66"/>
        <v>567.6</v>
      </c>
      <c r="AE43" s="1823">
        <f t="shared" si="66"/>
        <v>375.31200000000001</v>
      </c>
      <c r="AF43" s="1823">
        <f t="shared" si="66"/>
        <v>472.65</v>
      </c>
      <c r="AG43" s="1823">
        <f t="shared" si="66"/>
        <v>201</v>
      </c>
      <c r="AH43" s="1823">
        <f t="shared" si="66"/>
        <v>306</v>
      </c>
      <c r="AI43" s="1823">
        <f t="shared" si="66"/>
        <v>175</v>
      </c>
      <c r="AJ43" s="1823">
        <f t="shared" si="66"/>
        <v>346.8</v>
      </c>
      <c r="AK43" s="1823">
        <f t="shared" si="66"/>
        <v>608.55000000000007</v>
      </c>
      <c r="AL43" s="1855">
        <f t="shared" ref="AL43" si="67">SUM(AM43:AZ43)</f>
        <v>2711.1440000000002</v>
      </c>
      <c r="AM43" s="1823">
        <f>AM47+AM50</f>
        <v>27.04</v>
      </c>
      <c r="AN43" s="1823">
        <f t="shared" ref="AN43:AZ43" si="68">AN47+AN50</f>
        <v>105.4</v>
      </c>
      <c r="AO43" s="1823">
        <f t="shared" si="68"/>
        <v>258.75</v>
      </c>
      <c r="AP43" s="1823">
        <f t="shared" si="68"/>
        <v>95.2</v>
      </c>
      <c r="AQ43" s="1823">
        <f t="shared" si="68"/>
        <v>74.8</v>
      </c>
      <c r="AR43" s="1823">
        <f t="shared" si="68"/>
        <v>98.6</v>
      </c>
      <c r="AS43" s="1823">
        <f t="shared" si="68"/>
        <v>319.60000000000002</v>
      </c>
      <c r="AT43" s="1823">
        <f t="shared" si="68"/>
        <v>247.97399999999999</v>
      </c>
      <c r="AU43" s="1823">
        <f t="shared" si="68"/>
        <v>376.05</v>
      </c>
      <c r="AV43" s="1823">
        <f t="shared" si="68"/>
        <v>164.15</v>
      </c>
      <c r="AW43" s="1823">
        <f t="shared" si="68"/>
        <v>231.2</v>
      </c>
      <c r="AX43" s="1823">
        <f t="shared" si="68"/>
        <v>112</v>
      </c>
      <c r="AY43" s="1823">
        <f t="shared" si="68"/>
        <v>261.8</v>
      </c>
      <c r="AZ43" s="1823">
        <f t="shared" si="68"/>
        <v>338.58000000000004</v>
      </c>
      <c r="BA43" s="928">
        <f t="shared" si="41"/>
        <v>100.57701653441363</v>
      </c>
      <c r="BB43" s="928">
        <f t="shared" si="42"/>
        <v>67.682119139167128</v>
      </c>
      <c r="BC43" s="1856"/>
      <c r="BD43" s="992"/>
      <c r="BE43" s="987"/>
    </row>
    <row r="44" spans="1:71" s="1083" customFormat="1" ht="21.95" customHeight="1">
      <c r="A44" s="1857"/>
      <c r="B44" s="1858" t="s">
        <v>857</v>
      </c>
      <c r="C44" s="1857" t="s">
        <v>93</v>
      </c>
      <c r="D44" s="1859">
        <v>1214.3</v>
      </c>
      <c r="E44" s="939">
        <v>1165</v>
      </c>
      <c r="F44" s="939">
        <v>1165</v>
      </c>
      <c r="G44" s="939">
        <v>1168</v>
      </c>
      <c r="H44" s="939">
        <f>SUM(I44:V44)</f>
        <v>1168</v>
      </c>
      <c r="I44" s="939">
        <v>8</v>
      </c>
      <c r="J44" s="939">
        <v>43</v>
      </c>
      <c r="K44" s="939">
        <v>96</v>
      </c>
      <c r="L44" s="939">
        <v>50</v>
      </c>
      <c r="M44" s="939">
        <v>30</v>
      </c>
      <c r="N44" s="939">
        <v>47</v>
      </c>
      <c r="O44" s="939">
        <v>165</v>
      </c>
      <c r="P44" s="939">
        <v>114</v>
      </c>
      <c r="Q44" s="939">
        <v>137</v>
      </c>
      <c r="R44" s="939">
        <v>60</v>
      </c>
      <c r="S44" s="939">
        <v>93</v>
      </c>
      <c r="T44" s="939">
        <v>50</v>
      </c>
      <c r="U44" s="939">
        <v>100</v>
      </c>
      <c r="V44" s="939">
        <v>175</v>
      </c>
      <c r="W44" s="1860">
        <f>SUM(X44:AK44)</f>
        <v>1160</v>
      </c>
      <c r="X44" s="1860">
        <v>8</v>
      </c>
      <c r="Y44" s="1860">
        <v>41</v>
      </c>
      <c r="Z44" s="1860">
        <v>95</v>
      </c>
      <c r="AA44" s="1860">
        <v>50</v>
      </c>
      <c r="AB44" s="1860">
        <v>30</v>
      </c>
      <c r="AC44" s="1860">
        <v>47</v>
      </c>
      <c r="AD44" s="1860">
        <v>165</v>
      </c>
      <c r="AE44" s="1860">
        <v>112</v>
      </c>
      <c r="AF44" s="1860">
        <v>137</v>
      </c>
      <c r="AG44" s="1860">
        <v>60</v>
      </c>
      <c r="AH44" s="1860">
        <v>90</v>
      </c>
      <c r="AI44" s="1860">
        <v>50</v>
      </c>
      <c r="AJ44" s="1860">
        <v>100</v>
      </c>
      <c r="AK44" s="1860">
        <v>175</v>
      </c>
      <c r="AL44" s="1860">
        <f>SUM(AM44:AZ44)</f>
        <v>1160</v>
      </c>
      <c r="AM44" s="1860">
        <v>8</v>
      </c>
      <c r="AN44" s="1860">
        <v>41</v>
      </c>
      <c r="AO44" s="1860">
        <v>95</v>
      </c>
      <c r="AP44" s="1860">
        <v>50</v>
      </c>
      <c r="AQ44" s="1860">
        <v>30</v>
      </c>
      <c r="AR44" s="1860">
        <v>47</v>
      </c>
      <c r="AS44" s="1860">
        <v>165</v>
      </c>
      <c r="AT44" s="1860">
        <v>112</v>
      </c>
      <c r="AU44" s="1860">
        <v>137</v>
      </c>
      <c r="AV44" s="1860">
        <v>60</v>
      </c>
      <c r="AW44" s="1860">
        <v>90</v>
      </c>
      <c r="AX44" s="1860">
        <v>50</v>
      </c>
      <c r="AY44" s="1860">
        <v>100</v>
      </c>
      <c r="AZ44" s="1860">
        <v>175</v>
      </c>
      <c r="BA44" s="1825">
        <f t="shared" ref="BA44:BA54" si="69">AL44/F44%</f>
        <v>99.570815450643778</v>
      </c>
      <c r="BB44" s="1825">
        <f t="shared" ref="BB44:BB54" si="70">AL44/W44%</f>
        <v>100</v>
      </c>
      <c r="BC44" s="1861"/>
      <c r="BD44" s="986"/>
      <c r="BE44" s="985"/>
    </row>
    <row r="45" spans="1:71" s="1084" customFormat="1" ht="21.95" customHeight="1">
      <c r="A45" s="1862"/>
      <c r="B45" s="1863" t="s">
        <v>99</v>
      </c>
      <c r="C45" s="1862" t="s">
        <v>87</v>
      </c>
      <c r="D45" s="1864">
        <v>1209.8999999999999</v>
      </c>
      <c r="E45" s="940">
        <v>1165</v>
      </c>
      <c r="F45" s="940">
        <v>795</v>
      </c>
      <c r="G45" s="940">
        <v>1165</v>
      </c>
      <c r="H45" s="940">
        <f>SUM(I45:V45)</f>
        <v>1165</v>
      </c>
      <c r="I45" s="940">
        <v>8</v>
      </c>
      <c r="J45" s="940">
        <v>43</v>
      </c>
      <c r="K45" s="940">
        <v>96</v>
      </c>
      <c r="L45" s="940">
        <v>50</v>
      </c>
      <c r="M45" s="940">
        <v>30</v>
      </c>
      <c r="N45" s="940">
        <v>47</v>
      </c>
      <c r="O45" s="940">
        <v>165</v>
      </c>
      <c r="P45" s="940">
        <v>114</v>
      </c>
      <c r="Q45" s="940">
        <v>137</v>
      </c>
      <c r="R45" s="940">
        <v>60</v>
      </c>
      <c r="S45" s="940">
        <v>90</v>
      </c>
      <c r="T45" s="940">
        <v>50</v>
      </c>
      <c r="U45" s="940">
        <v>100</v>
      </c>
      <c r="V45" s="940">
        <v>175</v>
      </c>
      <c r="W45" s="941">
        <f t="shared" ref="W45:W54" si="71">SUM(X45:AK45)</f>
        <v>1160</v>
      </c>
      <c r="X45" s="941">
        <v>8</v>
      </c>
      <c r="Y45" s="941">
        <v>41</v>
      </c>
      <c r="Z45" s="941">
        <v>95</v>
      </c>
      <c r="AA45" s="941">
        <v>50</v>
      </c>
      <c r="AB45" s="941">
        <v>30</v>
      </c>
      <c r="AC45" s="941">
        <v>47</v>
      </c>
      <c r="AD45" s="941">
        <v>165</v>
      </c>
      <c r="AE45" s="941">
        <v>112</v>
      </c>
      <c r="AF45" s="941">
        <v>137</v>
      </c>
      <c r="AG45" s="941">
        <v>60</v>
      </c>
      <c r="AH45" s="941">
        <v>90</v>
      </c>
      <c r="AI45" s="941">
        <v>50</v>
      </c>
      <c r="AJ45" s="941">
        <v>100</v>
      </c>
      <c r="AK45" s="941">
        <v>175</v>
      </c>
      <c r="AL45" s="941">
        <f t="shared" ref="AL45" si="72">SUM(AM45:AZ45)</f>
        <v>795</v>
      </c>
      <c r="AM45" s="941">
        <v>8</v>
      </c>
      <c r="AN45" s="941">
        <v>31</v>
      </c>
      <c r="AO45" s="941">
        <v>75</v>
      </c>
      <c r="AP45" s="941">
        <v>28</v>
      </c>
      <c r="AQ45" s="941">
        <v>22</v>
      </c>
      <c r="AR45" s="941">
        <v>29</v>
      </c>
      <c r="AS45" s="941">
        <v>94</v>
      </c>
      <c r="AT45" s="941">
        <v>74</v>
      </c>
      <c r="AU45" s="941">
        <v>109</v>
      </c>
      <c r="AV45" s="941">
        <v>49</v>
      </c>
      <c r="AW45" s="941">
        <v>68</v>
      </c>
      <c r="AX45" s="941">
        <v>32</v>
      </c>
      <c r="AY45" s="941">
        <v>77</v>
      </c>
      <c r="AZ45" s="941">
        <v>99</v>
      </c>
      <c r="BA45" s="928">
        <f t="shared" si="69"/>
        <v>100</v>
      </c>
      <c r="BB45" s="928">
        <f t="shared" si="70"/>
        <v>68.534482758620697</v>
      </c>
      <c r="BC45" s="1865"/>
      <c r="BD45" s="996"/>
      <c r="BE45" s="987"/>
    </row>
    <row r="46" spans="1:71" s="1003" customFormat="1" ht="21.95" customHeight="1">
      <c r="A46" s="1820"/>
      <c r="B46" s="932" t="s">
        <v>94</v>
      </c>
      <c r="C46" s="947" t="s">
        <v>90</v>
      </c>
      <c r="D46" s="1864">
        <v>32.109761137284075</v>
      </c>
      <c r="E46" s="941">
        <f>E47/E45*10</f>
        <v>33.902703862660942</v>
      </c>
      <c r="F46" s="941">
        <f t="shared" ref="F46" si="73">F47/F45*10</f>
        <v>33.906792452830189</v>
      </c>
      <c r="G46" s="941">
        <v>33.803347639484983</v>
      </c>
      <c r="H46" s="941">
        <f>H47/H45*10</f>
        <v>33.803347639484983</v>
      </c>
      <c r="I46" s="941">
        <v>33.5</v>
      </c>
      <c r="J46" s="940">
        <v>34</v>
      </c>
      <c r="K46" s="941">
        <v>34.1</v>
      </c>
      <c r="L46" s="941">
        <v>33.5</v>
      </c>
      <c r="M46" s="940">
        <v>33.799999999999997</v>
      </c>
      <c r="N46" s="940">
        <v>33.700000000000003</v>
      </c>
      <c r="O46" s="941">
        <v>33.799999999999997</v>
      </c>
      <c r="P46" s="941">
        <v>33.5</v>
      </c>
      <c r="Q46" s="941">
        <v>33.700000000000003</v>
      </c>
      <c r="R46" s="941">
        <v>33.6</v>
      </c>
      <c r="S46" s="941">
        <v>33.700000000000003</v>
      </c>
      <c r="T46" s="941">
        <v>34.4</v>
      </c>
      <c r="U46" s="941">
        <v>33.9</v>
      </c>
      <c r="V46" s="941">
        <v>33.9</v>
      </c>
      <c r="W46" s="941">
        <f>W47/W45*10</f>
        <v>34.098724137931036</v>
      </c>
      <c r="X46" s="941">
        <v>33.799999999999997</v>
      </c>
      <c r="Y46" s="941">
        <v>34</v>
      </c>
      <c r="Z46" s="941">
        <v>34.5</v>
      </c>
      <c r="AA46" s="941">
        <v>34</v>
      </c>
      <c r="AB46" s="941">
        <v>34</v>
      </c>
      <c r="AC46" s="941">
        <v>34</v>
      </c>
      <c r="AD46" s="941">
        <v>34</v>
      </c>
      <c r="AE46" s="941">
        <v>33.51</v>
      </c>
      <c r="AF46" s="941">
        <v>34.5</v>
      </c>
      <c r="AG46" s="941">
        <v>33.5</v>
      </c>
      <c r="AH46" s="941">
        <v>34</v>
      </c>
      <c r="AI46" s="941">
        <v>35</v>
      </c>
      <c r="AJ46" s="941">
        <v>34</v>
      </c>
      <c r="AK46" s="941">
        <v>34.200000000000003</v>
      </c>
      <c r="AL46" s="941">
        <f>AL47/AL45*10</f>
        <v>34.102440251572325</v>
      </c>
      <c r="AM46" s="941">
        <v>33.799999999999997</v>
      </c>
      <c r="AN46" s="941">
        <v>34</v>
      </c>
      <c r="AO46" s="941">
        <v>34.5</v>
      </c>
      <c r="AP46" s="941">
        <v>34</v>
      </c>
      <c r="AQ46" s="941">
        <v>34</v>
      </c>
      <c r="AR46" s="941">
        <v>34</v>
      </c>
      <c r="AS46" s="941">
        <v>34</v>
      </c>
      <c r="AT46" s="941">
        <v>33.51</v>
      </c>
      <c r="AU46" s="941">
        <v>34.5</v>
      </c>
      <c r="AV46" s="941">
        <v>33.5</v>
      </c>
      <c r="AW46" s="941">
        <v>34</v>
      </c>
      <c r="AX46" s="941">
        <v>35</v>
      </c>
      <c r="AY46" s="941">
        <v>34</v>
      </c>
      <c r="AZ46" s="941">
        <v>34.200000000000003</v>
      </c>
      <c r="BA46" s="928">
        <f t="shared" si="69"/>
        <v>100.57701653441362</v>
      </c>
      <c r="BB46" s="928">
        <f t="shared" si="70"/>
        <v>100.01089810171858</v>
      </c>
      <c r="BC46" s="1797"/>
      <c r="BD46" s="986"/>
      <c r="BE46" s="987"/>
      <c r="BF46" s="1070"/>
      <c r="BH46" s="1071"/>
      <c r="BR46" s="1071"/>
    </row>
    <row r="47" spans="1:71" s="1059" customFormat="1" ht="21.95" customHeight="1">
      <c r="A47" s="1806"/>
      <c r="B47" s="1807" t="s">
        <v>97</v>
      </c>
      <c r="C47" s="1806" t="s">
        <v>32</v>
      </c>
      <c r="D47" s="1866">
        <v>3884.96</v>
      </c>
      <c r="E47" s="940">
        <v>3949.665</v>
      </c>
      <c r="F47" s="940">
        <v>2695.59</v>
      </c>
      <c r="G47" s="940">
        <v>3938.09</v>
      </c>
      <c r="H47" s="940">
        <f>SUM(I47:V47)</f>
        <v>3938.09</v>
      </c>
      <c r="I47" s="940">
        <v>26.8</v>
      </c>
      <c r="J47" s="940">
        <v>146.19999999999999</v>
      </c>
      <c r="K47" s="940">
        <v>327.36</v>
      </c>
      <c r="L47" s="940">
        <v>167.5</v>
      </c>
      <c r="M47" s="940">
        <v>101.39999999999999</v>
      </c>
      <c r="N47" s="940">
        <v>158.39000000000001</v>
      </c>
      <c r="O47" s="940">
        <v>557.69999999999993</v>
      </c>
      <c r="P47" s="940">
        <v>381.9</v>
      </c>
      <c r="Q47" s="940">
        <v>461.69000000000005</v>
      </c>
      <c r="R47" s="940">
        <v>201.6</v>
      </c>
      <c r="S47" s="940">
        <v>303.30000000000007</v>
      </c>
      <c r="T47" s="940">
        <v>172</v>
      </c>
      <c r="U47" s="940">
        <v>339</v>
      </c>
      <c r="V47" s="940">
        <v>593.25</v>
      </c>
      <c r="W47" s="937">
        <f t="shared" si="71"/>
        <v>3955.4520000000002</v>
      </c>
      <c r="X47" s="937">
        <v>27.04</v>
      </c>
      <c r="Y47" s="937">
        <v>139.4</v>
      </c>
      <c r="Z47" s="937">
        <v>327.75</v>
      </c>
      <c r="AA47" s="937">
        <v>170</v>
      </c>
      <c r="AB47" s="937">
        <v>102</v>
      </c>
      <c r="AC47" s="937">
        <v>159.80000000000001</v>
      </c>
      <c r="AD47" s="937">
        <v>561</v>
      </c>
      <c r="AE47" s="937">
        <v>375.31200000000001</v>
      </c>
      <c r="AF47" s="937">
        <v>472.65</v>
      </c>
      <c r="AG47" s="937">
        <v>201</v>
      </c>
      <c r="AH47" s="937">
        <v>306</v>
      </c>
      <c r="AI47" s="937">
        <v>175</v>
      </c>
      <c r="AJ47" s="937">
        <v>340</v>
      </c>
      <c r="AK47" s="937">
        <v>598.50000000000011</v>
      </c>
      <c r="AL47" s="937">
        <f t="shared" ref="AL47" si="74">SUM(AM47:AZ47)</f>
        <v>2711.1440000000002</v>
      </c>
      <c r="AM47" s="940">
        <f>AM46*AM45/10</f>
        <v>27.04</v>
      </c>
      <c r="AN47" s="940">
        <f t="shared" ref="AN47:AZ47" si="75">AN46*AN45/10</f>
        <v>105.4</v>
      </c>
      <c r="AO47" s="940">
        <f t="shared" si="75"/>
        <v>258.75</v>
      </c>
      <c r="AP47" s="940">
        <f t="shared" si="75"/>
        <v>95.2</v>
      </c>
      <c r="AQ47" s="940">
        <f t="shared" si="75"/>
        <v>74.8</v>
      </c>
      <c r="AR47" s="940">
        <f t="shared" si="75"/>
        <v>98.6</v>
      </c>
      <c r="AS47" s="940">
        <f t="shared" si="75"/>
        <v>319.60000000000002</v>
      </c>
      <c r="AT47" s="940">
        <f t="shared" si="75"/>
        <v>247.97399999999999</v>
      </c>
      <c r="AU47" s="940">
        <f t="shared" si="75"/>
        <v>376.05</v>
      </c>
      <c r="AV47" s="940">
        <f t="shared" si="75"/>
        <v>164.15</v>
      </c>
      <c r="AW47" s="940">
        <f t="shared" si="75"/>
        <v>231.2</v>
      </c>
      <c r="AX47" s="940">
        <f t="shared" si="75"/>
        <v>112</v>
      </c>
      <c r="AY47" s="940">
        <f t="shared" si="75"/>
        <v>261.8</v>
      </c>
      <c r="AZ47" s="940">
        <f t="shared" si="75"/>
        <v>338.58000000000004</v>
      </c>
      <c r="BA47" s="928">
        <f t="shared" si="69"/>
        <v>100.57701653441363</v>
      </c>
      <c r="BB47" s="928">
        <f t="shared" si="70"/>
        <v>68.541951716264037</v>
      </c>
      <c r="BC47" s="1809"/>
      <c r="BD47" s="992"/>
      <c r="BE47" s="987"/>
    </row>
    <row r="48" spans="1:71" s="1020" customFormat="1" ht="21.95" customHeight="1">
      <c r="A48" s="1794"/>
      <c r="B48" s="925" t="s">
        <v>558</v>
      </c>
      <c r="C48" s="1791" t="s">
        <v>93</v>
      </c>
      <c r="D48" s="1859">
        <v>17</v>
      </c>
      <c r="E48" s="1860">
        <v>15</v>
      </c>
      <c r="F48" s="1860"/>
      <c r="G48" s="1860">
        <v>29.4</v>
      </c>
      <c r="H48" s="1860">
        <f t="shared" ref="H48:H51" si="76">SUM(I48:V48)</f>
        <v>29.4</v>
      </c>
      <c r="I48" s="1860">
        <v>2</v>
      </c>
      <c r="J48" s="1860">
        <v>4</v>
      </c>
      <c r="K48" s="1860">
        <v>2</v>
      </c>
      <c r="L48" s="1860">
        <v>1</v>
      </c>
      <c r="M48" s="1860">
        <v>5</v>
      </c>
      <c r="N48" s="1860"/>
      <c r="O48" s="1860">
        <v>4.4000000000000004</v>
      </c>
      <c r="P48" s="1860">
        <v>1</v>
      </c>
      <c r="Q48" s="1860"/>
      <c r="R48" s="1860"/>
      <c r="S48" s="1860">
        <v>3</v>
      </c>
      <c r="T48" s="1860"/>
      <c r="U48" s="1860">
        <v>2</v>
      </c>
      <c r="V48" s="1860">
        <v>5</v>
      </c>
      <c r="W48" s="1860">
        <f t="shared" si="71"/>
        <v>15</v>
      </c>
      <c r="X48" s="1860"/>
      <c r="Y48" s="1860">
        <v>2</v>
      </c>
      <c r="Z48" s="1860">
        <v>2</v>
      </c>
      <c r="AA48" s="1860">
        <v>1</v>
      </c>
      <c r="AB48" s="1860">
        <v>3</v>
      </c>
      <c r="AC48" s="1860"/>
      <c r="AD48" s="1860">
        <v>2</v>
      </c>
      <c r="AE48" s="1860"/>
      <c r="AF48" s="1860"/>
      <c r="AG48" s="1860"/>
      <c r="AH48" s="1860"/>
      <c r="AI48" s="1860"/>
      <c r="AJ48" s="1860">
        <v>2</v>
      </c>
      <c r="AK48" s="1860">
        <v>3</v>
      </c>
      <c r="AL48" s="1860"/>
      <c r="AM48" s="1860"/>
      <c r="AN48" s="1860"/>
      <c r="AO48" s="1860"/>
      <c r="AP48" s="1860"/>
      <c r="AQ48" s="1860"/>
      <c r="AR48" s="1860"/>
      <c r="AS48" s="1860"/>
      <c r="AT48" s="1860"/>
      <c r="AU48" s="1860"/>
      <c r="AV48" s="1860"/>
      <c r="AW48" s="1860"/>
      <c r="AX48" s="1860"/>
      <c r="AY48" s="1860"/>
      <c r="AZ48" s="1860"/>
      <c r="BA48" s="928"/>
      <c r="BB48" s="928"/>
      <c r="BC48" s="1796"/>
      <c r="BD48" s="986"/>
      <c r="BE48" s="985"/>
    </row>
    <row r="49" spans="1:72" s="1003" customFormat="1" ht="21.95" customHeight="1">
      <c r="A49" s="1820"/>
      <c r="B49" s="932" t="s">
        <v>94</v>
      </c>
      <c r="C49" s="947" t="s">
        <v>90</v>
      </c>
      <c r="D49" s="1864">
        <v>32.058823529411768</v>
      </c>
      <c r="E49" s="941">
        <f>E50/E48*10</f>
        <v>33.399999999999991</v>
      </c>
      <c r="F49" s="941"/>
      <c r="G49" s="941"/>
      <c r="H49" s="941">
        <f>H50/H48*10</f>
        <v>33.204081632653057</v>
      </c>
      <c r="I49" s="941">
        <v>34</v>
      </c>
      <c r="J49" s="941">
        <v>33.5</v>
      </c>
      <c r="K49" s="941">
        <v>34</v>
      </c>
      <c r="L49" s="941">
        <v>31</v>
      </c>
      <c r="M49" s="941">
        <v>33.5</v>
      </c>
      <c r="N49" s="941"/>
      <c r="O49" s="941">
        <v>33</v>
      </c>
      <c r="P49" s="941">
        <v>31</v>
      </c>
      <c r="Q49" s="941"/>
      <c r="R49" s="941"/>
      <c r="S49" s="941">
        <v>32</v>
      </c>
      <c r="T49" s="941"/>
      <c r="U49" s="941">
        <v>34</v>
      </c>
      <c r="V49" s="941">
        <v>33.5</v>
      </c>
      <c r="W49" s="941">
        <f>W50/W48*10</f>
        <v>33.5</v>
      </c>
      <c r="X49" s="941"/>
      <c r="Y49" s="941">
        <v>33.5</v>
      </c>
      <c r="Z49" s="941">
        <v>34</v>
      </c>
      <c r="AA49" s="941">
        <v>32.5</v>
      </c>
      <c r="AB49" s="941">
        <v>33.5</v>
      </c>
      <c r="AC49" s="941"/>
      <c r="AD49" s="941">
        <v>33</v>
      </c>
      <c r="AE49" s="941"/>
      <c r="AF49" s="941"/>
      <c r="AG49" s="941"/>
      <c r="AH49" s="941"/>
      <c r="AI49" s="941"/>
      <c r="AJ49" s="941">
        <v>34</v>
      </c>
      <c r="AK49" s="941">
        <v>33.5</v>
      </c>
      <c r="AL49" s="941"/>
      <c r="AM49" s="941"/>
      <c r="AN49" s="941"/>
      <c r="AO49" s="941"/>
      <c r="AP49" s="941"/>
      <c r="AQ49" s="941"/>
      <c r="AR49" s="941"/>
      <c r="AS49" s="941"/>
      <c r="AT49" s="941"/>
      <c r="AU49" s="941"/>
      <c r="AV49" s="941"/>
      <c r="AW49" s="941"/>
      <c r="AX49" s="941"/>
      <c r="AY49" s="941"/>
      <c r="AZ49" s="941"/>
      <c r="BA49" s="928"/>
      <c r="BB49" s="928"/>
      <c r="BC49" s="1797"/>
      <c r="BD49" s="986"/>
      <c r="BE49" s="987"/>
    </row>
    <row r="50" spans="1:72" s="1059" customFormat="1" ht="21.95" customHeight="1">
      <c r="A50" s="1806"/>
      <c r="B50" s="1807" t="s">
        <v>95</v>
      </c>
      <c r="C50" s="1806" t="s">
        <v>32</v>
      </c>
      <c r="D50" s="1866">
        <v>54.500000000000007</v>
      </c>
      <c r="E50" s="941">
        <v>50.099999999999994</v>
      </c>
      <c r="F50" s="941"/>
      <c r="G50" s="941"/>
      <c r="H50" s="940">
        <f t="shared" si="76"/>
        <v>97.61999999999999</v>
      </c>
      <c r="I50" s="941">
        <v>6.8</v>
      </c>
      <c r="J50" s="941">
        <v>13.4</v>
      </c>
      <c r="K50" s="941">
        <v>6.8</v>
      </c>
      <c r="L50" s="941">
        <v>3.1</v>
      </c>
      <c r="M50" s="941">
        <v>16.75</v>
      </c>
      <c r="N50" s="941">
        <v>0</v>
      </c>
      <c r="O50" s="941">
        <v>14.520000000000001</v>
      </c>
      <c r="P50" s="941">
        <v>3.1</v>
      </c>
      <c r="Q50" s="941">
        <v>0</v>
      </c>
      <c r="R50" s="941">
        <v>0</v>
      </c>
      <c r="S50" s="941">
        <v>9.6</v>
      </c>
      <c r="T50" s="941">
        <v>0</v>
      </c>
      <c r="U50" s="941">
        <v>6.8</v>
      </c>
      <c r="V50" s="941">
        <v>16.75</v>
      </c>
      <c r="W50" s="941">
        <f t="shared" si="71"/>
        <v>50.25</v>
      </c>
      <c r="X50" s="941"/>
      <c r="Y50" s="941">
        <v>6.7</v>
      </c>
      <c r="Z50" s="941">
        <v>6.8</v>
      </c>
      <c r="AA50" s="941">
        <v>3.25</v>
      </c>
      <c r="AB50" s="941">
        <v>10.050000000000001</v>
      </c>
      <c r="AC50" s="941">
        <v>0</v>
      </c>
      <c r="AD50" s="941">
        <v>6.6</v>
      </c>
      <c r="AE50" s="941">
        <v>0</v>
      </c>
      <c r="AF50" s="941">
        <v>0</v>
      </c>
      <c r="AG50" s="941">
        <v>0</v>
      </c>
      <c r="AH50" s="941">
        <v>0</v>
      </c>
      <c r="AI50" s="941">
        <v>0</v>
      </c>
      <c r="AJ50" s="941">
        <v>6.8</v>
      </c>
      <c r="AK50" s="941">
        <v>10.050000000000001</v>
      </c>
      <c r="AL50" s="941"/>
      <c r="AM50" s="941"/>
      <c r="AN50" s="941"/>
      <c r="AO50" s="941"/>
      <c r="AP50" s="941"/>
      <c r="AQ50" s="941"/>
      <c r="AR50" s="941"/>
      <c r="AS50" s="941"/>
      <c r="AT50" s="941"/>
      <c r="AU50" s="941"/>
      <c r="AV50" s="941"/>
      <c r="AW50" s="941"/>
      <c r="AX50" s="941"/>
      <c r="AY50" s="941"/>
      <c r="AZ50" s="941"/>
      <c r="BA50" s="928"/>
      <c r="BB50" s="928"/>
      <c r="BC50" s="1809"/>
      <c r="BD50" s="992"/>
      <c r="BE50" s="987"/>
    </row>
    <row r="51" spans="1:72" s="1065" customFormat="1" ht="21.95" customHeight="1">
      <c r="A51" s="1794">
        <v>3</v>
      </c>
      <c r="B51" s="925" t="s">
        <v>587</v>
      </c>
      <c r="C51" s="1791" t="s">
        <v>93</v>
      </c>
      <c r="D51" s="1860">
        <v>512.94999999999993</v>
      </c>
      <c r="E51" s="1860">
        <v>512.94999999999993</v>
      </c>
      <c r="F51" s="1860">
        <v>512.94999999999993</v>
      </c>
      <c r="G51" s="1860">
        <v>512.94999999999993</v>
      </c>
      <c r="H51" s="939">
        <f t="shared" si="76"/>
        <v>512.94999999999993</v>
      </c>
      <c r="I51" s="1860">
        <v>6.54</v>
      </c>
      <c r="J51" s="1860">
        <v>35.450000000000003</v>
      </c>
      <c r="K51" s="1860">
        <v>80.499999999999986</v>
      </c>
      <c r="L51" s="1860">
        <v>54</v>
      </c>
      <c r="M51" s="1860">
        <v>40.75</v>
      </c>
      <c r="N51" s="1860">
        <v>49.11</v>
      </c>
      <c r="O51" s="1860">
        <v>3</v>
      </c>
      <c r="P51" s="1860">
        <v>63.75</v>
      </c>
      <c r="Q51" s="1860">
        <v>4.5</v>
      </c>
      <c r="R51" s="1860">
        <v>53.66</v>
      </c>
      <c r="S51" s="1860">
        <v>28.29</v>
      </c>
      <c r="T51" s="1860">
        <v>40.9</v>
      </c>
      <c r="U51" s="1860">
        <v>13.700000000000001</v>
      </c>
      <c r="V51" s="1860">
        <v>38.799999999999997</v>
      </c>
      <c r="W51" s="1860">
        <f t="shared" si="71"/>
        <v>512.94999999999993</v>
      </c>
      <c r="X51" s="1860">
        <v>6.54</v>
      </c>
      <c r="Y51" s="1860">
        <v>35.450000000000003</v>
      </c>
      <c r="Z51" s="1860">
        <v>80.499999999999986</v>
      </c>
      <c r="AA51" s="1860">
        <v>54</v>
      </c>
      <c r="AB51" s="1860">
        <v>40.75</v>
      </c>
      <c r="AC51" s="1860">
        <v>49.11</v>
      </c>
      <c r="AD51" s="1860">
        <v>3</v>
      </c>
      <c r="AE51" s="1860">
        <v>63.75</v>
      </c>
      <c r="AF51" s="1860">
        <v>4.5</v>
      </c>
      <c r="AG51" s="1860">
        <v>53.66</v>
      </c>
      <c r="AH51" s="1860">
        <v>28.29</v>
      </c>
      <c r="AI51" s="1860">
        <v>40.9</v>
      </c>
      <c r="AJ51" s="1860">
        <v>13.700000000000001</v>
      </c>
      <c r="AK51" s="1860">
        <v>38.799999999999997</v>
      </c>
      <c r="AL51" s="1860">
        <f t="shared" ref="AL51" si="77">SUM(AM51:AZ51)</f>
        <v>512.94999999999993</v>
      </c>
      <c r="AM51" s="1860">
        <v>6.54</v>
      </c>
      <c r="AN51" s="1860">
        <v>35.450000000000003</v>
      </c>
      <c r="AO51" s="1860">
        <v>80.499999999999986</v>
      </c>
      <c r="AP51" s="1860">
        <v>54</v>
      </c>
      <c r="AQ51" s="1860">
        <v>40.75</v>
      </c>
      <c r="AR51" s="1860">
        <v>49.11</v>
      </c>
      <c r="AS51" s="1860">
        <v>3</v>
      </c>
      <c r="AT51" s="1860">
        <v>63.75</v>
      </c>
      <c r="AU51" s="1860">
        <v>4.5</v>
      </c>
      <c r="AV51" s="1860">
        <v>53.66</v>
      </c>
      <c r="AW51" s="1860">
        <v>28.29</v>
      </c>
      <c r="AX51" s="1860">
        <v>40.9</v>
      </c>
      <c r="AY51" s="1860">
        <v>13.700000000000001</v>
      </c>
      <c r="AZ51" s="1860">
        <v>38.799999999999997</v>
      </c>
      <c r="BA51" s="1825">
        <f t="shared" si="69"/>
        <v>100</v>
      </c>
      <c r="BB51" s="1825">
        <f t="shared" si="70"/>
        <v>100</v>
      </c>
      <c r="BC51" s="1833"/>
      <c r="BD51" s="997"/>
      <c r="BE51" s="985"/>
    </row>
    <row r="52" spans="1:72" s="1078" customFormat="1" ht="21.95" customHeight="1">
      <c r="A52" s="1820"/>
      <c r="B52" s="932" t="s">
        <v>588</v>
      </c>
      <c r="C52" s="947" t="s">
        <v>32</v>
      </c>
      <c r="D52" s="940">
        <v>1210</v>
      </c>
      <c r="E52" s="940">
        <v>1250</v>
      </c>
      <c r="F52" s="940">
        <v>650</v>
      </c>
      <c r="G52" s="940">
        <v>1008</v>
      </c>
      <c r="H52" s="940">
        <v>1250</v>
      </c>
      <c r="I52" s="940"/>
      <c r="J52" s="940"/>
      <c r="K52" s="940"/>
      <c r="L52" s="940"/>
      <c r="M52" s="940"/>
      <c r="N52" s="940"/>
      <c r="O52" s="940"/>
      <c r="P52" s="940"/>
      <c r="Q52" s="940"/>
      <c r="R52" s="940"/>
      <c r="S52" s="940"/>
      <c r="T52" s="940"/>
      <c r="U52" s="940"/>
      <c r="V52" s="940"/>
      <c r="W52" s="940">
        <v>1300</v>
      </c>
      <c r="X52" s="940"/>
      <c r="Y52" s="940"/>
      <c r="Z52" s="940"/>
      <c r="AA52" s="940"/>
      <c r="AB52" s="940"/>
      <c r="AC52" s="940"/>
      <c r="AD52" s="940"/>
      <c r="AE52" s="940"/>
      <c r="AF52" s="940"/>
      <c r="AG52" s="940"/>
      <c r="AH52" s="940"/>
      <c r="AI52" s="940"/>
      <c r="AJ52" s="940"/>
      <c r="AK52" s="940"/>
      <c r="AL52" s="940">
        <v>681</v>
      </c>
      <c r="AM52" s="940"/>
      <c r="AN52" s="940"/>
      <c r="AO52" s="940"/>
      <c r="AP52" s="940"/>
      <c r="AQ52" s="940"/>
      <c r="AR52" s="940"/>
      <c r="AS52" s="940"/>
      <c r="AT52" s="940"/>
      <c r="AU52" s="940"/>
      <c r="AV52" s="940"/>
      <c r="AW52" s="940"/>
      <c r="AX52" s="940"/>
      <c r="AY52" s="940"/>
      <c r="AZ52" s="940"/>
      <c r="BA52" s="928">
        <f t="shared" si="69"/>
        <v>104.76923076923077</v>
      </c>
      <c r="BB52" s="928">
        <f t="shared" si="70"/>
        <v>52.384615384615387</v>
      </c>
      <c r="BC52" s="1867"/>
      <c r="BD52" s="980"/>
      <c r="BE52" s="987"/>
      <c r="BT52" s="1085"/>
    </row>
    <row r="53" spans="1:72" s="1078" customFormat="1" ht="21.95" customHeight="1">
      <c r="A53" s="1820"/>
      <c r="B53" s="932" t="s">
        <v>589</v>
      </c>
      <c r="C53" s="947" t="s">
        <v>93</v>
      </c>
      <c r="D53" s="941">
        <v>0</v>
      </c>
      <c r="E53" s="1868">
        <v>0</v>
      </c>
      <c r="F53" s="1868">
        <v>0</v>
      </c>
      <c r="G53" s="1868">
        <v>0</v>
      </c>
      <c r="H53" s="1868">
        <v>0</v>
      </c>
      <c r="I53" s="1868"/>
      <c r="J53" s="1868"/>
      <c r="K53" s="1868"/>
      <c r="L53" s="1868"/>
      <c r="M53" s="1868"/>
      <c r="N53" s="1868"/>
      <c r="O53" s="1868"/>
      <c r="P53" s="1868"/>
      <c r="Q53" s="1868"/>
      <c r="R53" s="1868"/>
      <c r="S53" s="1868"/>
      <c r="T53" s="1868"/>
      <c r="U53" s="1868"/>
      <c r="V53" s="1868"/>
      <c r="W53" s="941">
        <f t="shared" si="71"/>
        <v>0</v>
      </c>
      <c r="X53" s="1868"/>
      <c r="Y53" s="1868"/>
      <c r="Z53" s="1868"/>
      <c r="AA53" s="1868"/>
      <c r="AB53" s="1868"/>
      <c r="AC53" s="1868"/>
      <c r="AD53" s="1868"/>
      <c r="AE53" s="1868"/>
      <c r="AF53" s="1868"/>
      <c r="AG53" s="1868"/>
      <c r="AH53" s="1868"/>
      <c r="AI53" s="1868"/>
      <c r="AJ53" s="1868"/>
      <c r="AK53" s="1868"/>
      <c r="AL53" s="941">
        <f t="shared" ref="AL53:AL54" si="78">SUM(AM53:AZ53)</f>
        <v>0</v>
      </c>
      <c r="AM53" s="1868"/>
      <c r="AN53" s="1868"/>
      <c r="AO53" s="1868"/>
      <c r="AP53" s="1868"/>
      <c r="AQ53" s="1868"/>
      <c r="AR53" s="1868"/>
      <c r="AS53" s="1868"/>
      <c r="AT53" s="1868"/>
      <c r="AU53" s="1868"/>
      <c r="AV53" s="1868"/>
      <c r="AW53" s="1868"/>
      <c r="AX53" s="1868"/>
      <c r="AY53" s="1868"/>
      <c r="AZ53" s="1868"/>
      <c r="BA53" s="928"/>
      <c r="BB53" s="928"/>
      <c r="BC53" s="1867"/>
      <c r="BD53" s="980"/>
      <c r="BE53" s="987"/>
      <c r="BF53" s="1086"/>
    </row>
    <row r="54" spans="1:72" s="1003" customFormat="1" ht="21.95" customHeight="1">
      <c r="A54" s="1820"/>
      <c r="B54" s="932" t="s">
        <v>590</v>
      </c>
      <c r="C54" s="947" t="s">
        <v>93</v>
      </c>
      <c r="D54" s="941">
        <v>188.45999999999998</v>
      </c>
      <c r="E54" s="928">
        <v>188.45999999999998</v>
      </c>
      <c r="F54" s="928">
        <v>188.45999999999998</v>
      </c>
      <c r="G54" s="928">
        <v>188.45999999999998</v>
      </c>
      <c r="H54" s="941">
        <f t="shared" ref="H54" si="79">SUM(I54:V54)</f>
        <v>188.45999999999998</v>
      </c>
      <c r="I54" s="928">
        <v>0</v>
      </c>
      <c r="J54" s="928">
        <v>0</v>
      </c>
      <c r="K54" s="928">
        <v>0</v>
      </c>
      <c r="L54" s="928">
        <v>0</v>
      </c>
      <c r="M54" s="928">
        <v>0</v>
      </c>
      <c r="N54" s="928">
        <v>0</v>
      </c>
      <c r="O54" s="928">
        <v>0</v>
      </c>
      <c r="P54" s="928">
        <v>50.76</v>
      </c>
      <c r="Q54" s="928">
        <v>0</v>
      </c>
      <c r="R54" s="928">
        <v>48.5</v>
      </c>
      <c r="S54" s="928">
        <v>16</v>
      </c>
      <c r="T54" s="928">
        <v>38.9</v>
      </c>
      <c r="U54" s="928">
        <v>0</v>
      </c>
      <c r="V54" s="928">
        <v>34.299999999999997</v>
      </c>
      <c r="W54" s="941">
        <f t="shared" si="71"/>
        <v>188.45999999999998</v>
      </c>
      <c r="X54" s="928">
        <v>0</v>
      </c>
      <c r="Y54" s="928">
        <v>0</v>
      </c>
      <c r="Z54" s="928">
        <v>0</v>
      </c>
      <c r="AA54" s="928">
        <v>0</v>
      </c>
      <c r="AB54" s="928">
        <v>0</v>
      </c>
      <c r="AC54" s="928">
        <v>0</v>
      </c>
      <c r="AD54" s="928">
        <v>0</v>
      </c>
      <c r="AE54" s="928">
        <v>50.76</v>
      </c>
      <c r="AF54" s="928">
        <v>0</v>
      </c>
      <c r="AG54" s="928">
        <v>48.5</v>
      </c>
      <c r="AH54" s="928">
        <v>16</v>
      </c>
      <c r="AI54" s="928">
        <v>38.9</v>
      </c>
      <c r="AJ54" s="928">
        <v>0</v>
      </c>
      <c r="AK54" s="928">
        <v>34.299999999999997</v>
      </c>
      <c r="AL54" s="941">
        <f t="shared" si="78"/>
        <v>188.45999999999998</v>
      </c>
      <c r="AM54" s="928">
        <v>0</v>
      </c>
      <c r="AN54" s="928">
        <v>0</v>
      </c>
      <c r="AO54" s="928">
        <v>0</v>
      </c>
      <c r="AP54" s="928">
        <v>0</v>
      </c>
      <c r="AQ54" s="928">
        <v>0</v>
      </c>
      <c r="AR54" s="928">
        <v>0</v>
      </c>
      <c r="AS54" s="928">
        <v>0</v>
      </c>
      <c r="AT54" s="928">
        <v>50.76</v>
      </c>
      <c r="AU54" s="928">
        <v>0</v>
      </c>
      <c r="AV54" s="928">
        <v>48.5</v>
      </c>
      <c r="AW54" s="928">
        <v>16</v>
      </c>
      <c r="AX54" s="928">
        <v>38.9</v>
      </c>
      <c r="AY54" s="928">
        <v>0</v>
      </c>
      <c r="AZ54" s="928">
        <v>34.299999999999997</v>
      </c>
      <c r="BA54" s="928">
        <f t="shared" si="69"/>
        <v>100</v>
      </c>
      <c r="BB54" s="928">
        <f t="shared" si="70"/>
        <v>100</v>
      </c>
      <c r="BC54" s="1820"/>
      <c r="BD54" s="980"/>
      <c r="BE54" s="987"/>
    </row>
    <row r="55" spans="1:72" s="1003" customFormat="1" ht="21.95" customHeight="1">
      <c r="A55" s="1794" t="s">
        <v>100</v>
      </c>
      <c r="B55" s="925" t="s">
        <v>101</v>
      </c>
      <c r="C55" s="1791"/>
      <c r="D55" s="1163"/>
      <c r="E55" s="1163"/>
      <c r="F55" s="1163"/>
      <c r="G55" s="1163"/>
      <c r="H55" s="1163"/>
      <c r="I55" s="1163"/>
      <c r="J55" s="1163"/>
      <c r="K55" s="1163"/>
      <c r="L55" s="1163"/>
      <c r="M55" s="1163"/>
      <c r="N55" s="1163"/>
      <c r="O55" s="1163"/>
      <c r="P55" s="1163"/>
      <c r="Q55" s="1163"/>
      <c r="R55" s="1163"/>
      <c r="S55" s="1163"/>
      <c r="T55" s="1163"/>
      <c r="U55" s="1163"/>
      <c r="V55" s="1163"/>
      <c r="W55" s="1163"/>
      <c r="X55" s="1163"/>
      <c r="Y55" s="1163"/>
      <c r="Z55" s="1163"/>
      <c r="AA55" s="1163"/>
      <c r="AB55" s="1163"/>
      <c r="AC55" s="1163"/>
      <c r="AD55" s="1163"/>
      <c r="AE55" s="1163"/>
      <c r="AF55" s="1163"/>
      <c r="AG55" s="1163"/>
      <c r="AH55" s="1163"/>
      <c r="AI55" s="1163"/>
      <c r="AJ55" s="1163"/>
      <c r="AK55" s="1163"/>
      <c r="AL55" s="928"/>
      <c r="AM55" s="928"/>
      <c r="AN55" s="928"/>
      <c r="AO55" s="928"/>
      <c r="AP55" s="928"/>
      <c r="AQ55" s="928"/>
      <c r="AR55" s="928"/>
      <c r="AS55" s="928"/>
      <c r="AT55" s="928"/>
      <c r="AU55" s="928"/>
      <c r="AV55" s="928"/>
      <c r="AW55" s="928"/>
      <c r="AX55" s="928"/>
      <c r="AY55" s="928"/>
      <c r="AZ55" s="928"/>
      <c r="BA55" s="928"/>
      <c r="BB55" s="928"/>
      <c r="BC55" s="1797"/>
      <c r="BD55" s="980"/>
      <c r="BE55" s="987"/>
    </row>
    <row r="56" spans="1:72" s="1065" customFormat="1" ht="21" hidden="1" customHeight="1">
      <c r="A56" s="1794">
        <v>1</v>
      </c>
      <c r="B56" s="925" t="s">
        <v>102</v>
      </c>
      <c r="C56" s="1791"/>
      <c r="D56" s="1163"/>
      <c r="E56" s="1163"/>
      <c r="F56" s="1163"/>
      <c r="G56" s="1163"/>
      <c r="H56" s="1163"/>
      <c r="I56" s="1163"/>
      <c r="J56" s="1163"/>
      <c r="K56" s="1163"/>
      <c r="L56" s="1163"/>
      <c r="M56" s="1163"/>
      <c r="N56" s="1163"/>
      <c r="O56" s="1163"/>
      <c r="P56" s="1163"/>
      <c r="Q56" s="1163"/>
      <c r="R56" s="1163"/>
      <c r="S56" s="1163"/>
      <c r="T56" s="1163"/>
      <c r="U56" s="1163"/>
      <c r="V56" s="1163"/>
      <c r="W56" s="1163"/>
      <c r="X56" s="1163"/>
      <c r="Y56" s="1163"/>
      <c r="Z56" s="1163"/>
      <c r="AA56" s="1163"/>
      <c r="AB56" s="1163"/>
      <c r="AC56" s="1163"/>
      <c r="AD56" s="1163"/>
      <c r="AE56" s="1163"/>
      <c r="AF56" s="1163"/>
      <c r="AG56" s="1163"/>
      <c r="AH56" s="1163"/>
      <c r="AI56" s="1163"/>
      <c r="AJ56" s="1163"/>
      <c r="AK56" s="1163"/>
      <c r="AL56" s="928"/>
      <c r="AM56" s="928"/>
      <c r="AN56" s="928"/>
      <c r="AO56" s="928"/>
      <c r="AP56" s="928"/>
      <c r="AQ56" s="928"/>
      <c r="AR56" s="928"/>
      <c r="AS56" s="928"/>
      <c r="AT56" s="928"/>
      <c r="AU56" s="928"/>
      <c r="AV56" s="928"/>
      <c r="AW56" s="928"/>
      <c r="AX56" s="928"/>
      <c r="AY56" s="928"/>
      <c r="AZ56" s="928"/>
      <c r="BA56" s="928"/>
      <c r="BB56" s="928"/>
      <c r="BC56" s="1833"/>
      <c r="BD56" s="997"/>
      <c r="BE56" s="987"/>
    </row>
    <row r="57" spans="1:72" s="1020" customFormat="1" ht="21" hidden="1" customHeight="1">
      <c r="A57" s="1826" t="s">
        <v>14</v>
      </c>
      <c r="B57" s="1827" t="s">
        <v>103</v>
      </c>
      <c r="C57" s="1796"/>
      <c r="D57" s="1163"/>
      <c r="E57" s="1163"/>
      <c r="F57" s="1163"/>
      <c r="G57" s="1163"/>
      <c r="H57" s="1163"/>
      <c r="I57" s="1163"/>
      <c r="J57" s="1163"/>
      <c r="K57" s="1163"/>
      <c r="L57" s="1163"/>
      <c r="M57" s="1163"/>
      <c r="N57" s="1163"/>
      <c r="O57" s="1163"/>
      <c r="P57" s="1163"/>
      <c r="Q57" s="1163"/>
      <c r="R57" s="1163"/>
      <c r="S57" s="1163"/>
      <c r="T57" s="1163"/>
      <c r="U57" s="1163"/>
      <c r="V57" s="1163"/>
      <c r="W57" s="1163"/>
      <c r="X57" s="1163"/>
      <c r="Y57" s="1163"/>
      <c r="Z57" s="1163"/>
      <c r="AA57" s="1163"/>
      <c r="AB57" s="1163"/>
      <c r="AC57" s="1163"/>
      <c r="AD57" s="1163"/>
      <c r="AE57" s="1163"/>
      <c r="AF57" s="1163"/>
      <c r="AG57" s="1163"/>
      <c r="AH57" s="1163"/>
      <c r="AI57" s="1163"/>
      <c r="AJ57" s="1163"/>
      <c r="AK57" s="1163"/>
      <c r="AL57" s="928"/>
      <c r="AM57" s="928"/>
      <c r="AN57" s="928"/>
      <c r="AO57" s="928"/>
      <c r="AP57" s="928"/>
      <c r="AQ57" s="928"/>
      <c r="AR57" s="928"/>
      <c r="AS57" s="928"/>
      <c r="AT57" s="928"/>
      <c r="AU57" s="928"/>
      <c r="AV57" s="928"/>
      <c r="AW57" s="928"/>
      <c r="AX57" s="928"/>
      <c r="AY57" s="928"/>
      <c r="AZ57" s="928"/>
      <c r="BA57" s="928"/>
      <c r="BB57" s="928"/>
      <c r="BC57" s="1796"/>
      <c r="BD57" s="997"/>
      <c r="BE57" s="987"/>
    </row>
    <row r="58" spans="1:72" s="1003" customFormat="1" ht="21" hidden="1" customHeight="1">
      <c r="A58" s="1851"/>
      <c r="B58" s="932" t="s">
        <v>547</v>
      </c>
      <c r="C58" s="947" t="s">
        <v>93</v>
      </c>
      <c r="D58" s="1163"/>
      <c r="E58" s="1163"/>
      <c r="F58" s="1163"/>
      <c r="G58" s="1163"/>
      <c r="H58" s="1163"/>
      <c r="I58" s="1163"/>
      <c r="J58" s="1163"/>
      <c r="K58" s="1163"/>
      <c r="L58" s="1163"/>
      <c r="M58" s="1163"/>
      <c r="N58" s="1163"/>
      <c r="O58" s="1163"/>
      <c r="P58" s="1163"/>
      <c r="Q58" s="1163"/>
      <c r="R58" s="1163"/>
      <c r="S58" s="1163"/>
      <c r="T58" s="1163"/>
      <c r="U58" s="1163"/>
      <c r="V58" s="1163"/>
      <c r="W58" s="1163"/>
      <c r="X58" s="1163"/>
      <c r="Y58" s="1163"/>
      <c r="Z58" s="1163"/>
      <c r="AA58" s="1163"/>
      <c r="AB58" s="1163"/>
      <c r="AC58" s="1163"/>
      <c r="AD58" s="1163"/>
      <c r="AE58" s="1163"/>
      <c r="AF58" s="1163"/>
      <c r="AG58" s="1163"/>
      <c r="AH58" s="1163"/>
      <c r="AI58" s="1163"/>
      <c r="AJ58" s="1163"/>
      <c r="AK58" s="1163"/>
      <c r="AL58" s="928"/>
      <c r="AM58" s="928"/>
      <c r="AN58" s="928"/>
      <c r="AO58" s="928"/>
      <c r="AP58" s="928"/>
      <c r="AQ58" s="928"/>
      <c r="AR58" s="928"/>
      <c r="AS58" s="928"/>
      <c r="AT58" s="928"/>
      <c r="AU58" s="928"/>
      <c r="AV58" s="928"/>
      <c r="AW58" s="928"/>
      <c r="AX58" s="928"/>
      <c r="AY58" s="928"/>
      <c r="AZ58" s="928"/>
      <c r="BA58" s="928"/>
      <c r="BB58" s="928"/>
      <c r="BC58" s="2042"/>
      <c r="BD58" s="997"/>
      <c r="BE58" s="987"/>
    </row>
    <row r="59" spans="1:72" s="1003" customFormat="1" ht="21" hidden="1" customHeight="1">
      <c r="A59" s="1851"/>
      <c r="B59" s="942" t="s">
        <v>88</v>
      </c>
      <c r="C59" s="947"/>
      <c r="D59" s="1163"/>
      <c r="E59" s="1163"/>
      <c r="F59" s="1163"/>
      <c r="G59" s="1163"/>
      <c r="H59" s="1163"/>
      <c r="I59" s="1163"/>
      <c r="J59" s="1163"/>
      <c r="K59" s="1163"/>
      <c r="L59" s="1163"/>
      <c r="M59" s="1163"/>
      <c r="N59" s="1163"/>
      <c r="O59" s="1163"/>
      <c r="P59" s="1163"/>
      <c r="Q59" s="1163"/>
      <c r="R59" s="1163"/>
      <c r="S59" s="1163"/>
      <c r="T59" s="1163"/>
      <c r="U59" s="1163"/>
      <c r="V59" s="1163"/>
      <c r="W59" s="1163"/>
      <c r="X59" s="1163"/>
      <c r="Y59" s="1163"/>
      <c r="Z59" s="1163"/>
      <c r="AA59" s="1163"/>
      <c r="AB59" s="1163"/>
      <c r="AC59" s="1163"/>
      <c r="AD59" s="1163"/>
      <c r="AE59" s="1163"/>
      <c r="AF59" s="1163"/>
      <c r="AG59" s="1163"/>
      <c r="AH59" s="1163"/>
      <c r="AI59" s="1163"/>
      <c r="AJ59" s="1163"/>
      <c r="AK59" s="1163"/>
      <c r="AL59" s="928"/>
      <c r="AM59" s="928"/>
      <c r="AN59" s="928"/>
      <c r="AO59" s="928"/>
      <c r="AP59" s="928"/>
      <c r="AQ59" s="928"/>
      <c r="AR59" s="928"/>
      <c r="AS59" s="928"/>
      <c r="AT59" s="928"/>
      <c r="AU59" s="928"/>
      <c r="AV59" s="928"/>
      <c r="AW59" s="928"/>
      <c r="AX59" s="928"/>
      <c r="AY59" s="928"/>
      <c r="AZ59" s="928"/>
      <c r="BA59" s="928"/>
      <c r="BB59" s="928"/>
      <c r="BC59" s="2042"/>
      <c r="BD59" s="997"/>
      <c r="BE59" s="987"/>
    </row>
    <row r="60" spans="1:72" s="1020" customFormat="1" ht="21" hidden="1" customHeight="1">
      <c r="A60" s="1820"/>
      <c r="B60" s="932" t="s">
        <v>105</v>
      </c>
      <c r="C60" s="947" t="s">
        <v>90</v>
      </c>
      <c r="D60" s="1163"/>
      <c r="E60" s="1163"/>
      <c r="F60" s="1163"/>
      <c r="G60" s="1163"/>
      <c r="H60" s="1163"/>
      <c r="I60" s="1163"/>
      <c r="J60" s="1163"/>
      <c r="K60" s="1163"/>
      <c r="L60" s="1163"/>
      <c r="M60" s="1163"/>
      <c r="N60" s="1163"/>
      <c r="O60" s="1163"/>
      <c r="P60" s="1163"/>
      <c r="Q60" s="1163"/>
      <c r="R60" s="1163"/>
      <c r="S60" s="1163"/>
      <c r="T60" s="1163"/>
      <c r="U60" s="1163"/>
      <c r="V60" s="1163"/>
      <c r="W60" s="1163"/>
      <c r="X60" s="1163"/>
      <c r="Y60" s="1163"/>
      <c r="Z60" s="1163"/>
      <c r="AA60" s="1163"/>
      <c r="AB60" s="1163"/>
      <c r="AC60" s="1163"/>
      <c r="AD60" s="1163"/>
      <c r="AE60" s="1163"/>
      <c r="AF60" s="1163"/>
      <c r="AG60" s="1163"/>
      <c r="AH60" s="1163"/>
      <c r="AI60" s="1163"/>
      <c r="AJ60" s="1163"/>
      <c r="AK60" s="1163"/>
      <c r="AL60" s="928"/>
      <c r="AM60" s="928"/>
      <c r="AN60" s="928"/>
      <c r="AO60" s="928"/>
      <c r="AP60" s="928"/>
      <c r="AQ60" s="928"/>
      <c r="AR60" s="928"/>
      <c r="AS60" s="928"/>
      <c r="AT60" s="928"/>
      <c r="AU60" s="928"/>
      <c r="AV60" s="928"/>
      <c r="AW60" s="928"/>
      <c r="AX60" s="928"/>
      <c r="AY60" s="928"/>
      <c r="AZ60" s="928"/>
      <c r="BA60" s="928"/>
      <c r="BB60" s="928"/>
      <c r="BC60" s="2042"/>
      <c r="BD60" s="997"/>
      <c r="BE60" s="987"/>
    </row>
    <row r="61" spans="1:72" s="1020" customFormat="1" ht="21" hidden="1" customHeight="1">
      <c r="A61" s="1820"/>
      <c r="B61" s="932" t="s">
        <v>106</v>
      </c>
      <c r="C61" s="947" t="s">
        <v>32</v>
      </c>
      <c r="D61" s="1163"/>
      <c r="E61" s="1163"/>
      <c r="F61" s="1163"/>
      <c r="G61" s="1163"/>
      <c r="H61" s="1163"/>
      <c r="I61" s="1163"/>
      <c r="J61" s="1163"/>
      <c r="K61" s="1163"/>
      <c r="L61" s="1163"/>
      <c r="M61" s="1163"/>
      <c r="N61" s="1163"/>
      <c r="O61" s="1163"/>
      <c r="P61" s="1163"/>
      <c r="Q61" s="1163"/>
      <c r="R61" s="1163"/>
      <c r="S61" s="1163"/>
      <c r="T61" s="1163"/>
      <c r="U61" s="1163"/>
      <c r="V61" s="1163"/>
      <c r="W61" s="1163"/>
      <c r="X61" s="1163"/>
      <c r="Y61" s="1163"/>
      <c r="Z61" s="1163"/>
      <c r="AA61" s="1163"/>
      <c r="AB61" s="1163"/>
      <c r="AC61" s="1163"/>
      <c r="AD61" s="1163"/>
      <c r="AE61" s="1163"/>
      <c r="AF61" s="1163"/>
      <c r="AG61" s="1163"/>
      <c r="AH61" s="1163"/>
      <c r="AI61" s="1163"/>
      <c r="AJ61" s="1163"/>
      <c r="AK61" s="1163"/>
      <c r="AL61" s="928"/>
      <c r="AM61" s="928"/>
      <c r="AN61" s="928"/>
      <c r="AO61" s="928"/>
      <c r="AP61" s="928"/>
      <c r="AQ61" s="928"/>
      <c r="AR61" s="928"/>
      <c r="AS61" s="928"/>
      <c r="AT61" s="928"/>
      <c r="AU61" s="928"/>
      <c r="AV61" s="928"/>
      <c r="AW61" s="928"/>
      <c r="AX61" s="928"/>
      <c r="AY61" s="928"/>
      <c r="AZ61" s="928"/>
      <c r="BA61" s="928"/>
      <c r="BB61" s="928"/>
      <c r="BC61" s="2042"/>
      <c r="BD61" s="997"/>
      <c r="BE61" s="987"/>
    </row>
    <row r="62" spans="1:72" s="1075" customFormat="1" ht="21" hidden="1" customHeight="1">
      <c r="A62" s="1794" t="s">
        <v>19</v>
      </c>
      <c r="B62" s="1827" t="s">
        <v>107</v>
      </c>
      <c r="C62" s="1791"/>
      <c r="D62" s="1163"/>
      <c r="E62" s="1163"/>
      <c r="F62" s="1163"/>
      <c r="G62" s="1163"/>
      <c r="H62" s="1163"/>
      <c r="I62" s="1163"/>
      <c r="J62" s="1163"/>
      <c r="K62" s="1163"/>
      <c r="L62" s="1163"/>
      <c r="M62" s="1163"/>
      <c r="N62" s="1163"/>
      <c r="O62" s="1163"/>
      <c r="P62" s="1163"/>
      <c r="Q62" s="1163"/>
      <c r="R62" s="1163"/>
      <c r="S62" s="1163"/>
      <c r="T62" s="1163"/>
      <c r="U62" s="1163"/>
      <c r="V62" s="1163"/>
      <c r="W62" s="1163"/>
      <c r="X62" s="1163"/>
      <c r="Y62" s="1163"/>
      <c r="Z62" s="1163"/>
      <c r="AA62" s="1163"/>
      <c r="AB62" s="1163"/>
      <c r="AC62" s="1163"/>
      <c r="AD62" s="1163"/>
      <c r="AE62" s="1163"/>
      <c r="AF62" s="1163"/>
      <c r="AG62" s="1163"/>
      <c r="AH62" s="1163"/>
      <c r="AI62" s="1163"/>
      <c r="AJ62" s="1163"/>
      <c r="AK62" s="1163"/>
      <c r="AL62" s="928"/>
      <c r="AM62" s="928"/>
      <c r="AN62" s="928"/>
      <c r="AO62" s="928"/>
      <c r="AP62" s="928"/>
      <c r="AQ62" s="928"/>
      <c r="AR62" s="928"/>
      <c r="AS62" s="928"/>
      <c r="AT62" s="928"/>
      <c r="AU62" s="928"/>
      <c r="AV62" s="928"/>
      <c r="AW62" s="928"/>
      <c r="AX62" s="928"/>
      <c r="AY62" s="928"/>
      <c r="AZ62" s="928"/>
      <c r="BA62" s="928"/>
      <c r="BB62" s="928"/>
      <c r="BC62" s="2042"/>
      <c r="BD62" s="997"/>
      <c r="BE62" s="987"/>
    </row>
    <row r="63" spans="1:72" s="1075" customFormat="1" ht="21" hidden="1" customHeight="1">
      <c r="A63" s="1820"/>
      <c r="B63" s="932" t="s">
        <v>104</v>
      </c>
      <c r="C63" s="947" t="s">
        <v>93</v>
      </c>
      <c r="D63" s="1163"/>
      <c r="E63" s="1163"/>
      <c r="F63" s="1163"/>
      <c r="G63" s="1163"/>
      <c r="H63" s="1163"/>
      <c r="I63" s="1163"/>
      <c r="J63" s="1163"/>
      <c r="K63" s="1163"/>
      <c r="L63" s="1163"/>
      <c r="M63" s="1163"/>
      <c r="N63" s="1163"/>
      <c r="O63" s="1163"/>
      <c r="P63" s="1163"/>
      <c r="Q63" s="1163"/>
      <c r="R63" s="1163"/>
      <c r="S63" s="1163"/>
      <c r="T63" s="1163"/>
      <c r="U63" s="1163"/>
      <c r="V63" s="1163"/>
      <c r="W63" s="1163"/>
      <c r="X63" s="1163"/>
      <c r="Y63" s="1163"/>
      <c r="Z63" s="1163"/>
      <c r="AA63" s="1163"/>
      <c r="AB63" s="1163"/>
      <c r="AC63" s="1163"/>
      <c r="AD63" s="1163"/>
      <c r="AE63" s="1163"/>
      <c r="AF63" s="1163"/>
      <c r="AG63" s="1163"/>
      <c r="AH63" s="1163"/>
      <c r="AI63" s="1163"/>
      <c r="AJ63" s="1163"/>
      <c r="AK63" s="1163"/>
      <c r="AL63" s="928"/>
      <c r="AM63" s="928"/>
      <c r="AN63" s="928"/>
      <c r="AO63" s="928"/>
      <c r="AP63" s="928"/>
      <c r="AQ63" s="928"/>
      <c r="AR63" s="928"/>
      <c r="AS63" s="928"/>
      <c r="AT63" s="928"/>
      <c r="AU63" s="928"/>
      <c r="AV63" s="928"/>
      <c r="AW63" s="928"/>
      <c r="AX63" s="928"/>
      <c r="AY63" s="928"/>
      <c r="AZ63" s="928"/>
      <c r="BA63" s="928"/>
      <c r="BB63" s="928"/>
      <c r="BC63" s="2042"/>
      <c r="BD63" s="997"/>
      <c r="BE63" s="987"/>
    </row>
    <row r="64" spans="1:72" s="1020" customFormat="1" ht="21" hidden="1" customHeight="1">
      <c r="A64" s="1820"/>
      <c r="B64" s="932" t="s">
        <v>105</v>
      </c>
      <c r="C64" s="947" t="s">
        <v>90</v>
      </c>
      <c r="D64" s="1163"/>
      <c r="E64" s="1163"/>
      <c r="F64" s="1163"/>
      <c r="G64" s="1163"/>
      <c r="H64" s="1163"/>
      <c r="I64" s="1163"/>
      <c r="J64" s="1163"/>
      <c r="K64" s="1163"/>
      <c r="L64" s="1163"/>
      <c r="M64" s="1163"/>
      <c r="N64" s="1163"/>
      <c r="O64" s="1163"/>
      <c r="P64" s="1163"/>
      <c r="Q64" s="1163"/>
      <c r="R64" s="1163"/>
      <c r="S64" s="1163"/>
      <c r="T64" s="1163"/>
      <c r="U64" s="1163"/>
      <c r="V64" s="1163"/>
      <c r="W64" s="1163"/>
      <c r="X64" s="1163"/>
      <c r="Y64" s="1163"/>
      <c r="Z64" s="1163"/>
      <c r="AA64" s="1163"/>
      <c r="AB64" s="1163"/>
      <c r="AC64" s="1163"/>
      <c r="AD64" s="1163"/>
      <c r="AE64" s="1163"/>
      <c r="AF64" s="1163"/>
      <c r="AG64" s="1163"/>
      <c r="AH64" s="1163"/>
      <c r="AI64" s="1163"/>
      <c r="AJ64" s="1163"/>
      <c r="AK64" s="1163"/>
      <c r="AL64" s="928"/>
      <c r="AM64" s="928"/>
      <c r="AN64" s="928"/>
      <c r="AO64" s="928"/>
      <c r="AP64" s="928"/>
      <c r="AQ64" s="928"/>
      <c r="AR64" s="928"/>
      <c r="AS64" s="928"/>
      <c r="AT64" s="928"/>
      <c r="AU64" s="928"/>
      <c r="AV64" s="928"/>
      <c r="AW64" s="928"/>
      <c r="AX64" s="928"/>
      <c r="AY64" s="928"/>
      <c r="AZ64" s="928"/>
      <c r="BA64" s="928"/>
      <c r="BB64" s="928"/>
      <c r="BC64" s="2042"/>
      <c r="BD64" s="997"/>
      <c r="BE64" s="987"/>
    </row>
    <row r="65" spans="1:57" s="1003" customFormat="1" ht="21" hidden="1" customHeight="1">
      <c r="A65" s="1820"/>
      <c r="B65" s="932" t="s">
        <v>106</v>
      </c>
      <c r="C65" s="947" t="s">
        <v>32</v>
      </c>
      <c r="D65" s="1163"/>
      <c r="E65" s="1163"/>
      <c r="F65" s="1163"/>
      <c r="G65" s="1163"/>
      <c r="H65" s="1163"/>
      <c r="I65" s="1163"/>
      <c r="J65" s="1163"/>
      <c r="K65" s="1163"/>
      <c r="L65" s="1163"/>
      <c r="M65" s="1163"/>
      <c r="N65" s="1163"/>
      <c r="O65" s="1163"/>
      <c r="P65" s="1163"/>
      <c r="Q65" s="1163"/>
      <c r="R65" s="1163"/>
      <c r="S65" s="1163"/>
      <c r="T65" s="1163"/>
      <c r="U65" s="1163"/>
      <c r="V65" s="1163"/>
      <c r="W65" s="1163"/>
      <c r="X65" s="1163"/>
      <c r="Y65" s="1163"/>
      <c r="Z65" s="1163"/>
      <c r="AA65" s="1163"/>
      <c r="AB65" s="1163"/>
      <c r="AC65" s="1163"/>
      <c r="AD65" s="1163"/>
      <c r="AE65" s="1163"/>
      <c r="AF65" s="1163"/>
      <c r="AG65" s="1163"/>
      <c r="AH65" s="1163"/>
      <c r="AI65" s="1163"/>
      <c r="AJ65" s="1163"/>
      <c r="AK65" s="1163"/>
      <c r="AL65" s="928"/>
      <c r="AM65" s="928"/>
      <c r="AN65" s="928"/>
      <c r="AO65" s="928"/>
      <c r="AP65" s="928"/>
      <c r="AQ65" s="928"/>
      <c r="AR65" s="928"/>
      <c r="AS65" s="928"/>
      <c r="AT65" s="928"/>
      <c r="AU65" s="928"/>
      <c r="AV65" s="928"/>
      <c r="AW65" s="928"/>
      <c r="AX65" s="928"/>
      <c r="AY65" s="928"/>
      <c r="AZ65" s="928"/>
      <c r="BA65" s="928"/>
      <c r="BB65" s="928"/>
      <c r="BC65" s="2042"/>
      <c r="BD65" s="997"/>
      <c r="BE65" s="987"/>
    </row>
    <row r="66" spans="1:57" s="1065" customFormat="1" ht="21.95" customHeight="1">
      <c r="A66" s="1794">
        <v>1</v>
      </c>
      <c r="B66" s="925" t="s">
        <v>108</v>
      </c>
      <c r="C66" s="1791"/>
      <c r="D66" s="1163"/>
      <c r="E66" s="1163"/>
      <c r="F66" s="1163"/>
      <c r="G66" s="1163"/>
      <c r="H66" s="1163"/>
      <c r="I66" s="1163"/>
      <c r="J66" s="1163"/>
      <c r="K66" s="1163"/>
      <c r="L66" s="1163"/>
      <c r="M66" s="1163"/>
      <c r="N66" s="1163"/>
      <c r="O66" s="1163"/>
      <c r="P66" s="1163"/>
      <c r="Q66" s="1163"/>
      <c r="R66" s="1163"/>
      <c r="S66" s="1163"/>
      <c r="T66" s="1163"/>
      <c r="U66" s="1163"/>
      <c r="V66" s="1163"/>
      <c r="W66" s="1163"/>
      <c r="X66" s="1163"/>
      <c r="Y66" s="1163"/>
      <c r="Z66" s="1163"/>
      <c r="AA66" s="1163"/>
      <c r="AB66" s="1163"/>
      <c r="AC66" s="1163"/>
      <c r="AD66" s="1163"/>
      <c r="AE66" s="1163"/>
      <c r="AF66" s="1163"/>
      <c r="AG66" s="1163"/>
      <c r="AH66" s="1163"/>
      <c r="AI66" s="1163"/>
      <c r="AJ66" s="1163"/>
      <c r="AK66" s="1163"/>
      <c r="AL66" s="928"/>
      <c r="AM66" s="928"/>
      <c r="AN66" s="928"/>
      <c r="AO66" s="928"/>
      <c r="AP66" s="928"/>
      <c r="AQ66" s="928"/>
      <c r="AR66" s="928"/>
      <c r="AS66" s="928"/>
      <c r="AT66" s="928"/>
      <c r="AU66" s="928"/>
      <c r="AV66" s="928"/>
      <c r="AW66" s="928"/>
      <c r="AX66" s="928"/>
      <c r="AY66" s="928"/>
      <c r="AZ66" s="928"/>
      <c r="BA66" s="928"/>
      <c r="BB66" s="928"/>
      <c r="BC66" s="1833"/>
      <c r="BD66" s="997"/>
      <c r="BE66" s="987"/>
    </row>
    <row r="67" spans="1:57" s="1020" customFormat="1" ht="21" hidden="1" customHeight="1">
      <c r="A67" s="1794" t="s">
        <v>14</v>
      </c>
      <c r="B67" s="1827" t="s">
        <v>109</v>
      </c>
      <c r="C67" s="954"/>
      <c r="D67" s="1163"/>
      <c r="E67" s="1163"/>
      <c r="F67" s="1163"/>
      <c r="G67" s="1163"/>
      <c r="H67" s="1163"/>
      <c r="I67" s="1163"/>
      <c r="J67" s="1163"/>
      <c r="K67" s="1163"/>
      <c r="L67" s="1163"/>
      <c r="M67" s="1163"/>
      <c r="N67" s="1163"/>
      <c r="O67" s="1163"/>
      <c r="P67" s="1163"/>
      <c r="Q67" s="1163"/>
      <c r="R67" s="1163"/>
      <c r="S67" s="1163"/>
      <c r="T67" s="1163"/>
      <c r="U67" s="1163"/>
      <c r="V67" s="1163"/>
      <c r="W67" s="1163"/>
      <c r="X67" s="1163"/>
      <c r="Y67" s="1163"/>
      <c r="Z67" s="1163"/>
      <c r="AA67" s="1163"/>
      <c r="AB67" s="1163"/>
      <c r="AC67" s="1163"/>
      <c r="AD67" s="1163"/>
      <c r="AE67" s="1163"/>
      <c r="AF67" s="1163"/>
      <c r="AG67" s="1163"/>
      <c r="AH67" s="1163"/>
      <c r="AI67" s="1163"/>
      <c r="AJ67" s="1163"/>
      <c r="AK67" s="1163"/>
      <c r="AL67" s="928"/>
      <c r="AM67" s="928"/>
      <c r="AN67" s="928"/>
      <c r="AO67" s="928"/>
      <c r="AP67" s="928"/>
      <c r="AQ67" s="928"/>
      <c r="AR67" s="928"/>
      <c r="AS67" s="928"/>
      <c r="AT67" s="928"/>
      <c r="AU67" s="928"/>
      <c r="AV67" s="928"/>
      <c r="AW67" s="928"/>
      <c r="AX67" s="928"/>
      <c r="AY67" s="928"/>
      <c r="AZ67" s="928"/>
      <c r="BA67" s="928"/>
      <c r="BB67" s="928"/>
      <c r="BC67" s="2034"/>
      <c r="BD67" s="997"/>
      <c r="BE67" s="987"/>
    </row>
    <row r="68" spans="1:57" s="1003" customFormat="1" ht="21" hidden="1" customHeight="1">
      <c r="A68" s="1820"/>
      <c r="B68" s="932" t="s">
        <v>110</v>
      </c>
      <c r="C68" s="947" t="s">
        <v>93</v>
      </c>
      <c r="D68" s="1163"/>
      <c r="E68" s="1163"/>
      <c r="F68" s="1163"/>
      <c r="G68" s="1163"/>
      <c r="H68" s="1163"/>
      <c r="I68" s="1163"/>
      <c r="J68" s="1163"/>
      <c r="K68" s="1163"/>
      <c r="L68" s="1163"/>
      <c r="M68" s="1163"/>
      <c r="N68" s="1163"/>
      <c r="O68" s="1163"/>
      <c r="P68" s="1163"/>
      <c r="Q68" s="1163"/>
      <c r="R68" s="1163"/>
      <c r="S68" s="1163"/>
      <c r="T68" s="1163"/>
      <c r="U68" s="1163"/>
      <c r="V68" s="1163"/>
      <c r="W68" s="1163"/>
      <c r="X68" s="1163"/>
      <c r="Y68" s="1163"/>
      <c r="Z68" s="1163"/>
      <c r="AA68" s="1163"/>
      <c r="AB68" s="1163"/>
      <c r="AC68" s="1163"/>
      <c r="AD68" s="1163"/>
      <c r="AE68" s="1163"/>
      <c r="AF68" s="1163"/>
      <c r="AG68" s="1163"/>
      <c r="AH68" s="1163"/>
      <c r="AI68" s="1163"/>
      <c r="AJ68" s="1163"/>
      <c r="AK68" s="1163"/>
      <c r="AL68" s="928"/>
      <c r="AM68" s="928"/>
      <c r="AN68" s="928"/>
      <c r="AO68" s="928"/>
      <c r="AP68" s="928"/>
      <c r="AQ68" s="928"/>
      <c r="AR68" s="928"/>
      <c r="AS68" s="928"/>
      <c r="AT68" s="928"/>
      <c r="AU68" s="928"/>
      <c r="AV68" s="928"/>
      <c r="AW68" s="928"/>
      <c r="AX68" s="928"/>
      <c r="AY68" s="928"/>
      <c r="AZ68" s="928"/>
      <c r="BA68" s="928"/>
      <c r="BB68" s="928"/>
      <c r="BC68" s="2034"/>
      <c r="BD68" s="997"/>
      <c r="BE68" s="987"/>
    </row>
    <row r="69" spans="1:57" s="1032" customFormat="1" ht="21" hidden="1" customHeight="1">
      <c r="A69" s="1851"/>
      <c r="B69" s="943" t="s">
        <v>111</v>
      </c>
      <c r="C69" s="951" t="s">
        <v>93</v>
      </c>
      <c r="D69" s="1163"/>
      <c r="E69" s="1163"/>
      <c r="F69" s="1163"/>
      <c r="G69" s="1163"/>
      <c r="H69" s="1163"/>
      <c r="I69" s="1163"/>
      <c r="J69" s="1163"/>
      <c r="K69" s="1163"/>
      <c r="L69" s="1163"/>
      <c r="M69" s="1163"/>
      <c r="N69" s="1163"/>
      <c r="O69" s="1163"/>
      <c r="P69" s="1163"/>
      <c r="Q69" s="1163"/>
      <c r="R69" s="1163"/>
      <c r="S69" s="1163"/>
      <c r="T69" s="1163"/>
      <c r="U69" s="1163"/>
      <c r="V69" s="1163"/>
      <c r="W69" s="1163"/>
      <c r="X69" s="1163"/>
      <c r="Y69" s="1163"/>
      <c r="Z69" s="1163"/>
      <c r="AA69" s="1163"/>
      <c r="AB69" s="1163"/>
      <c r="AC69" s="1163"/>
      <c r="AD69" s="1163"/>
      <c r="AE69" s="1163"/>
      <c r="AF69" s="1163"/>
      <c r="AG69" s="1163"/>
      <c r="AH69" s="1163"/>
      <c r="AI69" s="1163"/>
      <c r="AJ69" s="1163"/>
      <c r="AK69" s="1163"/>
      <c r="AL69" s="928"/>
      <c r="AM69" s="928"/>
      <c r="AN69" s="928"/>
      <c r="AO69" s="928"/>
      <c r="AP69" s="928"/>
      <c r="AQ69" s="928"/>
      <c r="AR69" s="928"/>
      <c r="AS69" s="928"/>
      <c r="AT69" s="928"/>
      <c r="AU69" s="928"/>
      <c r="AV69" s="928"/>
      <c r="AW69" s="928"/>
      <c r="AX69" s="928"/>
      <c r="AY69" s="928"/>
      <c r="AZ69" s="928"/>
      <c r="BA69" s="928"/>
      <c r="BB69" s="928"/>
      <c r="BC69" s="2034"/>
      <c r="BD69" s="997"/>
      <c r="BE69" s="987"/>
    </row>
    <row r="70" spans="1:57" s="1003" customFormat="1" ht="21" hidden="1" customHeight="1">
      <c r="A70" s="1820"/>
      <c r="B70" s="932" t="s">
        <v>112</v>
      </c>
      <c r="C70" s="947" t="s">
        <v>93</v>
      </c>
      <c r="D70" s="1163"/>
      <c r="E70" s="1163"/>
      <c r="F70" s="1163"/>
      <c r="G70" s="1163"/>
      <c r="H70" s="1163"/>
      <c r="I70" s="1163"/>
      <c r="J70" s="1163"/>
      <c r="K70" s="1163"/>
      <c r="L70" s="1163"/>
      <c r="M70" s="1163"/>
      <c r="N70" s="1163"/>
      <c r="O70" s="1163"/>
      <c r="P70" s="1163"/>
      <c r="Q70" s="1163"/>
      <c r="R70" s="1163"/>
      <c r="S70" s="1163"/>
      <c r="T70" s="1163"/>
      <c r="U70" s="1163"/>
      <c r="V70" s="1163"/>
      <c r="W70" s="1163"/>
      <c r="X70" s="1163"/>
      <c r="Y70" s="1163"/>
      <c r="Z70" s="1163"/>
      <c r="AA70" s="1163"/>
      <c r="AB70" s="1163"/>
      <c r="AC70" s="1163"/>
      <c r="AD70" s="1163"/>
      <c r="AE70" s="1163"/>
      <c r="AF70" s="1163"/>
      <c r="AG70" s="1163"/>
      <c r="AH70" s="1163"/>
      <c r="AI70" s="1163"/>
      <c r="AJ70" s="1163"/>
      <c r="AK70" s="1163"/>
      <c r="AL70" s="928"/>
      <c r="AM70" s="928"/>
      <c r="AN70" s="928"/>
      <c r="AO70" s="928"/>
      <c r="AP70" s="928"/>
      <c r="AQ70" s="928"/>
      <c r="AR70" s="928"/>
      <c r="AS70" s="928"/>
      <c r="AT70" s="928"/>
      <c r="AU70" s="928"/>
      <c r="AV70" s="928"/>
      <c r="AW70" s="928"/>
      <c r="AX70" s="928"/>
      <c r="AY70" s="928"/>
      <c r="AZ70" s="928"/>
      <c r="BA70" s="928"/>
      <c r="BB70" s="928"/>
      <c r="BC70" s="2034"/>
      <c r="BD70" s="997"/>
      <c r="BE70" s="987"/>
    </row>
    <row r="71" spans="1:57" s="1003" customFormat="1" ht="21" hidden="1" customHeight="1">
      <c r="A71" s="1820"/>
      <c r="B71" s="932" t="s">
        <v>105</v>
      </c>
      <c r="C71" s="947" t="s">
        <v>90</v>
      </c>
      <c r="D71" s="1163"/>
      <c r="E71" s="1163"/>
      <c r="F71" s="1163"/>
      <c r="G71" s="1163"/>
      <c r="H71" s="1163"/>
      <c r="I71" s="1163"/>
      <c r="J71" s="1163"/>
      <c r="K71" s="1163"/>
      <c r="L71" s="1163"/>
      <c r="M71" s="1163"/>
      <c r="N71" s="1163"/>
      <c r="O71" s="1163"/>
      <c r="P71" s="1163"/>
      <c r="Q71" s="1163"/>
      <c r="R71" s="1163"/>
      <c r="S71" s="1163"/>
      <c r="T71" s="1163"/>
      <c r="U71" s="1163"/>
      <c r="V71" s="1163"/>
      <c r="W71" s="1163"/>
      <c r="X71" s="1163"/>
      <c r="Y71" s="1163"/>
      <c r="Z71" s="1163"/>
      <c r="AA71" s="1163"/>
      <c r="AB71" s="1163"/>
      <c r="AC71" s="1163"/>
      <c r="AD71" s="1163"/>
      <c r="AE71" s="1163"/>
      <c r="AF71" s="1163"/>
      <c r="AG71" s="1163"/>
      <c r="AH71" s="1163"/>
      <c r="AI71" s="1163"/>
      <c r="AJ71" s="1163"/>
      <c r="AK71" s="1163"/>
      <c r="AL71" s="928"/>
      <c r="AM71" s="928"/>
      <c r="AN71" s="928"/>
      <c r="AO71" s="928"/>
      <c r="AP71" s="928"/>
      <c r="AQ71" s="928"/>
      <c r="AR71" s="928"/>
      <c r="AS71" s="928"/>
      <c r="AT71" s="928"/>
      <c r="AU71" s="928"/>
      <c r="AV71" s="928"/>
      <c r="AW71" s="928"/>
      <c r="AX71" s="928"/>
      <c r="AY71" s="928"/>
      <c r="AZ71" s="928"/>
      <c r="BA71" s="928"/>
      <c r="BB71" s="928"/>
      <c r="BC71" s="2034"/>
      <c r="BD71" s="997"/>
      <c r="BE71" s="987"/>
    </row>
    <row r="72" spans="1:57" s="1003" customFormat="1" ht="21" hidden="1" customHeight="1">
      <c r="A72" s="1820"/>
      <c r="B72" s="932" t="s">
        <v>113</v>
      </c>
      <c r="C72" s="947" t="s">
        <v>32</v>
      </c>
      <c r="D72" s="1163"/>
      <c r="E72" s="1163"/>
      <c r="F72" s="1163"/>
      <c r="G72" s="1163"/>
      <c r="H72" s="1163"/>
      <c r="I72" s="1163"/>
      <c r="J72" s="1163"/>
      <c r="K72" s="1163"/>
      <c r="L72" s="1163"/>
      <c r="M72" s="1163"/>
      <c r="N72" s="1163"/>
      <c r="O72" s="1163"/>
      <c r="P72" s="1163"/>
      <c r="Q72" s="1163"/>
      <c r="R72" s="1163"/>
      <c r="S72" s="1163"/>
      <c r="T72" s="1163"/>
      <c r="U72" s="1163"/>
      <c r="V72" s="1163"/>
      <c r="W72" s="1163"/>
      <c r="X72" s="1163"/>
      <c r="Y72" s="1163"/>
      <c r="Z72" s="1163"/>
      <c r="AA72" s="1163"/>
      <c r="AB72" s="1163"/>
      <c r="AC72" s="1163"/>
      <c r="AD72" s="1163"/>
      <c r="AE72" s="1163"/>
      <c r="AF72" s="1163"/>
      <c r="AG72" s="1163"/>
      <c r="AH72" s="1163"/>
      <c r="AI72" s="1163"/>
      <c r="AJ72" s="1163"/>
      <c r="AK72" s="1163"/>
      <c r="AL72" s="928"/>
      <c r="AM72" s="928"/>
      <c r="AN72" s="928"/>
      <c r="AO72" s="928"/>
      <c r="AP72" s="928"/>
      <c r="AQ72" s="928"/>
      <c r="AR72" s="928"/>
      <c r="AS72" s="928"/>
      <c r="AT72" s="928"/>
      <c r="AU72" s="928"/>
      <c r="AV72" s="928"/>
      <c r="AW72" s="928"/>
      <c r="AX72" s="928"/>
      <c r="AY72" s="928"/>
      <c r="AZ72" s="928"/>
      <c r="BA72" s="928"/>
      <c r="BB72" s="928"/>
      <c r="BC72" s="2034"/>
      <c r="BD72" s="997"/>
      <c r="BE72" s="987"/>
    </row>
    <row r="73" spans="1:57" s="1020" customFormat="1" ht="21.95" customHeight="1">
      <c r="A73" s="1794" t="s">
        <v>14</v>
      </c>
      <c r="B73" s="925" t="s">
        <v>114</v>
      </c>
      <c r="C73" s="1791"/>
      <c r="D73" s="1163"/>
      <c r="E73" s="1163"/>
      <c r="F73" s="1163"/>
      <c r="G73" s="1163"/>
      <c r="H73" s="1163"/>
      <c r="I73" s="1163"/>
      <c r="J73" s="1163"/>
      <c r="K73" s="1163"/>
      <c r="L73" s="1163"/>
      <c r="M73" s="1163"/>
      <c r="N73" s="1163"/>
      <c r="O73" s="1163"/>
      <c r="P73" s="1163"/>
      <c r="Q73" s="1163"/>
      <c r="R73" s="1163"/>
      <c r="S73" s="1163"/>
      <c r="T73" s="1163"/>
      <c r="U73" s="1163"/>
      <c r="V73" s="1163"/>
      <c r="W73" s="1163"/>
      <c r="X73" s="1163"/>
      <c r="Y73" s="1163"/>
      <c r="Z73" s="1163"/>
      <c r="AA73" s="1163"/>
      <c r="AB73" s="1163"/>
      <c r="AC73" s="1163"/>
      <c r="AD73" s="1163"/>
      <c r="AE73" s="1163"/>
      <c r="AF73" s="1163"/>
      <c r="AG73" s="1163"/>
      <c r="AH73" s="1163"/>
      <c r="AI73" s="1163"/>
      <c r="AJ73" s="1163"/>
      <c r="AK73" s="1163"/>
      <c r="AL73" s="928"/>
      <c r="AM73" s="928"/>
      <c r="AN73" s="928"/>
      <c r="AO73" s="928"/>
      <c r="AP73" s="928"/>
      <c r="AQ73" s="928"/>
      <c r="AR73" s="928"/>
      <c r="AS73" s="928"/>
      <c r="AT73" s="928"/>
      <c r="AU73" s="928"/>
      <c r="AV73" s="928"/>
      <c r="AW73" s="928"/>
      <c r="AX73" s="928"/>
      <c r="AY73" s="928"/>
      <c r="AZ73" s="928"/>
      <c r="BA73" s="928"/>
      <c r="BB73" s="928"/>
      <c r="BC73" s="1794"/>
      <c r="BD73" s="997"/>
      <c r="BE73" s="987"/>
    </row>
    <row r="74" spans="1:57" s="1003" customFormat="1" ht="21.95" customHeight="1">
      <c r="A74" s="1820"/>
      <c r="B74" s="932" t="s">
        <v>115</v>
      </c>
      <c r="C74" s="947" t="s">
        <v>93</v>
      </c>
      <c r="D74" s="928">
        <v>2100</v>
      </c>
      <c r="E74" s="928">
        <v>2100</v>
      </c>
      <c r="F74" s="928">
        <v>2100</v>
      </c>
      <c r="G74" s="928">
        <v>2100</v>
      </c>
      <c r="H74" s="1869">
        <f>SUM(I74:V74)</f>
        <v>1177.4000000000001</v>
      </c>
      <c r="I74" s="1869"/>
      <c r="J74" s="1869"/>
      <c r="K74" s="1869"/>
      <c r="L74" s="1869"/>
      <c r="M74" s="1869"/>
      <c r="N74" s="1869"/>
      <c r="O74" s="1869">
        <v>287</v>
      </c>
      <c r="P74" s="1869">
        <v>164</v>
      </c>
      <c r="Q74" s="1869">
        <v>0.6</v>
      </c>
      <c r="R74" s="1869">
        <v>260</v>
      </c>
      <c r="S74" s="1869">
        <v>62.8</v>
      </c>
      <c r="T74" s="1869">
        <v>403</v>
      </c>
      <c r="U74" s="1869">
        <v>0</v>
      </c>
      <c r="V74" s="1869"/>
      <c r="W74" s="928">
        <f>SUM(X74:AK74)</f>
        <v>1177.4000000000001</v>
      </c>
      <c r="X74" s="928"/>
      <c r="Y74" s="928"/>
      <c r="Z74" s="928"/>
      <c r="AA74" s="928"/>
      <c r="AB74" s="928"/>
      <c r="AC74" s="928"/>
      <c r="AD74" s="1869">
        <v>287</v>
      </c>
      <c r="AE74" s="1869">
        <v>164</v>
      </c>
      <c r="AF74" s="1869">
        <v>0.6</v>
      </c>
      <c r="AG74" s="1869">
        <v>260</v>
      </c>
      <c r="AH74" s="1869">
        <v>62.8</v>
      </c>
      <c r="AI74" s="1869">
        <v>403</v>
      </c>
      <c r="AJ74" s="1869">
        <v>0</v>
      </c>
      <c r="AK74" s="1869"/>
      <c r="AL74" s="928">
        <f>SUM(AM74:AZ74)</f>
        <v>1177.4000000000001</v>
      </c>
      <c r="AM74" s="928"/>
      <c r="AN74" s="928"/>
      <c r="AO74" s="928"/>
      <c r="AP74" s="928"/>
      <c r="AQ74" s="928"/>
      <c r="AR74" s="928"/>
      <c r="AS74" s="928">
        <v>287</v>
      </c>
      <c r="AT74" s="928">
        <v>164</v>
      </c>
      <c r="AU74" s="928">
        <v>0.6</v>
      </c>
      <c r="AV74" s="928">
        <v>260</v>
      </c>
      <c r="AW74" s="928">
        <v>62.8</v>
      </c>
      <c r="AX74" s="928">
        <v>403</v>
      </c>
      <c r="AY74" s="928">
        <v>0</v>
      </c>
      <c r="AZ74" s="928"/>
      <c r="BA74" s="928">
        <f t="shared" ref="BA74" si="80">AL74/F74%</f>
        <v>56.06666666666667</v>
      </c>
      <c r="BB74" s="928">
        <f t="shared" ref="BB74" si="81">AL74/W74%</f>
        <v>100</v>
      </c>
      <c r="BC74" s="1160"/>
      <c r="BD74" s="997"/>
      <c r="BE74" s="987"/>
    </row>
    <row r="75" spans="1:57" s="1032" customFormat="1" ht="21.95" customHeight="1">
      <c r="A75" s="1851"/>
      <c r="B75" s="943" t="s">
        <v>116</v>
      </c>
      <c r="C75" s="951" t="s">
        <v>93</v>
      </c>
      <c r="D75" s="928">
        <v>0</v>
      </c>
      <c r="E75" s="928">
        <v>0</v>
      </c>
      <c r="F75" s="928">
        <v>0</v>
      </c>
      <c r="G75" s="928">
        <v>0</v>
      </c>
      <c r="H75" s="928">
        <v>0</v>
      </c>
      <c r="I75" s="928"/>
      <c r="J75" s="928"/>
      <c r="K75" s="928"/>
      <c r="L75" s="928"/>
      <c r="M75" s="928"/>
      <c r="N75" s="928"/>
      <c r="O75" s="928"/>
      <c r="P75" s="928"/>
      <c r="Q75" s="928"/>
      <c r="R75" s="928"/>
      <c r="S75" s="928"/>
      <c r="T75" s="928"/>
      <c r="U75" s="928"/>
      <c r="V75" s="928"/>
      <c r="W75" s="928">
        <v>0</v>
      </c>
      <c r="X75" s="928"/>
      <c r="Y75" s="928"/>
      <c r="Z75" s="928"/>
      <c r="AA75" s="928"/>
      <c r="AB75" s="928"/>
      <c r="AC75" s="928"/>
      <c r="AD75" s="928"/>
      <c r="AE75" s="928"/>
      <c r="AF75" s="928"/>
      <c r="AG75" s="928"/>
      <c r="AH75" s="928"/>
      <c r="AI75" s="928"/>
      <c r="AJ75" s="928"/>
      <c r="AK75" s="928"/>
      <c r="AL75" s="928">
        <v>0</v>
      </c>
      <c r="AM75" s="928"/>
      <c r="AN75" s="928"/>
      <c r="AO75" s="928"/>
      <c r="AP75" s="928"/>
      <c r="AQ75" s="928"/>
      <c r="AR75" s="928"/>
      <c r="AS75" s="928"/>
      <c r="AT75" s="928"/>
      <c r="AU75" s="928"/>
      <c r="AV75" s="928"/>
      <c r="AW75" s="928"/>
      <c r="AX75" s="928"/>
      <c r="AY75" s="928"/>
      <c r="AZ75" s="928"/>
      <c r="BA75" s="928"/>
      <c r="BB75" s="928"/>
      <c r="BC75" s="1160"/>
      <c r="BD75" s="997"/>
      <c r="BE75" s="987"/>
    </row>
    <row r="76" spans="1:57" s="1020" customFormat="1" ht="21.95" customHeight="1">
      <c r="A76" s="1794" t="s">
        <v>19</v>
      </c>
      <c r="B76" s="1827" t="s">
        <v>117</v>
      </c>
      <c r="C76" s="954"/>
      <c r="D76" s="928"/>
      <c r="E76" s="928"/>
      <c r="F76" s="928"/>
      <c r="G76" s="928"/>
      <c r="H76" s="928"/>
      <c r="I76" s="928"/>
      <c r="J76" s="928"/>
      <c r="K76" s="928"/>
      <c r="L76" s="928"/>
      <c r="M76" s="928"/>
      <c r="N76" s="928"/>
      <c r="O76" s="928"/>
      <c r="P76" s="928"/>
      <c r="Q76" s="928"/>
      <c r="R76" s="928"/>
      <c r="S76" s="928"/>
      <c r="T76" s="928"/>
      <c r="U76" s="928"/>
      <c r="V76" s="928"/>
      <c r="W76" s="1870"/>
      <c r="X76" s="928"/>
      <c r="Y76" s="928"/>
      <c r="Z76" s="928"/>
      <c r="AA76" s="928"/>
      <c r="AB76" s="928"/>
      <c r="AC76" s="928"/>
      <c r="AD76" s="928"/>
      <c r="AE76" s="928"/>
      <c r="AF76" s="928"/>
      <c r="AG76" s="928"/>
      <c r="AH76" s="928"/>
      <c r="AI76" s="928"/>
      <c r="AJ76" s="928"/>
      <c r="AK76" s="928"/>
      <c r="AL76" s="1870"/>
      <c r="AM76" s="928"/>
      <c r="AN76" s="928"/>
      <c r="AO76" s="928"/>
      <c r="AP76" s="928"/>
      <c r="AQ76" s="928"/>
      <c r="AR76" s="928"/>
      <c r="AS76" s="928"/>
      <c r="AT76" s="928"/>
      <c r="AU76" s="928"/>
      <c r="AV76" s="928"/>
      <c r="AW76" s="928"/>
      <c r="AX76" s="928"/>
      <c r="AY76" s="928"/>
      <c r="AZ76" s="928"/>
      <c r="BA76" s="928"/>
      <c r="BB76" s="928"/>
      <c r="BC76" s="1796"/>
      <c r="BD76" s="997"/>
      <c r="BE76" s="987"/>
    </row>
    <row r="77" spans="1:57" s="1003" customFormat="1" ht="21.95" customHeight="1">
      <c r="A77" s="1820"/>
      <c r="B77" s="932" t="s">
        <v>115</v>
      </c>
      <c r="C77" s="947" t="s">
        <v>93</v>
      </c>
      <c r="D77" s="935">
        <v>396</v>
      </c>
      <c r="E77" s="935">
        <v>396</v>
      </c>
      <c r="F77" s="935">
        <v>396</v>
      </c>
      <c r="G77" s="935">
        <v>396</v>
      </c>
      <c r="H77" s="935">
        <f>SUM(I77:V77)</f>
        <v>396</v>
      </c>
      <c r="I77" s="928"/>
      <c r="J77" s="928"/>
      <c r="K77" s="928"/>
      <c r="L77" s="928">
        <v>396</v>
      </c>
      <c r="M77" s="935"/>
      <c r="N77" s="935"/>
      <c r="O77" s="935"/>
      <c r="P77" s="935"/>
      <c r="Q77" s="935"/>
      <c r="R77" s="935"/>
      <c r="S77" s="935"/>
      <c r="T77" s="935"/>
      <c r="U77" s="935"/>
      <c r="V77" s="935"/>
      <c r="W77" s="935">
        <f>SUM(X77:AK77)</f>
        <v>396</v>
      </c>
      <c r="X77" s="928"/>
      <c r="Y77" s="928"/>
      <c r="Z77" s="928"/>
      <c r="AA77" s="928">
        <v>396</v>
      </c>
      <c r="AB77" s="928"/>
      <c r="AC77" s="928"/>
      <c r="AD77" s="928"/>
      <c r="AE77" s="928"/>
      <c r="AF77" s="928"/>
      <c r="AG77" s="928"/>
      <c r="AH77" s="928"/>
      <c r="AI77" s="928"/>
      <c r="AJ77" s="928"/>
      <c r="AK77" s="928"/>
      <c r="AL77" s="935">
        <f>SUM(AM77:AZ77)</f>
        <v>396</v>
      </c>
      <c r="AM77" s="928"/>
      <c r="AN77" s="928"/>
      <c r="AO77" s="928"/>
      <c r="AP77" s="928">
        <v>396</v>
      </c>
      <c r="AQ77" s="928"/>
      <c r="AR77" s="928"/>
      <c r="AS77" s="928"/>
      <c r="AT77" s="928"/>
      <c r="AU77" s="928"/>
      <c r="AV77" s="928"/>
      <c r="AW77" s="928"/>
      <c r="AX77" s="928"/>
      <c r="AY77" s="928"/>
      <c r="AZ77" s="928"/>
      <c r="BA77" s="928">
        <f t="shared" ref="BA77:BA89" si="82">AL77/F77%</f>
        <v>100</v>
      </c>
      <c r="BB77" s="928">
        <f t="shared" ref="BB77:BB89" si="83">AL77/W77%</f>
        <v>100</v>
      </c>
      <c r="BC77" s="1797"/>
      <c r="BD77" s="980"/>
      <c r="BE77" s="987"/>
    </row>
    <row r="78" spans="1:57" s="1003" customFormat="1" ht="21.95" customHeight="1">
      <c r="A78" s="1820"/>
      <c r="B78" s="932" t="s">
        <v>935</v>
      </c>
      <c r="C78" s="947" t="s">
        <v>93</v>
      </c>
      <c r="D78" s="928">
        <v>0</v>
      </c>
      <c r="E78" s="928">
        <v>0</v>
      </c>
      <c r="F78" s="928"/>
      <c r="G78" s="928"/>
      <c r="H78" s="928">
        <v>0</v>
      </c>
      <c r="I78" s="928"/>
      <c r="J78" s="928"/>
      <c r="K78" s="928"/>
      <c r="L78" s="928"/>
      <c r="M78" s="928"/>
      <c r="N78" s="928"/>
      <c r="O78" s="928"/>
      <c r="P78" s="928"/>
      <c r="Q78" s="928"/>
      <c r="R78" s="928"/>
      <c r="S78" s="928"/>
      <c r="T78" s="928"/>
      <c r="U78" s="928"/>
      <c r="V78" s="928"/>
      <c r="W78" s="935">
        <f>SUM(X78:AK78)</f>
        <v>150</v>
      </c>
      <c r="X78" s="928"/>
      <c r="Y78" s="928"/>
      <c r="Z78" s="928"/>
      <c r="AA78" s="935">
        <v>150</v>
      </c>
      <c r="AB78" s="928"/>
      <c r="AC78" s="928"/>
      <c r="AD78" s="928"/>
      <c r="AE78" s="928"/>
      <c r="AF78" s="928"/>
      <c r="AG78" s="928"/>
      <c r="AH78" s="928"/>
      <c r="AI78" s="928"/>
      <c r="AJ78" s="928"/>
      <c r="AK78" s="928"/>
      <c r="AL78" s="928">
        <v>150</v>
      </c>
      <c r="AM78" s="928"/>
      <c r="AN78" s="928"/>
      <c r="AO78" s="928"/>
      <c r="AP78" s="935">
        <v>150</v>
      </c>
      <c r="AQ78" s="928"/>
      <c r="AR78" s="928"/>
      <c r="AS78" s="928"/>
      <c r="AT78" s="928"/>
      <c r="AU78" s="928"/>
      <c r="AV78" s="928"/>
      <c r="AW78" s="928"/>
      <c r="AX78" s="928"/>
      <c r="AY78" s="928"/>
      <c r="AZ78" s="928"/>
      <c r="BA78" s="928"/>
      <c r="BB78" s="928">
        <f t="shared" si="83"/>
        <v>100</v>
      </c>
      <c r="BC78" s="1797"/>
      <c r="BD78" s="980"/>
      <c r="BE78" s="987"/>
    </row>
    <row r="79" spans="1:57" s="1020" customFormat="1" ht="21" hidden="1" customHeight="1">
      <c r="A79" s="1794" t="s">
        <v>118</v>
      </c>
      <c r="B79" s="925" t="s">
        <v>119</v>
      </c>
      <c r="C79" s="1791"/>
      <c r="D79" s="1163"/>
      <c r="E79" s="1163"/>
      <c r="F79" s="1163"/>
      <c r="G79" s="1163"/>
      <c r="H79" s="1163"/>
      <c r="I79" s="1163"/>
      <c r="J79" s="1163"/>
      <c r="K79" s="1163"/>
      <c r="L79" s="1163"/>
      <c r="M79" s="1163"/>
      <c r="N79" s="1163"/>
      <c r="O79" s="1163"/>
      <c r="P79" s="1163"/>
      <c r="Q79" s="1163"/>
      <c r="R79" s="1163"/>
      <c r="S79" s="1163"/>
      <c r="T79" s="1163"/>
      <c r="U79" s="1163"/>
      <c r="V79" s="1163"/>
      <c r="W79" s="1163"/>
      <c r="X79" s="1163"/>
      <c r="Y79" s="1163"/>
      <c r="Z79" s="1163"/>
      <c r="AA79" s="1163"/>
      <c r="AB79" s="1163"/>
      <c r="AC79" s="1163"/>
      <c r="AD79" s="1163"/>
      <c r="AE79" s="1163"/>
      <c r="AF79" s="1163"/>
      <c r="AG79" s="1163"/>
      <c r="AH79" s="1163"/>
      <c r="AI79" s="1163"/>
      <c r="AJ79" s="1163"/>
      <c r="AK79" s="1163"/>
      <c r="AL79" s="1163"/>
      <c r="AM79" s="1163"/>
      <c r="AN79" s="1163"/>
      <c r="AO79" s="1163"/>
      <c r="AP79" s="1163"/>
      <c r="AQ79" s="1163"/>
      <c r="AR79" s="1163"/>
      <c r="AS79" s="1163"/>
      <c r="AT79" s="1163"/>
      <c r="AU79" s="1163"/>
      <c r="AV79" s="1163"/>
      <c r="AW79" s="1163"/>
      <c r="AX79" s="1163"/>
      <c r="AY79" s="1163"/>
      <c r="AZ79" s="1163"/>
      <c r="BA79" s="928"/>
      <c r="BB79" s="928" t="e">
        <f t="shared" si="83"/>
        <v>#DIV/0!</v>
      </c>
      <c r="BC79" s="1796"/>
      <c r="BD79" s="997"/>
      <c r="BE79" s="987"/>
    </row>
    <row r="80" spans="1:57" s="1003" customFormat="1" ht="21" hidden="1" customHeight="1">
      <c r="A80" s="1820"/>
      <c r="B80" s="943" t="s">
        <v>120</v>
      </c>
      <c r="C80" s="947"/>
      <c r="D80" s="1163"/>
      <c r="E80" s="1163"/>
      <c r="F80" s="1163"/>
      <c r="G80" s="1163"/>
      <c r="H80" s="1163"/>
      <c r="I80" s="1163"/>
      <c r="J80" s="1163"/>
      <c r="K80" s="1163"/>
      <c r="L80" s="1163"/>
      <c r="M80" s="1163"/>
      <c r="N80" s="1163"/>
      <c r="O80" s="1163"/>
      <c r="P80" s="1163"/>
      <c r="Q80" s="1163"/>
      <c r="R80" s="1163"/>
      <c r="S80" s="1163"/>
      <c r="T80" s="1163"/>
      <c r="U80" s="1163"/>
      <c r="V80" s="1163"/>
      <c r="W80" s="1163"/>
      <c r="X80" s="1163"/>
      <c r="Y80" s="1163"/>
      <c r="Z80" s="1163"/>
      <c r="AA80" s="1163"/>
      <c r="AB80" s="1163"/>
      <c r="AC80" s="1163"/>
      <c r="AD80" s="1163"/>
      <c r="AE80" s="1163"/>
      <c r="AF80" s="1163"/>
      <c r="AG80" s="1163"/>
      <c r="AH80" s="1163"/>
      <c r="AI80" s="1163"/>
      <c r="AJ80" s="1163"/>
      <c r="AK80" s="1163"/>
      <c r="AL80" s="1163"/>
      <c r="AM80" s="1163"/>
      <c r="AN80" s="1163"/>
      <c r="AO80" s="1163"/>
      <c r="AP80" s="1163"/>
      <c r="AQ80" s="1163"/>
      <c r="AR80" s="1163"/>
      <c r="AS80" s="1163"/>
      <c r="AT80" s="1163"/>
      <c r="AU80" s="1163"/>
      <c r="AV80" s="1163"/>
      <c r="AW80" s="1163"/>
      <c r="AX80" s="1163"/>
      <c r="AY80" s="1163"/>
      <c r="AZ80" s="1163"/>
      <c r="BA80" s="928"/>
      <c r="BB80" s="928" t="e">
        <f t="shared" si="83"/>
        <v>#DIV/0!</v>
      </c>
      <c r="BC80" s="1797"/>
      <c r="BD80" s="980"/>
      <c r="BE80" s="987"/>
    </row>
    <row r="81" spans="1:72" s="1003" customFormat="1" ht="21" hidden="1" customHeight="1">
      <c r="A81" s="1820"/>
      <c r="B81" s="932" t="s">
        <v>547</v>
      </c>
      <c r="C81" s="947" t="s">
        <v>93</v>
      </c>
      <c r="D81" s="1841"/>
      <c r="E81" s="1841"/>
      <c r="F81" s="1841"/>
      <c r="G81" s="1841"/>
      <c r="H81" s="1841"/>
      <c r="I81" s="1841"/>
      <c r="J81" s="1841"/>
      <c r="K81" s="1841"/>
      <c r="L81" s="1841"/>
      <c r="M81" s="1841"/>
      <c r="N81" s="1841"/>
      <c r="O81" s="1841"/>
      <c r="P81" s="1841"/>
      <c r="Q81" s="1841"/>
      <c r="R81" s="1841"/>
      <c r="S81" s="1841"/>
      <c r="T81" s="1841"/>
      <c r="U81" s="1841"/>
      <c r="V81" s="1841"/>
      <c r="W81" s="1841"/>
      <c r="X81" s="1841"/>
      <c r="Y81" s="1841"/>
      <c r="Z81" s="1841"/>
      <c r="AA81" s="1841"/>
      <c r="AB81" s="1841"/>
      <c r="AC81" s="1841"/>
      <c r="AD81" s="1841"/>
      <c r="AE81" s="1841"/>
      <c r="AF81" s="1841"/>
      <c r="AG81" s="1841"/>
      <c r="AH81" s="1841"/>
      <c r="AI81" s="1841"/>
      <c r="AJ81" s="1841"/>
      <c r="AK81" s="1841"/>
      <c r="AL81" s="1841"/>
      <c r="AM81" s="1841"/>
      <c r="AN81" s="1841"/>
      <c r="AO81" s="1841"/>
      <c r="AP81" s="1841"/>
      <c r="AQ81" s="1841"/>
      <c r="AR81" s="1841"/>
      <c r="AS81" s="1841"/>
      <c r="AT81" s="1841"/>
      <c r="AU81" s="1841"/>
      <c r="AV81" s="1841"/>
      <c r="AW81" s="1841"/>
      <c r="AX81" s="1841"/>
      <c r="AY81" s="1841"/>
      <c r="AZ81" s="1841"/>
      <c r="BA81" s="928"/>
      <c r="BB81" s="928" t="e">
        <f t="shared" si="83"/>
        <v>#DIV/0!</v>
      </c>
      <c r="BC81" s="1797"/>
      <c r="BD81" s="980"/>
      <c r="BE81" s="987"/>
    </row>
    <row r="82" spans="1:72" s="1003" customFormat="1" ht="21" hidden="1" customHeight="1">
      <c r="A82" s="1820"/>
      <c r="B82" s="932" t="s">
        <v>548</v>
      </c>
      <c r="C82" s="947"/>
      <c r="D82" s="1841"/>
      <c r="E82" s="1841"/>
      <c r="F82" s="1841"/>
      <c r="G82" s="1841"/>
      <c r="H82" s="1841"/>
      <c r="I82" s="1841"/>
      <c r="J82" s="1841"/>
      <c r="K82" s="1841"/>
      <c r="L82" s="1841"/>
      <c r="M82" s="1841"/>
      <c r="N82" s="1841"/>
      <c r="O82" s="1841"/>
      <c r="P82" s="1841"/>
      <c r="Q82" s="1841"/>
      <c r="R82" s="1841"/>
      <c r="S82" s="1841"/>
      <c r="T82" s="1841"/>
      <c r="U82" s="1841"/>
      <c r="V82" s="1841"/>
      <c r="W82" s="1841"/>
      <c r="X82" s="1841"/>
      <c r="Y82" s="1841"/>
      <c r="Z82" s="1841"/>
      <c r="AA82" s="1841"/>
      <c r="AB82" s="1841"/>
      <c r="AC82" s="1841"/>
      <c r="AD82" s="1841"/>
      <c r="AE82" s="1841"/>
      <c r="AF82" s="1841"/>
      <c r="AG82" s="1841"/>
      <c r="AH82" s="1841"/>
      <c r="AI82" s="1841"/>
      <c r="AJ82" s="1841"/>
      <c r="AK82" s="1841"/>
      <c r="AL82" s="1841"/>
      <c r="AM82" s="1841"/>
      <c r="AN82" s="1841"/>
      <c r="AO82" s="1841"/>
      <c r="AP82" s="1841"/>
      <c r="AQ82" s="1841"/>
      <c r="AR82" s="1841"/>
      <c r="AS82" s="1841"/>
      <c r="AT82" s="1841"/>
      <c r="AU82" s="1841"/>
      <c r="AV82" s="1841"/>
      <c r="AW82" s="1841"/>
      <c r="AX82" s="1841"/>
      <c r="AY82" s="1841"/>
      <c r="AZ82" s="1841"/>
      <c r="BA82" s="928"/>
      <c r="BB82" s="928" t="e">
        <f t="shared" si="83"/>
        <v>#DIV/0!</v>
      </c>
      <c r="BC82" s="1797"/>
      <c r="BD82" s="980"/>
      <c r="BE82" s="987"/>
    </row>
    <row r="83" spans="1:72" s="1003" customFormat="1" ht="21" hidden="1" customHeight="1">
      <c r="A83" s="1820"/>
      <c r="B83" s="932" t="s">
        <v>105</v>
      </c>
      <c r="C83" s="947" t="s">
        <v>90</v>
      </c>
      <c r="D83" s="1841"/>
      <c r="E83" s="1841"/>
      <c r="F83" s="1841"/>
      <c r="G83" s="1841"/>
      <c r="H83" s="1841"/>
      <c r="I83" s="1841"/>
      <c r="J83" s="1841"/>
      <c r="K83" s="1841"/>
      <c r="L83" s="1841"/>
      <c r="M83" s="1841"/>
      <c r="N83" s="1841"/>
      <c r="O83" s="1841"/>
      <c r="P83" s="1841"/>
      <c r="Q83" s="1841"/>
      <c r="R83" s="1841"/>
      <c r="S83" s="1841"/>
      <c r="T83" s="1841"/>
      <c r="U83" s="1841"/>
      <c r="V83" s="1841"/>
      <c r="W83" s="1841"/>
      <c r="X83" s="1841"/>
      <c r="Y83" s="1841"/>
      <c r="Z83" s="1841"/>
      <c r="AA83" s="1841"/>
      <c r="AB83" s="1841"/>
      <c r="AC83" s="1841"/>
      <c r="AD83" s="1841"/>
      <c r="AE83" s="1841"/>
      <c r="AF83" s="1841"/>
      <c r="AG83" s="1841"/>
      <c r="AH83" s="1841"/>
      <c r="AI83" s="1841"/>
      <c r="AJ83" s="1841"/>
      <c r="AK83" s="1841"/>
      <c r="AL83" s="1841"/>
      <c r="AM83" s="1841"/>
      <c r="AN83" s="1841"/>
      <c r="AO83" s="1841"/>
      <c r="AP83" s="1841"/>
      <c r="AQ83" s="1841"/>
      <c r="AR83" s="1841"/>
      <c r="AS83" s="1841"/>
      <c r="AT83" s="1841"/>
      <c r="AU83" s="1841"/>
      <c r="AV83" s="1841"/>
      <c r="AW83" s="1841"/>
      <c r="AX83" s="1841"/>
      <c r="AY83" s="1841"/>
      <c r="AZ83" s="1841"/>
      <c r="BA83" s="928"/>
      <c r="BB83" s="928" t="e">
        <f t="shared" si="83"/>
        <v>#DIV/0!</v>
      </c>
      <c r="BC83" s="1797"/>
      <c r="BD83" s="998"/>
      <c r="BE83" s="987"/>
    </row>
    <row r="84" spans="1:72" s="1003" customFormat="1" ht="21" hidden="1" customHeight="1">
      <c r="A84" s="1820"/>
      <c r="B84" s="932" t="s">
        <v>106</v>
      </c>
      <c r="C84" s="947" t="s">
        <v>32</v>
      </c>
      <c r="D84" s="1823"/>
      <c r="E84" s="1823"/>
      <c r="F84" s="1823"/>
      <c r="G84" s="1823"/>
      <c r="H84" s="1823"/>
      <c r="I84" s="1823"/>
      <c r="J84" s="1823"/>
      <c r="K84" s="1823"/>
      <c r="L84" s="1823"/>
      <c r="M84" s="1823"/>
      <c r="N84" s="1823"/>
      <c r="O84" s="1823"/>
      <c r="P84" s="1823"/>
      <c r="Q84" s="1823"/>
      <c r="R84" s="1823"/>
      <c r="S84" s="1823"/>
      <c r="T84" s="1823"/>
      <c r="U84" s="1823"/>
      <c r="V84" s="1823"/>
      <c r="W84" s="1823"/>
      <c r="X84" s="1823"/>
      <c r="Y84" s="1823"/>
      <c r="Z84" s="1823"/>
      <c r="AA84" s="1823"/>
      <c r="AB84" s="1823"/>
      <c r="AC84" s="1823"/>
      <c r="AD84" s="1823"/>
      <c r="AE84" s="1823"/>
      <c r="AF84" s="1823"/>
      <c r="AG84" s="1823"/>
      <c r="AH84" s="1823"/>
      <c r="AI84" s="1823"/>
      <c r="AJ84" s="1823"/>
      <c r="AK84" s="1823"/>
      <c r="AL84" s="1823"/>
      <c r="AM84" s="1823"/>
      <c r="AN84" s="1823"/>
      <c r="AO84" s="1823"/>
      <c r="AP84" s="1823"/>
      <c r="AQ84" s="1823"/>
      <c r="AR84" s="1823"/>
      <c r="AS84" s="1823"/>
      <c r="AT84" s="1823"/>
      <c r="AU84" s="1823"/>
      <c r="AV84" s="1823"/>
      <c r="AW84" s="1823"/>
      <c r="AX84" s="1823"/>
      <c r="AY84" s="1823"/>
      <c r="AZ84" s="1823"/>
      <c r="BA84" s="928"/>
      <c r="BB84" s="928" t="e">
        <f t="shared" si="83"/>
        <v>#DIV/0!</v>
      </c>
      <c r="BC84" s="1797"/>
      <c r="BD84" s="980"/>
      <c r="BE84" s="987"/>
    </row>
    <row r="85" spans="1:72" s="1003" customFormat="1" ht="21.95" customHeight="1">
      <c r="A85" s="1794" t="s">
        <v>118</v>
      </c>
      <c r="B85" s="925" t="s">
        <v>122</v>
      </c>
      <c r="C85" s="1791"/>
      <c r="D85" s="1163"/>
      <c r="E85" s="1163"/>
      <c r="F85" s="1163"/>
      <c r="G85" s="1163"/>
      <c r="H85" s="1163"/>
      <c r="I85" s="1163"/>
      <c r="J85" s="1163"/>
      <c r="K85" s="1163"/>
      <c r="L85" s="1163"/>
      <c r="M85" s="1163"/>
      <c r="N85" s="1163"/>
      <c r="O85" s="1163"/>
      <c r="P85" s="1163"/>
      <c r="Q85" s="1163"/>
      <c r="R85" s="1163"/>
      <c r="S85" s="1163"/>
      <c r="T85" s="1163"/>
      <c r="U85" s="1163"/>
      <c r="V85" s="1163"/>
      <c r="W85" s="1163"/>
      <c r="X85" s="1163"/>
      <c r="Y85" s="1163"/>
      <c r="Z85" s="1163"/>
      <c r="AA85" s="1163"/>
      <c r="AB85" s="1163"/>
      <c r="AC85" s="1163"/>
      <c r="AD85" s="1163"/>
      <c r="AE85" s="1163"/>
      <c r="AF85" s="1163"/>
      <c r="AG85" s="1163"/>
      <c r="AH85" s="1163"/>
      <c r="AI85" s="1163"/>
      <c r="AJ85" s="1163"/>
      <c r="AK85" s="1163"/>
      <c r="AL85" s="1163"/>
      <c r="AM85" s="1163"/>
      <c r="AN85" s="1163"/>
      <c r="AO85" s="1163"/>
      <c r="AP85" s="1163"/>
      <c r="AQ85" s="1163"/>
      <c r="AR85" s="1163"/>
      <c r="AS85" s="1163"/>
      <c r="AT85" s="1163"/>
      <c r="AU85" s="1163"/>
      <c r="AV85" s="1163"/>
      <c r="AW85" s="1163"/>
      <c r="AX85" s="1163"/>
      <c r="AY85" s="1163"/>
      <c r="AZ85" s="1163"/>
      <c r="BA85" s="928"/>
      <c r="BB85" s="928"/>
      <c r="BC85" s="1797"/>
      <c r="BD85" s="980"/>
      <c r="BE85" s="987"/>
    </row>
    <row r="86" spans="1:72" s="1065" customFormat="1" ht="21.95" customHeight="1">
      <c r="A86" s="1794">
        <v>1</v>
      </c>
      <c r="B86" s="925" t="s">
        <v>123</v>
      </c>
      <c r="C86" s="1791" t="s">
        <v>124</v>
      </c>
      <c r="D86" s="1871">
        <v>40635</v>
      </c>
      <c r="E86" s="1871">
        <f>E87+E88+E89</f>
        <v>42200</v>
      </c>
      <c r="F86" s="1871">
        <f>F87+F88+F89</f>
        <v>41404</v>
      </c>
      <c r="G86" s="1871">
        <f t="shared" ref="G86" si="84">G87+G88+G89</f>
        <v>41996</v>
      </c>
      <c r="H86" s="944">
        <f>SUM(I86:V86)</f>
        <v>42465</v>
      </c>
      <c r="I86" s="944">
        <f>I87+I88+I89</f>
        <v>3123</v>
      </c>
      <c r="J86" s="944">
        <f t="shared" ref="J86:V86" si="85">J87+J88+J89</f>
        <v>3888</v>
      </c>
      <c r="K86" s="944">
        <f t="shared" si="85"/>
        <v>7859</v>
      </c>
      <c r="L86" s="944">
        <f t="shared" si="85"/>
        <v>1863</v>
      </c>
      <c r="M86" s="944">
        <f t="shared" si="85"/>
        <v>5011</v>
      </c>
      <c r="N86" s="944">
        <f t="shared" si="85"/>
        <v>3182</v>
      </c>
      <c r="O86" s="944">
        <f t="shared" si="85"/>
        <v>1708</v>
      </c>
      <c r="P86" s="944">
        <f t="shared" si="85"/>
        <v>1561</v>
      </c>
      <c r="Q86" s="944">
        <f t="shared" si="85"/>
        <v>978</v>
      </c>
      <c r="R86" s="944">
        <f t="shared" si="85"/>
        <v>703</v>
      </c>
      <c r="S86" s="944">
        <f t="shared" si="85"/>
        <v>2372</v>
      </c>
      <c r="T86" s="944">
        <f t="shared" si="85"/>
        <v>1452</v>
      </c>
      <c r="U86" s="944">
        <f t="shared" si="85"/>
        <v>1487</v>
      </c>
      <c r="V86" s="944">
        <f t="shared" si="85"/>
        <v>7278</v>
      </c>
      <c r="W86" s="944">
        <f>SUM(X86:AK86)</f>
        <v>44291</v>
      </c>
      <c r="X86" s="944">
        <f>X87+X88+X89</f>
        <v>3214</v>
      </c>
      <c r="Y86" s="944">
        <f t="shared" ref="Y86:AK86" si="86">Y87+Y88+Y89</f>
        <v>4355</v>
      </c>
      <c r="Z86" s="944">
        <f t="shared" si="86"/>
        <v>7968</v>
      </c>
      <c r="AA86" s="944">
        <f t="shared" si="86"/>
        <v>2009</v>
      </c>
      <c r="AB86" s="944">
        <f t="shared" si="86"/>
        <v>3903</v>
      </c>
      <c r="AC86" s="944">
        <f t="shared" si="86"/>
        <v>3510</v>
      </c>
      <c r="AD86" s="944">
        <f t="shared" si="86"/>
        <v>1833</v>
      </c>
      <c r="AE86" s="944">
        <f t="shared" si="86"/>
        <v>1593</v>
      </c>
      <c r="AF86" s="944">
        <f t="shared" si="86"/>
        <v>1275</v>
      </c>
      <c r="AG86" s="944">
        <f t="shared" si="86"/>
        <v>813</v>
      </c>
      <c r="AH86" s="944">
        <f t="shared" si="86"/>
        <v>2274</v>
      </c>
      <c r="AI86" s="944">
        <f t="shared" si="86"/>
        <v>2359</v>
      </c>
      <c r="AJ86" s="944">
        <f t="shared" si="86"/>
        <v>1971</v>
      </c>
      <c r="AK86" s="944">
        <f t="shared" si="86"/>
        <v>7214</v>
      </c>
      <c r="AL86" s="944">
        <f>SUM(AM86:AZ86)</f>
        <v>43529</v>
      </c>
      <c r="AM86" s="944">
        <f>AM87+AM88+AM89</f>
        <v>3123</v>
      </c>
      <c r="AN86" s="944">
        <f t="shared" ref="AN86:AZ86" si="87">AN87+AN88+AN89</f>
        <v>3970</v>
      </c>
      <c r="AO86" s="944">
        <f t="shared" si="87"/>
        <v>7461</v>
      </c>
      <c r="AP86" s="944">
        <f t="shared" si="87"/>
        <v>1889</v>
      </c>
      <c r="AQ86" s="944">
        <f t="shared" si="87"/>
        <v>4537</v>
      </c>
      <c r="AR86" s="944">
        <f t="shared" si="87"/>
        <v>2604</v>
      </c>
      <c r="AS86" s="944">
        <f t="shared" si="87"/>
        <v>1826</v>
      </c>
      <c r="AT86" s="944">
        <f t="shared" si="87"/>
        <v>1609</v>
      </c>
      <c r="AU86" s="944">
        <f t="shared" si="87"/>
        <v>1098</v>
      </c>
      <c r="AV86" s="944">
        <f t="shared" si="87"/>
        <v>812</v>
      </c>
      <c r="AW86" s="944">
        <f t="shared" si="87"/>
        <v>2565</v>
      </c>
      <c r="AX86" s="944">
        <f t="shared" si="87"/>
        <v>2903</v>
      </c>
      <c r="AY86" s="944">
        <f t="shared" si="87"/>
        <v>1706</v>
      </c>
      <c r="AZ86" s="944">
        <f t="shared" si="87"/>
        <v>7426</v>
      </c>
      <c r="BA86" s="1825">
        <f t="shared" si="82"/>
        <v>105.1323543618974</v>
      </c>
      <c r="BB86" s="1825">
        <f t="shared" si="83"/>
        <v>98.279560181526719</v>
      </c>
      <c r="BC86" s="1796"/>
      <c r="BD86" s="999"/>
      <c r="BE86" s="985"/>
      <c r="BT86" s="1065" t="e">
        <f>#REF!-#REF!</f>
        <v>#REF!</v>
      </c>
    </row>
    <row r="87" spans="1:72" s="1003" customFormat="1" ht="21.95" customHeight="1">
      <c r="A87" s="1820"/>
      <c r="B87" s="932" t="s">
        <v>125</v>
      </c>
      <c r="C87" s="947" t="s">
        <v>124</v>
      </c>
      <c r="D87" s="940">
        <v>7120</v>
      </c>
      <c r="E87" s="940">
        <v>7220</v>
      </c>
      <c r="F87" s="940">
        <v>7154</v>
      </c>
      <c r="G87" s="940">
        <v>7188</v>
      </c>
      <c r="H87" s="945">
        <f t="shared" ref="H87:H89" si="88">SUM(I87:V87)</f>
        <v>7273</v>
      </c>
      <c r="I87" s="940">
        <v>65</v>
      </c>
      <c r="J87" s="940">
        <v>310</v>
      </c>
      <c r="K87" s="940">
        <v>596</v>
      </c>
      <c r="L87" s="940">
        <v>246</v>
      </c>
      <c r="M87" s="940">
        <v>692</v>
      </c>
      <c r="N87" s="940">
        <v>202</v>
      </c>
      <c r="O87" s="940">
        <v>525</v>
      </c>
      <c r="P87" s="940">
        <v>329</v>
      </c>
      <c r="Q87" s="940">
        <v>107</v>
      </c>
      <c r="R87" s="940">
        <v>276</v>
      </c>
      <c r="S87" s="940">
        <v>569</v>
      </c>
      <c r="T87" s="940">
        <v>447</v>
      </c>
      <c r="U87" s="940">
        <v>758</v>
      </c>
      <c r="V87" s="940">
        <v>2151</v>
      </c>
      <c r="W87" s="945">
        <f>SUM(X87:AK87)</f>
        <v>7333</v>
      </c>
      <c r="X87" s="940">
        <v>82</v>
      </c>
      <c r="Y87" s="940">
        <v>558</v>
      </c>
      <c r="Z87" s="940">
        <v>520</v>
      </c>
      <c r="AA87" s="940">
        <v>257</v>
      </c>
      <c r="AB87" s="940">
        <v>645</v>
      </c>
      <c r="AC87" s="940">
        <v>218</v>
      </c>
      <c r="AD87" s="940">
        <v>486</v>
      </c>
      <c r="AE87" s="940">
        <v>314</v>
      </c>
      <c r="AF87" s="940">
        <v>108</v>
      </c>
      <c r="AG87" s="940">
        <v>274</v>
      </c>
      <c r="AH87" s="940">
        <v>519</v>
      </c>
      <c r="AI87" s="940">
        <v>541</v>
      </c>
      <c r="AJ87" s="940">
        <v>771</v>
      </c>
      <c r="AK87" s="940">
        <v>2040</v>
      </c>
      <c r="AL87" s="945">
        <f>SUM(AM87:AZ87)</f>
        <v>7137</v>
      </c>
      <c r="AM87" s="940">
        <v>74</v>
      </c>
      <c r="AN87" s="940">
        <v>417</v>
      </c>
      <c r="AO87" s="940">
        <v>521</v>
      </c>
      <c r="AP87" s="940">
        <v>233</v>
      </c>
      <c r="AQ87" s="940">
        <v>596</v>
      </c>
      <c r="AR87" s="940">
        <v>218</v>
      </c>
      <c r="AS87" s="940">
        <v>452</v>
      </c>
      <c r="AT87" s="940">
        <v>311</v>
      </c>
      <c r="AU87" s="940">
        <v>97</v>
      </c>
      <c r="AV87" s="940">
        <v>252</v>
      </c>
      <c r="AW87" s="940">
        <f>546+36-65</f>
        <v>517</v>
      </c>
      <c r="AX87" s="940">
        <v>470</v>
      </c>
      <c r="AY87" s="940">
        <v>774</v>
      </c>
      <c r="AZ87" s="940">
        <v>2205</v>
      </c>
      <c r="BA87" s="928">
        <f t="shared" si="82"/>
        <v>99.762370701705336</v>
      </c>
      <c r="BB87" s="928">
        <f t="shared" si="83"/>
        <v>97.32715123414701</v>
      </c>
      <c r="BC87" s="1797"/>
      <c r="BD87" s="1000"/>
      <c r="BE87" s="987"/>
      <c r="BH87" s="1069"/>
      <c r="BI87" s="1069"/>
      <c r="BR87" s="1069"/>
    </row>
    <row r="88" spans="1:72" s="1003" customFormat="1" ht="21.95" customHeight="1">
      <c r="A88" s="1820"/>
      <c r="B88" s="932" t="s">
        <v>126</v>
      </c>
      <c r="C88" s="947" t="s">
        <v>124</v>
      </c>
      <c r="D88" s="940">
        <v>4768</v>
      </c>
      <c r="E88" s="940">
        <v>4780</v>
      </c>
      <c r="F88" s="940">
        <v>4736</v>
      </c>
      <c r="G88" s="940">
        <v>5041</v>
      </c>
      <c r="H88" s="945">
        <f>SUM(I88:V88)</f>
        <v>6099</v>
      </c>
      <c r="I88" s="940">
        <v>88</v>
      </c>
      <c r="J88" s="940">
        <v>437</v>
      </c>
      <c r="K88" s="940">
        <v>879</v>
      </c>
      <c r="L88" s="940">
        <v>287</v>
      </c>
      <c r="M88" s="940">
        <v>767</v>
      </c>
      <c r="N88" s="940">
        <v>379</v>
      </c>
      <c r="O88" s="940">
        <v>487</v>
      </c>
      <c r="P88" s="940">
        <v>460</v>
      </c>
      <c r="Q88" s="940">
        <v>150</v>
      </c>
      <c r="R88" s="940">
        <v>197</v>
      </c>
      <c r="S88" s="940">
        <v>40</v>
      </c>
      <c r="T88" s="940">
        <v>73</v>
      </c>
      <c r="U88" s="940">
        <v>143</v>
      </c>
      <c r="V88" s="940">
        <v>1712</v>
      </c>
      <c r="W88" s="945">
        <f>SUM(X88:AK88)</f>
        <v>5243</v>
      </c>
      <c r="X88" s="940">
        <v>72</v>
      </c>
      <c r="Y88" s="940">
        <v>402</v>
      </c>
      <c r="Z88" s="940">
        <v>578</v>
      </c>
      <c r="AA88" s="940">
        <v>302</v>
      </c>
      <c r="AB88" s="940">
        <v>623</v>
      </c>
      <c r="AC88" s="940">
        <v>391</v>
      </c>
      <c r="AD88" s="940">
        <v>459</v>
      </c>
      <c r="AE88" s="940">
        <v>345</v>
      </c>
      <c r="AF88" s="940">
        <v>164</v>
      </c>
      <c r="AG88" s="940">
        <v>193</v>
      </c>
      <c r="AH88" s="940">
        <v>44</v>
      </c>
      <c r="AI88" s="940">
        <v>88</v>
      </c>
      <c r="AJ88" s="940">
        <v>141</v>
      </c>
      <c r="AK88" s="940">
        <v>1441</v>
      </c>
      <c r="AL88" s="945">
        <f>SUM(AM88:AZ88)</f>
        <v>6218</v>
      </c>
      <c r="AM88" s="940">
        <v>84</v>
      </c>
      <c r="AN88" s="940">
        <v>518</v>
      </c>
      <c r="AO88" s="940">
        <v>652</v>
      </c>
      <c r="AP88" s="940">
        <v>271</v>
      </c>
      <c r="AQ88" s="940">
        <v>639</v>
      </c>
      <c r="AR88" s="940">
        <v>391</v>
      </c>
      <c r="AS88" s="940">
        <v>593</v>
      </c>
      <c r="AT88" s="940">
        <v>515</v>
      </c>
      <c r="AU88" s="940">
        <v>190</v>
      </c>
      <c r="AV88" s="940">
        <v>273</v>
      </c>
      <c r="AW88" s="940">
        <v>41</v>
      </c>
      <c r="AX88" s="940">
        <v>95</v>
      </c>
      <c r="AY88" s="940">
        <v>220</v>
      </c>
      <c r="AZ88" s="940">
        <f>1699+56+22-41</f>
        <v>1736</v>
      </c>
      <c r="BA88" s="928">
        <f t="shared" si="82"/>
        <v>131.29222972972974</v>
      </c>
      <c r="BB88" s="928">
        <f t="shared" si="83"/>
        <v>118.59622353614343</v>
      </c>
      <c r="BC88" s="1797"/>
      <c r="BD88" s="1001"/>
      <c r="BE88" s="987"/>
      <c r="BH88" s="1069"/>
      <c r="BI88" s="1069"/>
    </row>
    <row r="89" spans="1:72" s="1003" customFormat="1" ht="21.95" customHeight="1">
      <c r="A89" s="1820"/>
      <c r="B89" s="932" t="s">
        <v>127</v>
      </c>
      <c r="C89" s="947" t="s">
        <v>124</v>
      </c>
      <c r="D89" s="940">
        <v>28747</v>
      </c>
      <c r="E89" s="940">
        <v>30200</v>
      </c>
      <c r="F89" s="940">
        <v>29514</v>
      </c>
      <c r="G89" s="940">
        <v>29767</v>
      </c>
      <c r="H89" s="945">
        <f t="shared" si="88"/>
        <v>29093</v>
      </c>
      <c r="I89" s="940">
        <v>2970</v>
      </c>
      <c r="J89" s="940">
        <v>3141</v>
      </c>
      <c r="K89" s="940">
        <v>6384</v>
      </c>
      <c r="L89" s="940">
        <v>1330</v>
      </c>
      <c r="M89" s="940">
        <v>3552</v>
      </c>
      <c r="N89" s="940">
        <v>2601</v>
      </c>
      <c r="O89" s="940">
        <v>696</v>
      </c>
      <c r="P89" s="940">
        <v>772</v>
      </c>
      <c r="Q89" s="940">
        <v>721</v>
      </c>
      <c r="R89" s="940">
        <v>230</v>
      </c>
      <c r="S89" s="940">
        <v>1763</v>
      </c>
      <c r="T89" s="940">
        <v>932</v>
      </c>
      <c r="U89" s="940">
        <v>586</v>
      </c>
      <c r="V89" s="940">
        <v>3415</v>
      </c>
      <c r="W89" s="945">
        <f>SUM(X89:AK89)</f>
        <v>31715</v>
      </c>
      <c r="X89" s="940">
        <v>3060</v>
      </c>
      <c r="Y89" s="940">
        <v>3395</v>
      </c>
      <c r="Z89" s="940">
        <v>6870</v>
      </c>
      <c r="AA89" s="940">
        <v>1450</v>
      </c>
      <c r="AB89" s="940">
        <v>2635</v>
      </c>
      <c r="AC89" s="940">
        <v>2901</v>
      </c>
      <c r="AD89" s="940">
        <v>888</v>
      </c>
      <c r="AE89" s="940">
        <v>934</v>
      </c>
      <c r="AF89" s="940">
        <v>1003</v>
      </c>
      <c r="AG89" s="940">
        <v>346</v>
      </c>
      <c r="AH89" s="940">
        <v>1711</v>
      </c>
      <c r="AI89" s="940">
        <v>1730</v>
      </c>
      <c r="AJ89" s="940">
        <v>1059</v>
      </c>
      <c r="AK89" s="940">
        <v>3733</v>
      </c>
      <c r="AL89" s="945">
        <f>SUM(AM89:AZ89)</f>
        <v>30174</v>
      </c>
      <c r="AM89" s="940">
        <v>2965</v>
      </c>
      <c r="AN89" s="940">
        <v>3035</v>
      </c>
      <c r="AO89" s="940">
        <v>6288</v>
      </c>
      <c r="AP89" s="940">
        <v>1385</v>
      </c>
      <c r="AQ89" s="940">
        <v>3302</v>
      </c>
      <c r="AR89" s="940">
        <v>1995</v>
      </c>
      <c r="AS89" s="940">
        <v>781</v>
      </c>
      <c r="AT89" s="940">
        <v>783</v>
      </c>
      <c r="AU89" s="940">
        <v>811</v>
      </c>
      <c r="AV89" s="940">
        <v>287</v>
      </c>
      <c r="AW89" s="940">
        <v>2007</v>
      </c>
      <c r="AX89" s="940">
        <v>2338</v>
      </c>
      <c r="AY89" s="940">
        <v>712</v>
      </c>
      <c r="AZ89" s="940">
        <f>3410+75</f>
        <v>3485</v>
      </c>
      <c r="BA89" s="928">
        <f t="shared" si="82"/>
        <v>102.23622687538118</v>
      </c>
      <c r="BB89" s="928">
        <f t="shared" si="83"/>
        <v>95.141100425666096</v>
      </c>
      <c r="BC89" s="1797"/>
      <c r="BD89" s="1001"/>
      <c r="BE89" s="987"/>
      <c r="BH89" s="1069"/>
      <c r="BI89" s="1069"/>
    </row>
    <row r="90" spans="1:72" s="1065" customFormat="1" ht="21.95" customHeight="1">
      <c r="A90" s="1794">
        <v>2</v>
      </c>
      <c r="B90" s="925" t="s">
        <v>128</v>
      </c>
      <c r="C90" s="1791" t="s">
        <v>26</v>
      </c>
      <c r="D90" s="946">
        <v>3.8992585016619792</v>
      </c>
      <c r="E90" s="1872">
        <v>4</v>
      </c>
      <c r="F90" s="1825">
        <f>(F86-D86)/D86*100</f>
        <v>1.8924572412944505</v>
      </c>
      <c r="G90" s="1825">
        <f>(G86-D86)/D86*100</f>
        <v>3.349329395841024</v>
      </c>
      <c r="H90" s="946">
        <f>(H86-D86)/D86*100</f>
        <v>4.5035068290882245</v>
      </c>
      <c r="I90" s="1872"/>
      <c r="J90" s="1872"/>
      <c r="K90" s="1872"/>
      <c r="L90" s="1872"/>
      <c r="M90" s="1872"/>
      <c r="N90" s="1872"/>
      <c r="O90" s="1872"/>
      <c r="P90" s="1872"/>
      <c r="Q90" s="1872"/>
      <c r="R90" s="1872"/>
      <c r="S90" s="1872"/>
      <c r="T90" s="1872"/>
      <c r="U90" s="1872"/>
      <c r="V90" s="1872"/>
      <c r="W90" s="1825">
        <f>(W86-H86)/H86*100</f>
        <v>4.3000117744024493</v>
      </c>
      <c r="X90" s="1872"/>
      <c r="Y90" s="1872"/>
      <c r="Z90" s="1872"/>
      <c r="AA90" s="1872"/>
      <c r="AB90" s="1872"/>
      <c r="AC90" s="1872"/>
      <c r="AD90" s="1872"/>
      <c r="AE90" s="1872"/>
      <c r="AF90" s="1872"/>
      <c r="AG90" s="1872"/>
      <c r="AH90" s="1872"/>
      <c r="AI90" s="1872"/>
      <c r="AJ90" s="1872"/>
      <c r="AK90" s="1872"/>
      <c r="AL90" s="1825">
        <f>(AL86-42470)/42470*100</f>
        <v>2.4935248410642807</v>
      </c>
      <c r="AM90" s="936"/>
      <c r="AN90" s="936"/>
      <c r="AO90" s="936"/>
      <c r="AP90" s="936"/>
      <c r="AQ90" s="936"/>
      <c r="AR90" s="936"/>
      <c r="AS90" s="936"/>
      <c r="AT90" s="936"/>
      <c r="AU90" s="936"/>
      <c r="AV90" s="936"/>
      <c r="AW90" s="936"/>
      <c r="AX90" s="936"/>
      <c r="AY90" s="936"/>
      <c r="AZ90" s="936"/>
      <c r="BA90" s="928">
        <f t="shared" ref="BA90:BA98" si="89">AL90/F90%</f>
        <v>131.76122485909889</v>
      </c>
      <c r="BB90" s="928">
        <f t="shared" ref="BB90:BB98" si="90">AL90/W90%</f>
        <v>57.988791005364007</v>
      </c>
      <c r="BC90" s="1833"/>
      <c r="BD90" s="1002"/>
      <c r="BE90" s="985"/>
    </row>
    <row r="91" spans="1:72" s="1065" customFormat="1" ht="25.5">
      <c r="A91" s="1794">
        <v>3</v>
      </c>
      <c r="B91" s="925" t="s">
        <v>129</v>
      </c>
      <c r="C91" s="1791" t="s">
        <v>130</v>
      </c>
      <c r="D91" s="1873">
        <v>139.33200000000002</v>
      </c>
      <c r="E91" s="1874">
        <v>139.97200000000001</v>
      </c>
      <c r="F91" s="1873">
        <v>139.53699999999998</v>
      </c>
      <c r="G91" s="1873">
        <v>139.64999999999998</v>
      </c>
      <c r="H91" s="1874">
        <f>SUM(I91:V91)</f>
        <v>139.97200000000001</v>
      </c>
      <c r="I91" s="1874">
        <v>16.645</v>
      </c>
      <c r="J91" s="1874">
        <v>21.268000000000001</v>
      </c>
      <c r="K91" s="1874">
        <v>13.859</v>
      </c>
      <c r="L91" s="1874">
        <v>4.7320000000000002</v>
      </c>
      <c r="M91" s="1874">
        <v>25.116</v>
      </c>
      <c r="N91" s="1874">
        <v>8.8800000000000008</v>
      </c>
      <c r="O91" s="1874">
        <v>3.56</v>
      </c>
      <c r="P91" s="1874">
        <v>3.2919999999999998</v>
      </c>
      <c r="Q91" s="1874">
        <v>4.1500000000000004</v>
      </c>
      <c r="R91" s="1874">
        <v>2.028</v>
      </c>
      <c r="S91" s="1874">
        <v>8.9559999999999995</v>
      </c>
      <c r="T91" s="1874">
        <v>9.6690000000000005</v>
      </c>
      <c r="U91" s="1874">
        <v>5.2809999999999997</v>
      </c>
      <c r="V91" s="1874">
        <v>12.536</v>
      </c>
      <c r="W91" s="1874">
        <f>SUM(X91:AK91)</f>
        <v>142.98200000000003</v>
      </c>
      <c r="X91" s="1873">
        <v>16.745000000000001</v>
      </c>
      <c r="Y91" s="1873">
        <v>21.968</v>
      </c>
      <c r="Z91" s="1873">
        <v>14.259</v>
      </c>
      <c r="AA91" s="1873">
        <v>4.7320000000000002</v>
      </c>
      <c r="AB91" s="1873">
        <v>26.216000000000001</v>
      </c>
      <c r="AC91" s="1873">
        <v>8.8800000000000008</v>
      </c>
      <c r="AD91" s="1873">
        <v>3.56</v>
      </c>
      <c r="AE91" s="1873">
        <v>3.2919999999999998</v>
      </c>
      <c r="AF91" s="1873">
        <v>4.1500000000000004</v>
      </c>
      <c r="AG91" s="1873">
        <v>2.028</v>
      </c>
      <c r="AH91" s="1873">
        <v>9.0660000000000007</v>
      </c>
      <c r="AI91" s="1873">
        <v>9.7690000000000001</v>
      </c>
      <c r="AJ91" s="1873">
        <v>5.2809999999999997</v>
      </c>
      <c r="AK91" s="1873">
        <v>13.036</v>
      </c>
      <c r="AL91" s="1874">
        <f>SUM(AM91:AZ91)</f>
        <v>142.98200000000003</v>
      </c>
      <c r="AM91" s="1873">
        <v>16.745000000000001</v>
      </c>
      <c r="AN91" s="1873">
        <v>21.968</v>
      </c>
      <c r="AO91" s="1873">
        <v>14.259</v>
      </c>
      <c r="AP91" s="1873">
        <v>4.7320000000000002</v>
      </c>
      <c r="AQ91" s="1873">
        <v>26.216000000000001</v>
      </c>
      <c r="AR91" s="1873">
        <v>8.8800000000000008</v>
      </c>
      <c r="AS91" s="1873">
        <v>3.56</v>
      </c>
      <c r="AT91" s="1873">
        <v>3.2919999999999998</v>
      </c>
      <c r="AU91" s="1873">
        <v>4.1500000000000004</v>
      </c>
      <c r="AV91" s="1873">
        <v>2.028</v>
      </c>
      <c r="AW91" s="1873">
        <v>9.0660000000000007</v>
      </c>
      <c r="AX91" s="1873">
        <v>9.7690000000000001</v>
      </c>
      <c r="AY91" s="1873">
        <v>5.2809999999999997</v>
      </c>
      <c r="AZ91" s="1873">
        <v>13.036</v>
      </c>
      <c r="BA91" s="1825">
        <f t="shared" si="89"/>
        <v>102.46887922199851</v>
      </c>
      <c r="BB91" s="1825">
        <f t="shared" si="90"/>
        <v>100</v>
      </c>
      <c r="BC91" s="1833"/>
      <c r="BD91" s="999"/>
      <c r="BE91" s="985"/>
    </row>
    <row r="92" spans="1:72" s="1065" customFormat="1" ht="21.95" customHeight="1">
      <c r="A92" s="1794">
        <v>4</v>
      </c>
      <c r="B92" s="925" t="s">
        <v>131</v>
      </c>
      <c r="C92" s="1791" t="s">
        <v>32</v>
      </c>
      <c r="D92" s="944">
        <v>2000</v>
      </c>
      <c r="E92" s="944">
        <v>2000</v>
      </c>
      <c r="F92" s="944">
        <v>1050</v>
      </c>
      <c r="G92" s="944">
        <v>1500</v>
      </c>
      <c r="H92" s="944">
        <v>2000</v>
      </c>
      <c r="I92" s="944"/>
      <c r="J92" s="944"/>
      <c r="K92" s="944"/>
      <c r="L92" s="944"/>
      <c r="M92" s="944"/>
      <c r="N92" s="944"/>
      <c r="O92" s="944"/>
      <c r="P92" s="944"/>
      <c r="Q92" s="944"/>
      <c r="R92" s="944"/>
      <c r="S92" s="944"/>
      <c r="T92" s="944"/>
      <c r="U92" s="944"/>
      <c r="V92" s="944"/>
      <c r="W92" s="944">
        <v>2300</v>
      </c>
      <c r="X92" s="944"/>
      <c r="Y92" s="944"/>
      <c r="Z92" s="944"/>
      <c r="AA92" s="944"/>
      <c r="AB92" s="944"/>
      <c r="AC92" s="944"/>
      <c r="AD92" s="944"/>
      <c r="AE92" s="944"/>
      <c r="AF92" s="944"/>
      <c r="AG92" s="944"/>
      <c r="AH92" s="944"/>
      <c r="AI92" s="944"/>
      <c r="AJ92" s="944"/>
      <c r="AK92" s="944"/>
      <c r="AL92" s="944">
        <v>1200</v>
      </c>
      <c r="AM92" s="944"/>
      <c r="AN92" s="944"/>
      <c r="AO92" s="944"/>
      <c r="AP92" s="944"/>
      <c r="AQ92" s="944"/>
      <c r="AR92" s="944"/>
      <c r="AS92" s="944"/>
      <c r="AT92" s="944"/>
      <c r="AU92" s="944"/>
      <c r="AV92" s="944"/>
      <c r="AW92" s="944"/>
      <c r="AX92" s="944"/>
      <c r="AY92" s="944"/>
      <c r="AZ92" s="944"/>
      <c r="BA92" s="1825">
        <f t="shared" si="89"/>
        <v>114.28571428571429</v>
      </c>
      <c r="BB92" s="1825">
        <f t="shared" si="90"/>
        <v>52.173913043478258</v>
      </c>
      <c r="BC92" s="1833"/>
      <c r="BD92" s="999"/>
      <c r="BE92" s="985"/>
    </row>
    <row r="93" spans="1:72" s="1078" customFormat="1" ht="21.95" customHeight="1">
      <c r="A93" s="1820"/>
      <c r="B93" s="932" t="s">
        <v>132</v>
      </c>
      <c r="C93" s="947" t="s">
        <v>32</v>
      </c>
      <c r="D93" s="945">
        <v>1500</v>
      </c>
      <c r="E93" s="1875">
        <v>1500</v>
      </c>
      <c r="F93" s="1875">
        <v>800</v>
      </c>
      <c r="G93" s="1875">
        <v>1143</v>
      </c>
      <c r="H93" s="1875">
        <v>1500</v>
      </c>
      <c r="I93" s="1875"/>
      <c r="J93" s="1875"/>
      <c r="K93" s="1875"/>
      <c r="L93" s="1875"/>
      <c r="M93" s="1875"/>
      <c r="N93" s="1875"/>
      <c r="O93" s="1875"/>
      <c r="P93" s="1875"/>
      <c r="Q93" s="1875"/>
      <c r="R93" s="1875"/>
      <c r="S93" s="1875"/>
      <c r="T93" s="1875"/>
      <c r="U93" s="1875"/>
      <c r="V93" s="1875"/>
      <c r="W93" s="1875">
        <v>1600</v>
      </c>
      <c r="X93" s="1875"/>
      <c r="Y93" s="1875"/>
      <c r="Z93" s="1875"/>
      <c r="AA93" s="1875"/>
      <c r="AB93" s="1875"/>
      <c r="AC93" s="1875"/>
      <c r="AD93" s="1875"/>
      <c r="AE93" s="1875"/>
      <c r="AF93" s="1875"/>
      <c r="AG93" s="1875"/>
      <c r="AH93" s="1875"/>
      <c r="AI93" s="1875"/>
      <c r="AJ93" s="1875"/>
      <c r="AK93" s="1875"/>
      <c r="AL93" s="1875">
        <v>866</v>
      </c>
      <c r="AM93" s="1875"/>
      <c r="AN93" s="1875"/>
      <c r="AO93" s="1875"/>
      <c r="AP93" s="1875"/>
      <c r="AQ93" s="1875"/>
      <c r="AR93" s="1875"/>
      <c r="AS93" s="1875"/>
      <c r="AT93" s="1875"/>
      <c r="AU93" s="1875"/>
      <c r="AV93" s="1875"/>
      <c r="AW93" s="1875"/>
      <c r="AX93" s="1875"/>
      <c r="AY93" s="1875"/>
      <c r="AZ93" s="1875"/>
      <c r="BA93" s="928">
        <f t="shared" si="89"/>
        <v>108.25</v>
      </c>
      <c r="BB93" s="928">
        <f t="shared" si="90"/>
        <v>54.125</v>
      </c>
      <c r="BC93" s="1867"/>
      <c r="BD93" s="999"/>
      <c r="BE93" s="987"/>
    </row>
    <row r="94" spans="1:72" s="1003" customFormat="1" ht="21.95" customHeight="1">
      <c r="A94" s="1794" t="s">
        <v>133</v>
      </c>
      <c r="B94" s="1876" t="s">
        <v>134</v>
      </c>
      <c r="C94" s="1791"/>
      <c r="D94" s="1163"/>
      <c r="E94" s="1163"/>
      <c r="F94" s="1163"/>
      <c r="G94" s="1163"/>
      <c r="H94" s="1163"/>
      <c r="I94" s="1163"/>
      <c r="J94" s="1163"/>
      <c r="K94" s="1163"/>
      <c r="L94" s="1163"/>
      <c r="M94" s="1163"/>
      <c r="N94" s="1163"/>
      <c r="O94" s="1163"/>
      <c r="P94" s="1163"/>
      <c r="Q94" s="1163"/>
      <c r="R94" s="1163"/>
      <c r="S94" s="1163"/>
      <c r="T94" s="1163"/>
      <c r="U94" s="1163"/>
      <c r="V94" s="1163"/>
      <c r="W94" s="1163"/>
      <c r="X94" s="1163"/>
      <c r="Y94" s="1163"/>
      <c r="Z94" s="1163"/>
      <c r="AA94" s="1163"/>
      <c r="AB94" s="1163"/>
      <c r="AC94" s="1163"/>
      <c r="AD94" s="1163"/>
      <c r="AE94" s="1163"/>
      <c r="AF94" s="1163"/>
      <c r="AG94" s="1163"/>
      <c r="AH94" s="1163"/>
      <c r="AI94" s="1163"/>
      <c r="AJ94" s="1163"/>
      <c r="AK94" s="1163"/>
      <c r="AL94" s="1163"/>
      <c r="AM94" s="1163"/>
      <c r="AN94" s="1163"/>
      <c r="AO94" s="1163"/>
      <c r="AP94" s="1163"/>
      <c r="AQ94" s="1163"/>
      <c r="AR94" s="1163"/>
      <c r="AS94" s="1163"/>
      <c r="AT94" s="1163"/>
      <c r="AU94" s="1163"/>
      <c r="AV94" s="1163"/>
      <c r="AW94" s="1163"/>
      <c r="AX94" s="1163"/>
      <c r="AY94" s="1163"/>
      <c r="AZ94" s="1163"/>
      <c r="BA94" s="928"/>
      <c r="BB94" s="928"/>
      <c r="BC94" s="1797"/>
      <c r="BD94" s="995"/>
      <c r="BE94" s="987"/>
    </row>
    <row r="95" spans="1:72" s="1065" customFormat="1" ht="21.95" customHeight="1">
      <c r="A95" s="1794">
        <v>1</v>
      </c>
      <c r="B95" s="925" t="s">
        <v>858</v>
      </c>
      <c r="C95" s="1791" t="s">
        <v>93</v>
      </c>
      <c r="D95" s="1877">
        <v>70.300000000000011</v>
      </c>
      <c r="E95" s="1873">
        <v>70.300000000000011</v>
      </c>
      <c r="F95" s="1873">
        <v>70.300000000000011</v>
      </c>
      <c r="G95" s="1873">
        <v>70.3</v>
      </c>
      <c r="H95" s="1873">
        <f>SUM(I95:V95)</f>
        <v>70.300000000000011</v>
      </c>
      <c r="I95" s="1873">
        <v>14.4</v>
      </c>
      <c r="J95" s="1873">
        <v>25.3</v>
      </c>
      <c r="K95" s="1873">
        <v>11.9</v>
      </c>
      <c r="L95" s="1873">
        <v>2</v>
      </c>
      <c r="M95" s="1873">
        <v>9.9</v>
      </c>
      <c r="N95" s="1873">
        <v>2.4</v>
      </c>
      <c r="O95" s="1873">
        <v>0.75</v>
      </c>
      <c r="P95" s="1873">
        <v>2.2000000000000002</v>
      </c>
      <c r="Q95" s="1873">
        <v>0.95</v>
      </c>
      <c r="R95" s="1873"/>
      <c r="S95" s="1873">
        <v>0.5</v>
      </c>
      <c r="T95" s="1873"/>
      <c r="U95" s="1873"/>
      <c r="V95" s="1873"/>
      <c r="W95" s="1873">
        <f>SUM(X95:AK95)</f>
        <v>70.300000000000011</v>
      </c>
      <c r="X95" s="1873">
        <v>14.4</v>
      </c>
      <c r="Y95" s="1873">
        <v>25.3</v>
      </c>
      <c r="Z95" s="1873">
        <v>11.9</v>
      </c>
      <c r="AA95" s="1873">
        <v>2</v>
      </c>
      <c r="AB95" s="1873">
        <v>9.9</v>
      </c>
      <c r="AC95" s="1873">
        <v>2.4</v>
      </c>
      <c r="AD95" s="1873">
        <v>0.75</v>
      </c>
      <c r="AE95" s="1873">
        <v>2.2000000000000002</v>
      </c>
      <c r="AF95" s="1873">
        <v>0.95</v>
      </c>
      <c r="AG95" s="1873">
        <v>0</v>
      </c>
      <c r="AH95" s="1873">
        <v>0.5</v>
      </c>
      <c r="AI95" s="1873">
        <v>0</v>
      </c>
      <c r="AJ95" s="1873">
        <v>0</v>
      </c>
      <c r="AK95" s="1873">
        <v>0</v>
      </c>
      <c r="AL95" s="1873">
        <f>SUM(AM95:AZ95)</f>
        <v>70.300000000000011</v>
      </c>
      <c r="AM95" s="1873">
        <v>14.4</v>
      </c>
      <c r="AN95" s="1873">
        <v>25.3</v>
      </c>
      <c r="AO95" s="1873">
        <v>11.9</v>
      </c>
      <c r="AP95" s="1873">
        <v>2</v>
      </c>
      <c r="AQ95" s="1873">
        <v>9.9</v>
      </c>
      <c r="AR95" s="1873">
        <v>2.4</v>
      </c>
      <c r="AS95" s="1873">
        <v>0.75</v>
      </c>
      <c r="AT95" s="1873">
        <v>2.2000000000000002</v>
      </c>
      <c r="AU95" s="1873">
        <v>0.95</v>
      </c>
      <c r="AV95" s="1873">
        <v>0</v>
      </c>
      <c r="AW95" s="1873">
        <v>0.5</v>
      </c>
      <c r="AX95" s="1873">
        <v>0</v>
      </c>
      <c r="AY95" s="1873">
        <v>0</v>
      </c>
      <c r="AZ95" s="1873">
        <v>0</v>
      </c>
      <c r="BA95" s="1825">
        <f t="shared" si="89"/>
        <v>100</v>
      </c>
      <c r="BB95" s="1825">
        <f t="shared" si="90"/>
        <v>100</v>
      </c>
      <c r="BC95" s="1833"/>
      <c r="BD95" s="988"/>
      <c r="BE95" s="985"/>
      <c r="BF95" s="1087"/>
      <c r="BG95" s="1087"/>
    </row>
    <row r="96" spans="1:72" s="1065" customFormat="1" ht="21.95" customHeight="1">
      <c r="A96" s="1794">
        <v>2</v>
      </c>
      <c r="B96" s="925" t="s">
        <v>859</v>
      </c>
      <c r="C96" s="1791" t="s">
        <v>32</v>
      </c>
      <c r="D96" s="1878">
        <v>202.99999999999997</v>
      </c>
      <c r="E96" s="1878">
        <f>E97+E98</f>
        <v>130</v>
      </c>
      <c r="F96" s="1879">
        <v>74.599999999999994</v>
      </c>
      <c r="G96" s="1878">
        <f>G97+G98</f>
        <v>115.9</v>
      </c>
      <c r="H96" s="1873">
        <f t="shared" ref="H96:H98" si="91">SUM(I96:V96)</f>
        <v>130</v>
      </c>
      <c r="I96" s="1880">
        <v>23.7</v>
      </c>
      <c r="J96" s="1880">
        <v>28.2</v>
      </c>
      <c r="K96" s="1880">
        <v>17.2</v>
      </c>
      <c r="L96" s="1880">
        <v>4</v>
      </c>
      <c r="M96" s="1880">
        <v>19.5</v>
      </c>
      <c r="N96" s="1880">
        <v>30</v>
      </c>
      <c r="O96" s="1880">
        <v>0.7</v>
      </c>
      <c r="P96" s="1880">
        <v>2.1</v>
      </c>
      <c r="Q96" s="1880">
        <v>1.7</v>
      </c>
      <c r="R96" s="1880">
        <v>0</v>
      </c>
      <c r="S96" s="1880">
        <v>1.4</v>
      </c>
      <c r="T96" s="1880">
        <v>0</v>
      </c>
      <c r="U96" s="1880">
        <v>0.7</v>
      </c>
      <c r="V96" s="1880">
        <v>0.8</v>
      </c>
      <c r="W96" s="1873">
        <f>W97+W98</f>
        <v>138.5</v>
      </c>
      <c r="X96" s="1881">
        <v>24.1</v>
      </c>
      <c r="Y96" s="1881">
        <v>26.2</v>
      </c>
      <c r="Z96" s="1881">
        <v>14.7</v>
      </c>
      <c r="AA96" s="1881">
        <v>6.5</v>
      </c>
      <c r="AB96" s="1881">
        <v>19.5</v>
      </c>
      <c r="AC96" s="1881">
        <v>99.5</v>
      </c>
      <c r="AD96" s="1881">
        <v>0.7</v>
      </c>
      <c r="AE96" s="1881">
        <v>1.5</v>
      </c>
      <c r="AF96" s="1881">
        <v>1.4</v>
      </c>
      <c r="AG96" s="1881">
        <v>0</v>
      </c>
      <c r="AH96" s="1881">
        <v>1.4</v>
      </c>
      <c r="AI96" s="1881">
        <v>0</v>
      </c>
      <c r="AJ96" s="1881">
        <v>0.7</v>
      </c>
      <c r="AK96" s="1881">
        <v>0.8</v>
      </c>
      <c r="AL96" s="1873">
        <f>AL97+AL98</f>
        <v>74.06</v>
      </c>
      <c r="AM96" s="1881">
        <v>24.1</v>
      </c>
      <c r="AN96" s="1881">
        <v>26.2</v>
      </c>
      <c r="AO96" s="1881">
        <v>14.7</v>
      </c>
      <c r="AP96" s="1881">
        <v>6.5</v>
      </c>
      <c r="AQ96" s="1881">
        <v>19.5</v>
      </c>
      <c r="AR96" s="1881">
        <v>99.5</v>
      </c>
      <c r="AS96" s="1881">
        <v>0.7</v>
      </c>
      <c r="AT96" s="1881">
        <v>1.5</v>
      </c>
      <c r="AU96" s="1881">
        <v>1.4</v>
      </c>
      <c r="AV96" s="1881">
        <v>0</v>
      </c>
      <c r="AW96" s="1881">
        <v>1.4</v>
      </c>
      <c r="AX96" s="1881">
        <v>0</v>
      </c>
      <c r="AY96" s="1881">
        <v>0.7</v>
      </c>
      <c r="AZ96" s="1881">
        <v>0.8</v>
      </c>
      <c r="BA96" s="1825">
        <f t="shared" si="89"/>
        <v>99.276139410187668</v>
      </c>
      <c r="BB96" s="1825">
        <f t="shared" si="90"/>
        <v>53.472924187725631</v>
      </c>
      <c r="BC96" s="1882"/>
      <c r="BD96" s="988"/>
      <c r="BE96" s="985"/>
      <c r="BH96" s="1055"/>
      <c r="BS96" s="1077"/>
    </row>
    <row r="97" spans="1:69" s="1078" customFormat="1" ht="21.95" customHeight="1">
      <c r="A97" s="1820"/>
      <c r="B97" s="932" t="s">
        <v>135</v>
      </c>
      <c r="C97" s="947" t="s">
        <v>32</v>
      </c>
      <c r="D97" s="940">
        <v>172.89999999999998</v>
      </c>
      <c r="E97" s="940">
        <v>105</v>
      </c>
      <c r="F97" s="940">
        <v>60.5</v>
      </c>
      <c r="G97" s="940">
        <v>95.6</v>
      </c>
      <c r="H97" s="1841">
        <f t="shared" si="91"/>
        <v>105</v>
      </c>
      <c r="I97" s="940">
        <v>22</v>
      </c>
      <c r="J97" s="940">
        <v>25.5</v>
      </c>
      <c r="K97" s="940">
        <v>15</v>
      </c>
      <c r="L97" s="940">
        <v>1</v>
      </c>
      <c r="M97" s="940">
        <v>13.5</v>
      </c>
      <c r="N97" s="940">
        <v>25</v>
      </c>
      <c r="O97" s="940">
        <v>0</v>
      </c>
      <c r="P97" s="940">
        <v>1.3</v>
      </c>
      <c r="Q97" s="940">
        <v>1</v>
      </c>
      <c r="R97" s="940">
        <v>0</v>
      </c>
      <c r="S97" s="940">
        <v>0.7</v>
      </c>
      <c r="T97" s="940">
        <v>0</v>
      </c>
      <c r="U97" s="940">
        <v>0</v>
      </c>
      <c r="V97" s="940">
        <v>0</v>
      </c>
      <c r="W97" s="1841">
        <f t="shared" ref="W97" si="92">SUM(X97:AK97)</f>
        <v>110.7</v>
      </c>
      <c r="X97" s="940">
        <v>21.5</v>
      </c>
      <c r="Y97" s="940">
        <v>23.5</v>
      </c>
      <c r="Z97" s="940">
        <v>15</v>
      </c>
      <c r="AA97" s="940">
        <v>1</v>
      </c>
      <c r="AB97" s="940">
        <v>17</v>
      </c>
      <c r="AC97" s="940">
        <v>30</v>
      </c>
      <c r="AD97" s="940">
        <v>0</v>
      </c>
      <c r="AE97" s="940">
        <v>1.3</v>
      </c>
      <c r="AF97" s="940">
        <v>0.7</v>
      </c>
      <c r="AG97" s="940">
        <v>0</v>
      </c>
      <c r="AH97" s="940">
        <v>0.7</v>
      </c>
      <c r="AI97" s="940">
        <v>0</v>
      </c>
      <c r="AJ97" s="940">
        <v>0</v>
      </c>
      <c r="AK97" s="940">
        <v>0</v>
      </c>
      <c r="AL97" s="1841">
        <f t="shared" ref="AL97" si="93">SUM(AM97:AZ97)</f>
        <v>58.76</v>
      </c>
      <c r="AM97" s="940">
        <v>11.6</v>
      </c>
      <c r="AN97" s="940">
        <v>13.4</v>
      </c>
      <c r="AO97" s="940">
        <v>7.8</v>
      </c>
      <c r="AP97" s="940">
        <v>0.4</v>
      </c>
      <c r="AQ97" s="940">
        <v>8.3000000000000007</v>
      </c>
      <c r="AR97" s="940">
        <v>16</v>
      </c>
      <c r="AS97" s="940">
        <v>0</v>
      </c>
      <c r="AT97" s="940">
        <v>0.6</v>
      </c>
      <c r="AU97" s="940">
        <v>0.3</v>
      </c>
      <c r="AV97" s="940">
        <v>0</v>
      </c>
      <c r="AW97" s="940">
        <v>0.36</v>
      </c>
      <c r="AX97" s="940">
        <v>0</v>
      </c>
      <c r="AY97" s="940">
        <v>0</v>
      </c>
      <c r="AZ97" s="940">
        <v>0</v>
      </c>
      <c r="BA97" s="928">
        <f t="shared" si="89"/>
        <v>97.123966942148755</v>
      </c>
      <c r="BB97" s="928">
        <f t="shared" si="90"/>
        <v>53.080397470641373</v>
      </c>
      <c r="BC97" s="1867"/>
      <c r="BD97" s="999"/>
      <c r="BE97" s="987"/>
    </row>
    <row r="98" spans="1:69" s="1078" customFormat="1" ht="21.95" customHeight="1">
      <c r="A98" s="1820"/>
      <c r="B98" s="932" t="s">
        <v>136</v>
      </c>
      <c r="C98" s="947" t="s">
        <v>32</v>
      </c>
      <c r="D98" s="940">
        <v>30.099999999999998</v>
      </c>
      <c r="E98" s="940">
        <v>25</v>
      </c>
      <c r="F98" s="940">
        <v>14.100000000000003</v>
      </c>
      <c r="G98" s="940">
        <v>20.300000000000004</v>
      </c>
      <c r="H98" s="1841">
        <f t="shared" si="91"/>
        <v>25</v>
      </c>
      <c r="I98" s="940">
        <v>1.7</v>
      </c>
      <c r="J98" s="940">
        <v>2.7</v>
      </c>
      <c r="K98" s="940">
        <v>2.2000000000000002</v>
      </c>
      <c r="L98" s="940">
        <v>3</v>
      </c>
      <c r="M98" s="940">
        <v>6</v>
      </c>
      <c r="N98" s="940">
        <v>5</v>
      </c>
      <c r="O98" s="940">
        <v>0.7</v>
      </c>
      <c r="P98" s="940">
        <v>0.8</v>
      </c>
      <c r="Q98" s="940">
        <v>0.7</v>
      </c>
      <c r="R98" s="940"/>
      <c r="S98" s="940">
        <v>0.7</v>
      </c>
      <c r="T98" s="940"/>
      <c r="U98" s="940">
        <v>0.7</v>
      </c>
      <c r="V98" s="940">
        <v>0.8</v>
      </c>
      <c r="W98" s="1841">
        <f>SUM(X98:AK98)</f>
        <v>27.799999999999997</v>
      </c>
      <c r="X98" s="940">
        <v>2</v>
      </c>
      <c r="Y98" s="940">
        <v>2.7</v>
      </c>
      <c r="Z98" s="940">
        <v>2.2000000000000002</v>
      </c>
      <c r="AA98" s="940">
        <v>3</v>
      </c>
      <c r="AB98" s="940">
        <v>6</v>
      </c>
      <c r="AC98" s="940">
        <v>7.5</v>
      </c>
      <c r="AD98" s="940">
        <v>0.7</v>
      </c>
      <c r="AE98" s="940">
        <v>0.8</v>
      </c>
      <c r="AF98" s="940">
        <v>0.7</v>
      </c>
      <c r="AG98" s="940"/>
      <c r="AH98" s="940">
        <v>0.7</v>
      </c>
      <c r="AI98" s="940"/>
      <c r="AJ98" s="940">
        <v>0.7</v>
      </c>
      <c r="AK98" s="940">
        <v>0.8</v>
      </c>
      <c r="AL98" s="1841">
        <f>SUM(AM98:AZ98)</f>
        <v>15.300000000000002</v>
      </c>
      <c r="AM98" s="940">
        <v>1</v>
      </c>
      <c r="AN98" s="940">
        <v>1.2</v>
      </c>
      <c r="AO98" s="940">
        <v>1.1000000000000001</v>
      </c>
      <c r="AP98" s="940">
        <v>1.8</v>
      </c>
      <c r="AQ98" s="940">
        <v>3.3</v>
      </c>
      <c r="AR98" s="940">
        <v>4.4000000000000004</v>
      </c>
      <c r="AS98" s="940">
        <v>0.6</v>
      </c>
      <c r="AT98" s="940">
        <v>0.39</v>
      </c>
      <c r="AU98" s="940">
        <v>0.4</v>
      </c>
      <c r="AV98" s="940"/>
      <c r="AW98" s="940">
        <v>0.41</v>
      </c>
      <c r="AX98" s="940"/>
      <c r="AY98" s="940">
        <v>0.3</v>
      </c>
      <c r="AZ98" s="940">
        <v>0.4</v>
      </c>
      <c r="BA98" s="928">
        <f t="shared" si="89"/>
        <v>108.51063829787232</v>
      </c>
      <c r="BB98" s="928">
        <f t="shared" si="90"/>
        <v>55.035971223021598</v>
      </c>
      <c r="BC98" s="1867"/>
      <c r="BD98" s="999"/>
      <c r="BE98" s="987"/>
    </row>
    <row r="99" spans="1:69" s="1080" customFormat="1" ht="20.25" hidden="1" customHeight="1">
      <c r="A99" s="1851"/>
      <c r="B99" s="943" t="s">
        <v>137</v>
      </c>
      <c r="C99" s="951" t="s">
        <v>32</v>
      </c>
      <c r="D99" s="1163"/>
      <c r="E99" s="1163"/>
      <c r="F99" s="1163"/>
      <c r="G99" s="1163"/>
      <c r="H99" s="1163"/>
      <c r="I99" s="1163"/>
      <c r="J99" s="1163"/>
      <c r="K99" s="1163"/>
      <c r="L99" s="1163"/>
      <c r="M99" s="1163"/>
      <c r="N99" s="1163"/>
      <c r="O99" s="1163"/>
      <c r="P99" s="1163"/>
      <c r="Q99" s="1163"/>
      <c r="R99" s="1163"/>
      <c r="S99" s="1163"/>
      <c r="T99" s="1163"/>
      <c r="U99" s="1163"/>
      <c r="V99" s="1163"/>
      <c r="W99" s="1163"/>
      <c r="X99" s="1163"/>
      <c r="Y99" s="1163"/>
      <c r="Z99" s="1163"/>
      <c r="AA99" s="1163"/>
      <c r="AB99" s="1163"/>
      <c r="AC99" s="1163"/>
      <c r="AD99" s="1163"/>
      <c r="AE99" s="1163"/>
      <c r="AF99" s="1163"/>
      <c r="AG99" s="1163"/>
      <c r="AH99" s="1163"/>
      <c r="AI99" s="1163"/>
      <c r="AJ99" s="1163"/>
      <c r="AK99" s="1163"/>
      <c r="AL99" s="1163"/>
      <c r="AM99" s="1163"/>
      <c r="AN99" s="1163"/>
      <c r="AO99" s="1163"/>
      <c r="AP99" s="1163"/>
      <c r="AQ99" s="1163"/>
      <c r="AR99" s="1163"/>
      <c r="AS99" s="1163"/>
      <c r="AT99" s="1163"/>
      <c r="AU99" s="1163"/>
      <c r="AV99" s="1163"/>
      <c r="AW99" s="1163"/>
      <c r="AX99" s="1163"/>
      <c r="AY99" s="1163"/>
      <c r="AZ99" s="1163"/>
      <c r="BA99" s="928" t="e">
        <f t="shared" ref="BA99:BA145" si="94">AL99/F99%</f>
        <v>#DIV/0!</v>
      </c>
      <c r="BB99" s="928" t="e">
        <f t="shared" ref="BB99:BB145" si="95">AL99/W99%</f>
        <v>#DIV/0!</v>
      </c>
      <c r="BC99" s="1883"/>
      <c r="BD99" s="995"/>
      <c r="BE99" s="987"/>
    </row>
    <row r="100" spans="1:69" ht="20.25" hidden="1" customHeight="1">
      <c r="A100" s="1820"/>
      <c r="B100" s="932" t="s">
        <v>138</v>
      </c>
      <c r="C100" s="947" t="s">
        <v>139</v>
      </c>
      <c r="D100" s="1163"/>
      <c r="E100" s="1163"/>
      <c r="F100" s="1163"/>
      <c r="G100" s="1163"/>
      <c r="H100" s="1163"/>
      <c r="I100" s="1163"/>
      <c r="J100" s="1163"/>
      <c r="K100" s="1163"/>
      <c r="L100" s="1163"/>
      <c r="M100" s="1163"/>
      <c r="N100" s="1163"/>
      <c r="O100" s="1163"/>
      <c r="P100" s="1163"/>
      <c r="Q100" s="1163"/>
      <c r="R100" s="1163"/>
      <c r="S100" s="1163"/>
      <c r="T100" s="1163"/>
      <c r="U100" s="1163"/>
      <c r="V100" s="1163"/>
      <c r="W100" s="1163"/>
      <c r="X100" s="1163"/>
      <c r="Y100" s="1163"/>
      <c r="Z100" s="1163"/>
      <c r="AA100" s="1163"/>
      <c r="AB100" s="1163"/>
      <c r="AC100" s="1163"/>
      <c r="AD100" s="1163"/>
      <c r="AE100" s="1163"/>
      <c r="AF100" s="1163"/>
      <c r="AG100" s="1163"/>
      <c r="AH100" s="1163"/>
      <c r="AI100" s="1163"/>
      <c r="AJ100" s="1163"/>
      <c r="AK100" s="1163"/>
      <c r="AL100" s="1163"/>
      <c r="AM100" s="1163"/>
      <c r="AN100" s="1163"/>
      <c r="AO100" s="1163"/>
      <c r="AP100" s="1163"/>
      <c r="AQ100" s="1163"/>
      <c r="AR100" s="1163"/>
      <c r="AS100" s="1163"/>
      <c r="AT100" s="1163"/>
      <c r="AU100" s="1163"/>
      <c r="AV100" s="1163"/>
      <c r="AW100" s="1163"/>
      <c r="AX100" s="1163"/>
      <c r="AY100" s="1163"/>
      <c r="AZ100" s="1163"/>
      <c r="BA100" s="928" t="e">
        <f t="shared" si="94"/>
        <v>#DIV/0!</v>
      </c>
      <c r="BB100" s="928" t="e">
        <f t="shared" si="95"/>
        <v>#DIV/0!</v>
      </c>
      <c r="BC100" s="1797"/>
      <c r="BD100" s="995"/>
      <c r="BE100" s="987"/>
    </row>
    <row r="101" spans="1:69" s="1003" customFormat="1" ht="20.25" hidden="1" customHeight="1">
      <c r="A101" s="1820"/>
      <c r="B101" s="932" t="s">
        <v>140</v>
      </c>
      <c r="C101" s="947" t="s">
        <v>141</v>
      </c>
      <c r="D101" s="1163"/>
      <c r="E101" s="1163"/>
      <c r="F101" s="1163"/>
      <c r="G101" s="1163"/>
      <c r="H101" s="1163"/>
      <c r="I101" s="1163"/>
      <c r="J101" s="1163"/>
      <c r="K101" s="1163"/>
      <c r="L101" s="1163"/>
      <c r="M101" s="1163"/>
      <c r="N101" s="1163"/>
      <c r="O101" s="1163"/>
      <c r="P101" s="1163"/>
      <c r="Q101" s="1163"/>
      <c r="R101" s="1163"/>
      <c r="S101" s="1163"/>
      <c r="T101" s="1163"/>
      <c r="U101" s="1163"/>
      <c r="V101" s="1163"/>
      <c r="W101" s="1163"/>
      <c r="X101" s="1163"/>
      <c r="Y101" s="1163"/>
      <c r="Z101" s="1163"/>
      <c r="AA101" s="1163"/>
      <c r="AB101" s="1163"/>
      <c r="AC101" s="1163"/>
      <c r="AD101" s="1163"/>
      <c r="AE101" s="1163"/>
      <c r="AF101" s="1163"/>
      <c r="AG101" s="1163"/>
      <c r="AH101" s="1163"/>
      <c r="AI101" s="1163"/>
      <c r="AJ101" s="1163"/>
      <c r="AK101" s="1163"/>
      <c r="AL101" s="1163"/>
      <c r="AM101" s="1163"/>
      <c r="AN101" s="1163"/>
      <c r="AO101" s="1163"/>
      <c r="AP101" s="1163"/>
      <c r="AQ101" s="1163"/>
      <c r="AR101" s="1163"/>
      <c r="AS101" s="1163"/>
      <c r="AT101" s="1163"/>
      <c r="AU101" s="1163"/>
      <c r="AV101" s="1163"/>
      <c r="AW101" s="1163"/>
      <c r="AX101" s="1163"/>
      <c r="AY101" s="1163"/>
      <c r="AZ101" s="1163"/>
      <c r="BA101" s="928" t="e">
        <f t="shared" si="94"/>
        <v>#DIV/0!</v>
      </c>
      <c r="BB101" s="928" t="e">
        <f t="shared" si="95"/>
        <v>#DIV/0!</v>
      </c>
      <c r="BC101" s="1797"/>
      <c r="BD101" s="995"/>
      <c r="BE101" s="987"/>
    </row>
    <row r="102" spans="1:69" s="1003" customFormat="1" ht="21.95" customHeight="1">
      <c r="A102" s="1794" t="s">
        <v>142</v>
      </c>
      <c r="B102" s="1876" t="s">
        <v>143</v>
      </c>
      <c r="C102" s="1791"/>
      <c r="D102" s="1163"/>
      <c r="E102" s="1163"/>
      <c r="F102" s="1163"/>
      <c r="G102" s="1163"/>
      <c r="H102" s="1163"/>
      <c r="I102" s="1163"/>
      <c r="J102" s="1163"/>
      <c r="K102" s="1163"/>
      <c r="L102" s="1163"/>
      <c r="M102" s="1163"/>
      <c r="N102" s="1163"/>
      <c r="O102" s="1163"/>
      <c r="P102" s="1163"/>
      <c r="Q102" s="1163"/>
      <c r="R102" s="1163"/>
      <c r="S102" s="1163"/>
      <c r="T102" s="1163"/>
      <c r="U102" s="1163"/>
      <c r="V102" s="1163"/>
      <c r="W102" s="1163"/>
      <c r="X102" s="1163"/>
      <c r="Y102" s="1163"/>
      <c r="Z102" s="1163"/>
      <c r="AA102" s="1163"/>
      <c r="AB102" s="1163"/>
      <c r="AC102" s="1163"/>
      <c r="AD102" s="1163"/>
      <c r="AE102" s="1163"/>
      <c r="AF102" s="1163"/>
      <c r="AG102" s="1163"/>
      <c r="AH102" s="1163"/>
      <c r="AI102" s="1163"/>
      <c r="AJ102" s="1163"/>
      <c r="AK102" s="1163"/>
      <c r="AL102" s="1163"/>
      <c r="AM102" s="1163"/>
      <c r="AN102" s="1163"/>
      <c r="AO102" s="1163"/>
      <c r="AP102" s="1163"/>
      <c r="AQ102" s="1163"/>
      <c r="AR102" s="1163"/>
      <c r="AS102" s="1163"/>
      <c r="AT102" s="1163"/>
      <c r="AU102" s="1163"/>
      <c r="AV102" s="1163"/>
      <c r="AW102" s="1163"/>
      <c r="AX102" s="1163"/>
      <c r="AY102" s="1163"/>
      <c r="AZ102" s="1163"/>
      <c r="BA102" s="928"/>
      <c r="BB102" s="928"/>
      <c r="BC102" s="1797"/>
      <c r="BD102" s="995"/>
      <c r="BE102" s="987"/>
      <c r="BI102" s="1004"/>
    </row>
    <row r="103" spans="1:69" s="1003" customFormat="1" ht="20.100000000000001" customHeight="1">
      <c r="A103" s="1794"/>
      <c r="B103" s="1876" t="s">
        <v>652</v>
      </c>
      <c r="C103" s="1791"/>
      <c r="D103" s="1163"/>
      <c r="E103" s="1163"/>
      <c r="F103" s="1163"/>
      <c r="G103" s="1163"/>
      <c r="H103" s="1163"/>
      <c r="I103" s="1163"/>
      <c r="J103" s="1163"/>
      <c r="K103" s="1163"/>
      <c r="L103" s="1163"/>
      <c r="M103" s="1163"/>
      <c r="N103" s="1163"/>
      <c r="O103" s="1163"/>
      <c r="P103" s="1163"/>
      <c r="Q103" s="1163"/>
      <c r="R103" s="1163"/>
      <c r="S103" s="1163"/>
      <c r="T103" s="1163"/>
      <c r="U103" s="1163"/>
      <c r="V103" s="1163"/>
      <c r="W103" s="1163"/>
      <c r="X103" s="1163"/>
      <c r="Y103" s="1163"/>
      <c r="Z103" s="1163"/>
      <c r="AA103" s="1163"/>
      <c r="AB103" s="1163"/>
      <c r="AC103" s="1163"/>
      <c r="AD103" s="1163"/>
      <c r="AE103" s="1163"/>
      <c r="AF103" s="1163"/>
      <c r="AG103" s="1163"/>
      <c r="AH103" s="1163"/>
      <c r="AI103" s="1163"/>
      <c r="AJ103" s="1163"/>
      <c r="AK103" s="1163"/>
      <c r="AL103" s="1163"/>
      <c r="AM103" s="1163"/>
      <c r="AN103" s="1163"/>
      <c r="AO103" s="1163"/>
      <c r="AP103" s="1163"/>
      <c r="AQ103" s="1163"/>
      <c r="AR103" s="1163"/>
      <c r="AS103" s="1163"/>
      <c r="AT103" s="1163"/>
      <c r="AU103" s="1163"/>
      <c r="AV103" s="1163"/>
      <c r="AW103" s="1163"/>
      <c r="AX103" s="1163"/>
      <c r="AY103" s="1163"/>
      <c r="AZ103" s="1163"/>
      <c r="BA103" s="928"/>
      <c r="BB103" s="928"/>
      <c r="BC103" s="1797"/>
      <c r="BD103" s="995"/>
      <c r="BE103" s="987"/>
    </row>
    <row r="104" spans="1:69" s="1020" customFormat="1" ht="21.95" customHeight="1">
      <c r="A104" s="1791">
        <v>1</v>
      </c>
      <c r="B104" s="925" t="s">
        <v>144</v>
      </c>
      <c r="C104" s="1791" t="s">
        <v>26</v>
      </c>
      <c r="D104" s="1884">
        <v>66.8</v>
      </c>
      <c r="E104" s="1884">
        <f>(E112+E122+E133)/267848.05*100</f>
        <v>67.440472312566769</v>
      </c>
      <c r="F104" s="1885">
        <f>(F112+F122+F133+1734.31)/267848.05*100</f>
        <v>66.801998371838053</v>
      </c>
      <c r="G104" s="1886">
        <f>(G112+G122+G133)/267848.05*100</f>
        <v>66.801841566515037</v>
      </c>
      <c r="H104" s="1884">
        <f>(H112+H122+H133)/267848.05*100</f>
        <v>67.440427511045911</v>
      </c>
      <c r="I104" s="1887">
        <f>(I112+I122+I133)/1344.88*100</f>
        <v>49.739753732675034</v>
      </c>
      <c r="J104" s="1887">
        <f>(J112+J122)/7375.04*100</f>
        <v>76.880938950839578</v>
      </c>
      <c r="K104" s="1887">
        <f>(K112+K122)/9510.25*100</f>
        <v>62.322231276780315</v>
      </c>
      <c r="L104" s="1887">
        <f>(L112+L122+L133)/10785.5*100</f>
        <v>46.386352046729407</v>
      </c>
      <c r="M104" s="1887">
        <f>(M112+M122)/18414.01*100</f>
        <v>65.678089671940015</v>
      </c>
      <c r="N104" s="1887">
        <f>(N112+N122)/23673.43*100</f>
        <v>71.645722651935102</v>
      </c>
      <c r="O104" s="1887">
        <f>(O112+O122)/24137.49*100</f>
        <v>64.72503976179793</v>
      </c>
      <c r="P104" s="1887">
        <f>(P112+P122+P133)/33078.9*100</f>
        <v>68.917950717829186</v>
      </c>
      <c r="Q104" s="1887">
        <f>(Q112+Q122)/13389.11*100</f>
        <v>57.912736544848762</v>
      </c>
      <c r="R104" s="1887">
        <f>(R112+R122)/11378.74*100</f>
        <v>76.089268231807736</v>
      </c>
      <c r="S104" s="1887">
        <f>(S112+S122)/13864.23*100</f>
        <v>81.252979790439142</v>
      </c>
      <c r="T104" s="1887">
        <f>(T112+T122)/11290.88*100</f>
        <v>82.442643974606057</v>
      </c>
      <c r="U104" s="1887">
        <f>(U112+U122)/38404.34*100</f>
        <v>79.449432017318884</v>
      </c>
      <c r="V104" s="1887">
        <f>(V112+V122)/51202.26*100</f>
        <v>55.458548118774445</v>
      </c>
      <c r="W104" s="1884">
        <f>(W112+W122+W133)/267848.05*100</f>
        <v>68.459598641841893</v>
      </c>
      <c r="X104" s="1887">
        <f>(X112+X122+X133)/1344.88*100</f>
        <v>51.504966985902087</v>
      </c>
      <c r="Y104" s="1887">
        <f>(Y112+Y122)/7375.04*100</f>
        <v>77.901272399878508</v>
      </c>
      <c r="Z104" s="1887">
        <f>(Z112+Z122)/9510.25*100</f>
        <v>63.252280434268279</v>
      </c>
      <c r="AA104" s="1887">
        <f>(AA112+AA122+AA133)/10785.5*100</f>
        <v>47.279495619118265</v>
      </c>
      <c r="AB104" s="1887">
        <f>(AB112+AB122)/18414.01*100</f>
        <v>66.773668527387571</v>
      </c>
      <c r="AC104" s="1887">
        <f>(AC112+AC122)/23673.43*100</f>
        <v>72.46795246823126</v>
      </c>
      <c r="AD104" s="1887">
        <f>(AD112+AD122)/24137.49*100</f>
        <v>65.44707009718077</v>
      </c>
      <c r="AE104" s="1887">
        <f>(AE112+AE122+AE133)/33078.9*100</f>
        <v>69.600168082977362</v>
      </c>
      <c r="AF104" s="1887">
        <f>(AF112+AF122)/13389.11*100</f>
        <v>59.004519344452319</v>
      </c>
      <c r="AG104" s="1887">
        <f>(AG112+AG122)/11378.74*100</f>
        <v>77.713437515928845</v>
      </c>
      <c r="AH104" s="1887">
        <f>(AH112+AH122)/13864.23*100</f>
        <v>82.102504069825727</v>
      </c>
      <c r="AI104" s="1887">
        <f>(AI112+AI122)/11290.88*100</f>
        <v>83.02594660469336</v>
      </c>
      <c r="AJ104" s="1887">
        <f>(AJ112+AJ122)/38404.34*100</f>
        <v>80.97058821997723</v>
      </c>
      <c r="AK104" s="1887">
        <f>(AK112+AK122)/51202.26*100</f>
        <v>56.534477189092826</v>
      </c>
      <c r="AL104" s="1884">
        <f>(AL112+AL122+AL133)/267848.05*100</f>
        <v>67.498128136456486</v>
      </c>
      <c r="AM104" s="1887">
        <f>(AM112+AM122+AM133)/1344.88*100</f>
        <v>48.703973588721674</v>
      </c>
      <c r="AN104" s="1887">
        <f>(AN112+AN122)/7375.04*100</f>
        <v>76.999717967631369</v>
      </c>
      <c r="AO104" s="1887">
        <f>(AO112+AO122)/9510.25*100</f>
        <v>63.853841907415763</v>
      </c>
      <c r="AP104" s="1887">
        <f>(AP112+AP122+AP133)/10785.5*100</f>
        <v>45.756895832367526</v>
      </c>
      <c r="AQ104" s="1887">
        <f>(AQ112+AQ122)/18414.01*100</f>
        <v>66.023696087924392</v>
      </c>
      <c r="AR104" s="1887">
        <f>(AR112+AR122)/23673.43*100</f>
        <v>70.554414801741899</v>
      </c>
      <c r="AS104" s="1887">
        <f>(AS112+AS122)/24137.49*100</f>
        <v>65.460576058239695</v>
      </c>
      <c r="AT104" s="1887">
        <f>(AT112+AT122+AT133)/33078.9*100</f>
        <v>68.93228009395726</v>
      </c>
      <c r="AU104" s="1887">
        <f>(AU112+AU122)/13389.11*100</f>
        <v>57.784796748999746</v>
      </c>
      <c r="AV104" s="1887">
        <f>(AV112+AV122)/11378.74*100</f>
        <v>76.596442136827122</v>
      </c>
      <c r="AW104" s="1887">
        <f>(AW112+AW122)/13864.23*100</f>
        <v>81.637061704833229</v>
      </c>
      <c r="AX104" s="1887">
        <f>(AX112+AX122)/11290.88*100</f>
        <v>82.091298463892997</v>
      </c>
      <c r="AY104" s="1887">
        <f>(AY112+AY122)/38404.34*100</f>
        <v>79.847902606840805</v>
      </c>
      <c r="AZ104" s="1887">
        <f>(AZ112+AZ122)/51202.26*100</f>
        <v>55.238225812688746</v>
      </c>
      <c r="BA104" s="2001">
        <f t="shared" si="94"/>
        <v>101.04207925149721</v>
      </c>
      <c r="BB104" s="2001">
        <f t="shared" si="95"/>
        <v>98.595565085890286</v>
      </c>
      <c r="BC104" s="1796"/>
      <c r="BD104" s="995"/>
      <c r="BE104" s="985"/>
      <c r="BF104" s="1088"/>
      <c r="BG104" s="1088"/>
      <c r="BH104" s="1034"/>
    </row>
    <row r="105" spans="1:69" s="1020" customFormat="1" ht="56.25" customHeight="1">
      <c r="A105" s="1791">
        <v>2</v>
      </c>
      <c r="B105" s="1876" t="s">
        <v>612</v>
      </c>
      <c r="C105" s="1791" t="s">
        <v>93</v>
      </c>
      <c r="D105" s="930">
        <f t="shared" ref="D105:E105" si="96">D112+D117+D132</f>
        <v>181536.44</v>
      </c>
      <c r="E105" s="930">
        <f t="shared" si="96"/>
        <v>183836.11</v>
      </c>
      <c r="F105" s="930">
        <f t="shared" ref="F105:AZ105" si="97">F112+F117+F132</f>
        <v>180460.81</v>
      </c>
      <c r="G105" s="930">
        <f t="shared" si="97"/>
        <v>182735.21</v>
      </c>
      <c r="H105" s="930">
        <f t="shared" si="97"/>
        <v>183557</v>
      </c>
      <c r="I105" s="930">
        <f t="shared" si="97"/>
        <v>732.67000000000007</v>
      </c>
      <c r="J105" s="930">
        <f t="shared" si="97"/>
        <v>5773.67</v>
      </c>
      <c r="K105" s="930">
        <f t="shared" si="97"/>
        <v>6154.14</v>
      </c>
      <c r="L105" s="930">
        <f t="shared" si="97"/>
        <v>5231.28</v>
      </c>
      <c r="M105" s="930">
        <f t="shared" si="97"/>
        <v>12332.55</v>
      </c>
      <c r="N105" s="930">
        <f t="shared" si="97"/>
        <v>17169.09</v>
      </c>
      <c r="O105" s="930">
        <f t="shared" si="97"/>
        <v>16103.16</v>
      </c>
      <c r="P105" s="930">
        <f t="shared" si="97"/>
        <v>22916.09</v>
      </c>
      <c r="Q105" s="930">
        <f t="shared" si="97"/>
        <v>8507.51</v>
      </c>
      <c r="R105" s="930">
        <f t="shared" si="97"/>
        <v>8659.56</v>
      </c>
      <c r="S105" s="930">
        <f t="shared" si="97"/>
        <v>11370.17</v>
      </c>
      <c r="T105" s="930">
        <f t="shared" si="97"/>
        <v>9508.82</v>
      </c>
      <c r="U105" s="930">
        <f t="shared" si="97"/>
        <v>30609.41</v>
      </c>
      <c r="V105" s="930">
        <f t="shared" si="97"/>
        <v>28488.880000000001</v>
      </c>
      <c r="W105" s="930">
        <f t="shared" si="97"/>
        <v>187127.15</v>
      </c>
      <c r="X105" s="930">
        <f t="shared" si="97"/>
        <v>766.23</v>
      </c>
      <c r="Y105" s="930">
        <f t="shared" si="97"/>
        <v>5869.04</v>
      </c>
      <c r="Z105" s="930">
        <f t="shared" si="97"/>
        <v>6262.75</v>
      </c>
      <c r="AA105" s="930">
        <f t="shared" si="97"/>
        <v>5354</v>
      </c>
      <c r="AB105" s="930">
        <f t="shared" si="97"/>
        <v>12586.759999999998</v>
      </c>
      <c r="AC105" s="930">
        <f t="shared" si="97"/>
        <v>17393.740000000002</v>
      </c>
      <c r="AD105" s="930">
        <f t="shared" si="97"/>
        <v>16312.7</v>
      </c>
      <c r="AE105" s="930">
        <f t="shared" si="97"/>
        <v>23351.960000000003</v>
      </c>
      <c r="AF105" s="930">
        <f t="shared" si="97"/>
        <v>8888.02</v>
      </c>
      <c r="AG105" s="930">
        <f t="shared" si="97"/>
        <v>8844.3700000000008</v>
      </c>
      <c r="AH105" s="930">
        <f t="shared" si="97"/>
        <v>11498.06</v>
      </c>
      <c r="AI105" s="930">
        <f t="shared" si="97"/>
        <v>9584.68</v>
      </c>
      <c r="AJ105" s="930">
        <f t="shared" si="97"/>
        <v>31305.460000000003</v>
      </c>
      <c r="AK105" s="930">
        <f t="shared" si="97"/>
        <v>29109.38</v>
      </c>
      <c r="AL105" s="930">
        <f t="shared" si="97"/>
        <v>184566.60000000003</v>
      </c>
      <c r="AM105" s="930">
        <f t="shared" si="97"/>
        <v>727.1400000000001</v>
      </c>
      <c r="AN105" s="930">
        <f t="shared" si="97"/>
        <v>5802.42</v>
      </c>
      <c r="AO105" s="930">
        <f t="shared" si="97"/>
        <v>6319.0800000000081</v>
      </c>
      <c r="AP105" s="930">
        <f t="shared" si="97"/>
        <v>5210.6099999999997</v>
      </c>
      <c r="AQ105" s="930">
        <f t="shared" si="97"/>
        <v>12448.340000000004</v>
      </c>
      <c r="AR105" s="930">
        <f t="shared" si="97"/>
        <v>16938.310000000005</v>
      </c>
      <c r="AS105" s="930">
        <f t="shared" si="97"/>
        <v>16315.960000000001</v>
      </c>
      <c r="AT105" s="930">
        <f t="shared" si="97"/>
        <v>23131.030000000032</v>
      </c>
      <c r="AU105" s="930">
        <f t="shared" si="97"/>
        <v>8723.81</v>
      </c>
      <c r="AV105" s="930">
        <f t="shared" si="97"/>
        <v>8717.2700000000023</v>
      </c>
      <c r="AW105" s="930">
        <f t="shared" si="97"/>
        <v>11433.529999999999</v>
      </c>
      <c r="AX105" s="930">
        <f t="shared" si="97"/>
        <v>9479.1299999999992</v>
      </c>
      <c r="AY105" s="930">
        <f t="shared" si="97"/>
        <v>30874.3</v>
      </c>
      <c r="AZ105" s="930">
        <f t="shared" si="97"/>
        <v>28445.670000000006</v>
      </c>
      <c r="BA105" s="1825">
        <f t="shared" si="94"/>
        <v>102.2751698831453</v>
      </c>
      <c r="BB105" s="1825">
        <f t="shared" si="95"/>
        <v>98.631652328376745</v>
      </c>
      <c r="BC105" s="1796"/>
      <c r="BD105" s="992">
        <v>371.77199999999999</v>
      </c>
      <c r="BE105" s="985"/>
      <c r="BF105" s="1088"/>
      <c r="BG105" s="1057"/>
      <c r="BJ105" s="1034"/>
    </row>
    <row r="106" spans="1:69" s="1003" customFormat="1" ht="21.95" customHeight="1">
      <c r="A106" s="947"/>
      <c r="B106" s="932" t="s">
        <v>145</v>
      </c>
      <c r="C106" s="947" t="s">
        <v>93</v>
      </c>
      <c r="D106" s="1888">
        <f t="shared" ref="D106:H106" si="98">D108+D107</f>
        <v>479.58000000000004</v>
      </c>
      <c r="E106" s="1888">
        <f t="shared" si="98"/>
        <v>350</v>
      </c>
      <c r="F106" s="1888">
        <f t="shared" si="98"/>
        <v>0</v>
      </c>
      <c r="G106" s="1888">
        <f t="shared" si="98"/>
        <v>281.40999999999997</v>
      </c>
      <c r="H106" s="1888">
        <f t="shared" si="98"/>
        <v>350.52</v>
      </c>
      <c r="I106" s="1888">
        <f>+I107+I108</f>
        <v>5.04</v>
      </c>
      <c r="J106" s="1888">
        <f t="shared" ref="J106:V106" si="99">+J107+J108</f>
        <v>7.06</v>
      </c>
      <c r="K106" s="1888">
        <f t="shared" si="99"/>
        <v>1.31</v>
      </c>
      <c r="L106" s="1888">
        <f t="shared" si="99"/>
        <v>12.34</v>
      </c>
      <c r="M106" s="1888">
        <f t="shared" si="99"/>
        <v>0</v>
      </c>
      <c r="N106" s="1888">
        <f t="shared" si="99"/>
        <v>8.08</v>
      </c>
      <c r="O106" s="1888">
        <f t="shared" si="99"/>
        <v>178.35</v>
      </c>
      <c r="P106" s="1888">
        <f t="shared" si="99"/>
        <v>20.77</v>
      </c>
      <c r="Q106" s="1888">
        <f t="shared" si="99"/>
        <v>76.710000000000008</v>
      </c>
      <c r="R106" s="1888">
        <f t="shared" si="99"/>
        <v>1.56</v>
      </c>
      <c r="S106" s="1888">
        <f t="shared" si="99"/>
        <v>19.700000000000003</v>
      </c>
      <c r="T106" s="1888">
        <f t="shared" si="99"/>
        <v>0</v>
      </c>
      <c r="U106" s="1888">
        <f t="shared" si="99"/>
        <v>0</v>
      </c>
      <c r="V106" s="1888">
        <f t="shared" si="99"/>
        <v>19.600000000000001</v>
      </c>
      <c r="W106" s="1888">
        <f t="shared" ref="W106:AK106" si="100">W108+W107</f>
        <v>975</v>
      </c>
      <c r="X106" s="1888">
        <f t="shared" si="100"/>
        <v>5</v>
      </c>
      <c r="Y106" s="1888">
        <f t="shared" si="100"/>
        <v>10</v>
      </c>
      <c r="Z106" s="1888">
        <f t="shared" si="100"/>
        <v>10</v>
      </c>
      <c r="AA106" s="1888">
        <f t="shared" si="100"/>
        <v>118</v>
      </c>
      <c r="AB106" s="1888">
        <f t="shared" si="100"/>
        <v>10</v>
      </c>
      <c r="AC106" s="1888">
        <f t="shared" si="100"/>
        <v>50</v>
      </c>
      <c r="AD106" s="1888">
        <f t="shared" si="100"/>
        <v>100</v>
      </c>
      <c r="AE106" s="1888">
        <f t="shared" si="100"/>
        <v>359</v>
      </c>
      <c r="AF106" s="1888">
        <f t="shared" si="100"/>
        <v>168</v>
      </c>
      <c r="AG106" s="1888">
        <f t="shared" si="100"/>
        <v>0</v>
      </c>
      <c r="AH106" s="1888">
        <f t="shared" si="100"/>
        <v>15</v>
      </c>
      <c r="AI106" s="1888">
        <f t="shared" si="100"/>
        <v>0</v>
      </c>
      <c r="AJ106" s="1888">
        <f t="shared" si="100"/>
        <v>100</v>
      </c>
      <c r="AK106" s="1888">
        <f t="shared" si="100"/>
        <v>30</v>
      </c>
      <c r="AL106" s="1146">
        <v>0</v>
      </c>
      <c r="AM106" s="1155"/>
      <c r="AN106" s="1155"/>
      <c r="AO106" s="1155"/>
      <c r="AP106" s="1155"/>
      <c r="AQ106" s="1155"/>
      <c r="AR106" s="1155"/>
      <c r="AS106" s="1155"/>
      <c r="AT106" s="1155"/>
      <c r="AU106" s="1155"/>
      <c r="AV106" s="1155"/>
      <c r="AW106" s="1155"/>
      <c r="AX106" s="1155"/>
      <c r="AY106" s="1155"/>
      <c r="AZ106" s="1155"/>
      <c r="BA106" s="928"/>
      <c r="BB106" s="928"/>
      <c r="BC106" s="1797"/>
      <c r="BD106" s="991">
        <f>BD105/W106*100</f>
        <v>38.130461538461532</v>
      </c>
      <c r="BE106" s="987"/>
      <c r="BF106" s="1064"/>
      <c r="BG106" s="1070"/>
      <c r="BH106" s="1071"/>
    </row>
    <row r="107" spans="1:69" s="1003" customFormat="1" ht="21.95" customHeight="1">
      <c r="A107" s="947"/>
      <c r="B107" s="932" t="s">
        <v>146</v>
      </c>
      <c r="C107" s="947" t="s">
        <v>93</v>
      </c>
      <c r="D107" s="1752">
        <v>21.61</v>
      </c>
      <c r="E107" s="1752">
        <v>50</v>
      </c>
      <c r="F107" s="1752"/>
      <c r="G107" s="1752">
        <v>72.849999999999994</v>
      </c>
      <c r="H107" s="1752">
        <f>SUM(I107:V107)</f>
        <v>47.5</v>
      </c>
      <c r="I107" s="1752"/>
      <c r="J107" s="1752"/>
      <c r="K107" s="1752"/>
      <c r="L107" s="1752"/>
      <c r="M107" s="1752"/>
      <c r="N107" s="1752"/>
      <c r="O107" s="1752"/>
      <c r="P107" s="1752"/>
      <c r="Q107" s="1752">
        <v>47.5</v>
      </c>
      <c r="R107" s="1752"/>
      <c r="S107" s="1752"/>
      <c r="T107" s="1752"/>
      <c r="U107" s="1752"/>
      <c r="V107" s="1752"/>
      <c r="W107" s="1752">
        <f>SUM(X107:AK107)</f>
        <v>157</v>
      </c>
      <c r="X107" s="1889"/>
      <c r="Y107" s="1889"/>
      <c r="Z107" s="1889"/>
      <c r="AA107" s="1889"/>
      <c r="AB107" s="1889"/>
      <c r="AC107" s="1889"/>
      <c r="AD107" s="1889"/>
      <c r="AE107" s="1889">
        <v>132</v>
      </c>
      <c r="AF107" s="1889">
        <v>25</v>
      </c>
      <c r="AG107" s="1889"/>
      <c r="AH107" s="1889"/>
      <c r="AI107" s="1889"/>
      <c r="AJ107" s="1889"/>
      <c r="AK107" s="1889"/>
      <c r="AL107" s="1146">
        <v>0</v>
      </c>
      <c r="AM107" s="1889"/>
      <c r="AN107" s="1889"/>
      <c r="AO107" s="1889"/>
      <c r="AP107" s="1889"/>
      <c r="AQ107" s="1889"/>
      <c r="AR107" s="1889"/>
      <c r="AS107" s="1889"/>
      <c r="AT107" s="1889"/>
      <c r="AU107" s="1889"/>
      <c r="AV107" s="1889"/>
      <c r="AW107" s="1889"/>
      <c r="AX107" s="1889"/>
      <c r="AY107" s="1889"/>
      <c r="AZ107" s="1889"/>
      <c r="BA107" s="928"/>
      <c r="BB107" s="928"/>
      <c r="BC107" s="1797"/>
      <c r="BD107" s="999"/>
      <c r="BE107" s="987"/>
      <c r="BF107" s="1071"/>
      <c r="BG107" s="1089"/>
      <c r="BH107" s="1071"/>
    </row>
    <row r="108" spans="1:69" s="1003" customFormat="1" ht="21.95" customHeight="1">
      <c r="A108" s="947"/>
      <c r="B108" s="932" t="s">
        <v>147</v>
      </c>
      <c r="C108" s="947" t="s">
        <v>93</v>
      </c>
      <c r="D108" s="1888">
        <f>+D109+D110</f>
        <v>457.97</v>
      </c>
      <c r="E108" s="1888">
        <f>E109+E110</f>
        <v>300</v>
      </c>
      <c r="F108" s="1888">
        <f t="shared" ref="F108:G108" si="101">F109+F110</f>
        <v>0</v>
      </c>
      <c r="G108" s="1888">
        <f t="shared" si="101"/>
        <v>208.56</v>
      </c>
      <c r="H108" s="1888">
        <f>+H109+H110</f>
        <v>303.02</v>
      </c>
      <c r="I108" s="1888">
        <f>+I109+I110</f>
        <v>5.04</v>
      </c>
      <c r="J108" s="1888">
        <f t="shared" ref="J108:V108" si="102">+J109+J110</f>
        <v>7.06</v>
      </c>
      <c r="K108" s="1888">
        <f t="shared" si="102"/>
        <v>1.31</v>
      </c>
      <c r="L108" s="1888">
        <f t="shared" si="102"/>
        <v>12.34</v>
      </c>
      <c r="M108" s="1888">
        <f t="shared" si="102"/>
        <v>0</v>
      </c>
      <c r="N108" s="1888">
        <f t="shared" si="102"/>
        <v>8.08</v>
      </c>
      <c r="O108" s="1888">
        <f t="shared" si="102"/>
        <v>178.35</v>
      </c>
      <c r="P108" s="1888">
        <f t="shared" si="102"/>
        <v>20.77</v>
      </c>
      <c r="Q108" s="1888">
        <f t="shared" si="102"/>
        <v>29.21</v>
      </c>
      <c r="R108" s="1888">
        <f t="shared" si="102"/>
        <v>1.56</v>
      </c>
      <c r="S108" s="1888">
        <f t="shared" si="102"/>
        <v>19.700000000000003</v>
      </c>
      <c r="T108" s="1888">
        <f t="shared" si="102"/>
        <v>0</v>
      </c>
      <c r="U108" s="1888">
        <f t="shared" si="102"/>
        <v>0</v>
      </c>
      <c r="V108" s="1888">
        <f t="shared" si="102"/>
        <v>19.600000000000001</v>
      </c>
      <c r="W108" s="1888">
        <f>+W109+W110</f>
        <v>818</v>
      </c>
      <c r="X108" s="1888">
        <f t="shared" ref="X108:AK108" si="103">+X109+X110</f>
        <v>5</v>
      </c>
      <c r="Y108" s="1888">
        <f t="shared" si="103"/>
        <v>10</v>
      </c>
      <c r="Z108" s="1888">
        <f t="shared" si="103"/>
        <v>10</v>
      </c>
      <c r="AA108" s="1888">
        <f t="shared" si="103"/>
        <v>118</v>
      </c>
      <c r="AB108" s="1888">
        <f t="shared" si="103"/>
        <v>10</v>
      </c>
      <c r="AC108" s="1888">
        <f t="shared" si="103"/>
        <v>50</v>
      </c>
      <c r="AD108" s="1888">
        <f t="shared" si="103"/>
        <v>100</v>
      </c>
      <c r="AE108" s="1888">
        <f t="shared" si="103"/>
        <v>227</v>
      </c>
      <c r="AF108" s="1888">
        <f t="shared" si="103"/>
        <v>143</v>
      </c>
      <c r="AG108" s="1888">
        <f t="shared" si="103"/>
        <v>0</v>
      </c>
      <c r="AH108" s="1888">
        <f t="shared" si="103"/>
        <v>15</v>
      </c>
      <c r="AI108" s="1888">
        <f t="shared" si="103"/>
        <v>0</v>
      </c>
      <c r="AJ108" s="1888">
        <f t="shared" si="103"/>
        <v>100</v>
      </c>
      <c r="AK108" s="1888">
        <f t="shared" si="103"/>
        <v>30</v>
      </c>
      <c r="AL108" s="1146">
        <v>0</v>
      </c>
      <c r="AM108" s="1155"/>
      <c r="AN108" s="1155"/>
      <c r="AO108" s="1155"/>
      <c r="AP108" s="1155"/>
      <c r="AQ108" s="1155"/>
      <c r="AR108" s="1155"/>
      <c r="AS108" s="1155"/>
      <c r="AT108" s="1155"/>
      <c r="AU108" s="1155"/>
      <c r="AV108" s="1155"/>
      <c r="AW108" s="1155"/>
      <c r="AX108" s="1155"/>
      <c r="AY108" s="1155"/>
      <c r="AZ108" s="1155"/>
      <c r="BA108" s="928"/>
      <c r="BB108" s="928"/>
      <c r="BC108" s="1797"/>
      <c r="BD108" s="1001"/>
      <c r="BE108" s="987"/>
      <c r="BG108" s="1089"/>
      <c r="BQ108" s="1071"/>
    </row>
    <row r="109" spans="1:69" s="1090" customFormat="1" ht="21.95" customHeight="1">
      <c r="A109" s="948"/>
      <c r="B109" s="949" t="s">
        <v>148</v>
      </c>
      <c r="C109" s="948" t="s">
        <v>93</v>
      </c>
      <c r="D109" s="1890">
        <v>347.97</v>
      </c>
      <c r="E109" s="1890">
        <v>300</v>
      </c>
      <c r="F109" s="1890"/>
      <c r="G109" s="1890">
        <v>91.46</v>
      </c>
      <c r="H109" s="1890">
        <f>SUM(I109:V109)</f>
        <v>126.82000000000002</v>
      </c>
      <c r="I109" s="1890">
        <v>5.04</v>
      </c>
      <c r="J109" s="1890">
        <v>7.06</v>
      </c>
      <c r="K109" s="1890">
        <v>1.31</v>
      </c>
      <c r="L109" s="1890">
        <v>1.1399999999999999</v>
      </c>
      <c r="M109" s="1890"/>
      <c r="N109" s="1890">
        <v>8.08</v>
      </c>
      <c r="O109" s="1890">
        <v>13.35</v>
      </c>
      <c r="P109" s="1890">
        <v>20.77</v>
      </c>
      <c r="Q109" s="1890">
        <v>29.21</v>
      </c>
      <c r="R109" s="1890">
        <v>1.56</v>
      </c>
      <c r="S109" s="1890">
        <v>19.700000000000003</v>
      </c>
      <c r="T109" s="1890"/>
      <c r="U109" s="1890"/>
      <c r="V109" s="1890">
        <v>19.600000000000001</v>
      </c>
      <c r="W109" s="1890">
        <f>SUM(X109:AK109)</f>
        <v>578</v>
      </c>
      <c r="X109" s="1891">
        <v>5</v>
      </c>
      <c r="Y109" s="1891">
        <v>10</v>
      </c>
      <c r="Z109" s="1891">
        <v>10</v>
      </c>
      <c r="AA109" s="1891">
        <v>118</v>
      </c>
      <c r="AB109" s="1891">
        <v>10</v>
      </c>
      <c r="AC109" s="1891">
        <v>50</v>
      </c>
      <c r="AD109" s="1891">
        <v>50</v>
      </c>
      <c r="AE109" s="1891">
        <v>80</v>
      </c>
      <c r="AF109" s="1891">
        <v>100</v>
      </c>
      <c r="AG109" s="1891"/>
      <c r="AH109" s="1891">
        <v>15</v>
      </c>
      <c r="AI109" s="1891">
        <v>0</v>
      </c>
      <c r="AJ109" s="1891">
        <v>100</v>
      </c>
      <c r="AK109" s="1891">
        <v>30</v>
      </c>
      <c r="AL109" s="1146">
        <v>0</v>
      </c>
      <c r="AM109" s="1892"/>
      <c r="AN109" s="1749"/>
      <c r="AO109" s="1749"/>
      <c r="AP109" s="1749"/>
      <c r="AQ109" s="1749"/>
      <c r="AR109" s="1749"/>
      <c r="AS109" s="1749"/>
      <c r="AT109" s="1749"/>
      <c r="AU109" s="1749"/>
      <c r="AV109" s="1749"/>
      <c r="AW109" s="1749"/>
      <c r="AX109" s="1749"/>
      <c r="AY109" s="1749"/>
      <c r="AZ109" s="1749"/>
      <c r="BA109" s="928"/>
      <c r="BB109" s="928"/>
      <c r="BC109" s="1893"/>
      <c r="BD109" s="1005"/>
      <c r="BE109" s="1006"/>
      <c r="BG109" s="1091"/>
    </row>
    <row r="110" spans="1:69" s="1032" customFormat="1" ht="21.95" customHeight="1">
      <c r="A110" s="951"/>
      <c r="B110" s="943" t="s">
        <v>792</v>
      </c>
      <c r="C110" s="951" t="s">
        <v>93</v>
      </c>
      <c r="D110" s="1890">
        <v>110</v>
      </c>
      <c r="E110" s="1890">
        <v>0</v>
      </c>
      <c r="F110" s="1890"/>
      <c r="G110" s="1890">
        <v>117.1</v>
      </c>
      <c r="H110" s="1890">
        <f>SUM(I110:V110)</f>
        <v>176.2</v>
      </c>
      <c r="I110" s="1890"/>
      <c r="J110" s="1890"/>
      <c r="K110" s="1890"/>
      <c r="L110" s="1890">
        <v>11.2</v>
      </c>
      <c r="M110" s="1890"/>
      <c r="N110" s="1890"/>
      <c r="O110" s="1890">
        <v>165</v>
      </c>
      <c r="P110" s="1890"/>
      <c r="Q110" s="1890"/>
      <c r="R110" s="1890"/>
      <c r="S110" s="1890"/>
      <c r="T110" s="1890"/>
      <c r="U110" s="1890"/>
      <c r="V110" s="1890"/>
      <c r="W110" s="1890">
        <f>SUM(X110:AK110)</f>
        <v>240</v>
      </c>
      <c r="X110" s="1894"/>
      <c r="Y110" s="1894"/>
      <c r="Z110" s="1894"/>
      <c r="AA110" s="1894"/>
      <c r="AB110" s="1894"/>
      <c r="AC110" s="1894"/>
      <c r="AD110" s="1894">
        <v>50</v>
      </c>
      <c r="AE110" s="1894">
        <v>147</v>
      </c>
      <c r="AF110" s="1894">
        <v>43</v>
      </c>
      <c r="AG110" s="1894"/>
      <c r="AH110" s="1894"/>
      <c r="AI110" s="1894"/>
      <c r="AJ110" s="1894"/>
      <c r="AK110" s="1894"/>
      <c r="AL110" s="1146">
        <v>0</v>
      </c>
      <c r="AM110" s="1894"/>
      <c r="AN110" s="1749"/>
      <c r="AO110" s="1749"/>
      <c r="AP110" s="1749"/>
      <c r="AQ110" s="1749"/>
      <c r="AR110" s="1749"/>
      <c r="AS110" s="1749"/>
      <c r="AT110" s="1749"/>
      <c r="AU110" s="1749"/>
      <c r="AV110" s="1749"/>
      <c r="AW110" s="1749"/>
      <c r="AX110" s="1749"/>
      <c r="AY110" s="1749"/>
      <c r="AZ110" s="1749"/>
      <c r="BA110" s="928"/>
      <c r="BB110" s="928"/>
      <c r="BC110" s="1895"/>
      <c r="BD110" s="992"/>
      <c r="BE110" s="1006"/>
      <c r="BG110" s="1092"/>
    </row>
    <row r="111" spans="1:69" s="1032" customFormat="1" ht="21" hidden="1" customHeight="1">
      <c r="A111" s="951"/>
      <c r="B111" s="943" t="s">
        <v>149</v>
      </c>
      <c r="C111" s="951" t="s">
        <v>93</v>
      </c>
      <c r="D111" s="1282"/>
      <c r="E111" s="1282"/>
      <c r="F111" s="1282"/>
      <c r="G111" s="1282"/>
      <c r="H111" s="1282"/>
      <c r="I111" s="1282"/>
      <c r="J111" s="1282"/>
      <c r="K111" s="1282"/>
      <c r="L111" s="1282"/>
      <c r="M111" s="1282"/>
      <c r="N111" s="1282"/>
      <c r="O111" s="1282"/>
      <c r="P111" s="1282"/>
      <c r="Q111" s="1282"/>
      <c r="R111" s="1282"/>
      <c r="S111" s="1282"/>
      <c r="T111" s="1282"/>
      <c r="U111" s="1282"/>
      <c r="V111" s="1282"/>
      <c r="W111" s="1282"/>
      <c r="X111" s="1282"/>
      <c r="Y111" s="1282"/>
      <c r="Z111" s="1282"/>
      <c r="AA111" s="1282"/>
      <c r="AB111" s="1282"/>
      <c r="AC111" s="1282"/>
      <c r="AD111" s="1282"/>
      <c r="AE111" s="1282"/>
      <c r="AF111" s="1282"/>
      <c r="AG111" s="1282"/>
      <c r="AH111" s="1282"/>
      <c r="AI111" s="1282"/>
      <c r="AJ111" s="1282"/>
      <c r="AK111" s="1282"/>
      <c r="AL111" s="1282"/>
      <c r="AM111" s="1282"/>
      <c r="AN111" s="1282"/>
      <c r="AO111" s="1282"/>
      <c r="AP111" s="1282"/>
      <c r="AQ111" s="1282"/>
      <c r="AR111" s="1282"/>
      <c r="AS111" s="1282"/>
      <c r="AT111" s="1282"/>
      <c r="AU111" s="1282"/>
      <c r="AV111" s="1282"/>
      <c r="AW111" s="1282"/>
      <c r="AX111" s="1282"/>
      <c r="AY111" s="1282"/>
      <c r="AZ111" s="1282"/>
      <c r="BA111" s="928" t="e">
        <f t="shared" si="94"/>
        <v>#DIV/0!</v>
      </c>
      <c r="BB111" s="928" t="e">
        <f t="shared" si="95"/>
        <v>#DIV/0!</v>
      </c>
      <c r="BC111" s="1895"/>
      <c r="BD111" s="995"/>
      <c r="BE111" s="987"/>
    </row>
    <row r="112" spans="1:69" s="1093" customFormat="1" ht="21.95" customHeight="1">
      <c r="A112" s="1813" t="s">
        <v>150</v>
      </c>
      <c r="B112" s="1896" t="s">
        <v>151</v>
      </c>
      <c r="C112" s="1813" t="s">
        <v>93</v>
      </c>
      <c r="D112" s="1816">
        <f>SUM(D113:D116)</f>
        <v>178275.55</v>
      </c>
      <c r="E112" s="1816">
        <f t="shared" ref="E112:G112" si="104">+E114+E113+E115</f>
        <v>179935.38999999998</v>
      </c>
      <c r="F112" s="1816">
        <f t="shared" si="104"/>
        <v>176541.24</v>
      </c>
      <c r="G112" s="1816">
        <f t="shared" si="104"/>
        <v>178275.55</v>
      </c>
      <c r="H112" s="1816">
        <f>SUM(H113:H116)</f>
        <v>179935.24</v>
      </c>
      <c r="I112" s="1816">
        <f t="shared" ref="I112:AK112" si="105">SUM(I113:I116)</f>
        <v>664.94</v>
      </c>
      <c r="J112" s="1816">
        <f t="shared" si="105"/>
        <v>5648</v>
      </c>
      <c r="K112" s="1816">
        <f t="shared" si="105"/>
        <v>5872</v>
      </c>
      <c r="L112" s="1816">
        <f t="shared" si="105"/>
        <v>4602</v>
      </c>
      <c r="M112" s="1816">
        <f t="shared" si="105"/>
        <v>12037</v>
      </c>
      <c r="N112" s="1816">
        <f t="shared" si="105"/>
        <v>16901</v>
      </c>
      <c r="O112" s="1816">
        <f t="shared" si="105"/>
        <v>15623</v>
      </c>
      <c r="P112" s="1816">
        <f t="shared" si="105"/>
        <v>22797.3</v>
      </c>
      <c r="Q112" s="1816">
        <f t="shared" si="105"/>
        <v>7690</v>
      </c>
      <c r="R112" s="1816">
        <f t="shared" si="105"/>
        <v>8658</v>
      </c>
      <c r="S112" s="1816">
        <f t="shared" si="105"/>
        <v>11233</v>
      </c>
      <c r="T112" s="1816">
        <f t="shared" si="105"/>
        <v>9307</v>
      </c>
      <c r="U112" s="1816">
        <f t="shared" si="105"/>
        <v>30509</v>
      </c>
      <c r="V112" s="1816">
        <f t="shared" si="105"/>
        <v>28393</v>
      </c>
      <c r="W112" s="1816">
        <f t="shared" si="105"/>
        <v>182585.69999999998</v>
      </c>
      <c r="X112" s="1816">
        <f t="shared" si="105"/>
        <v>684.68000000000006</v>
      </c>
      <c r="Y112" s="1816">
        <f t="shared" si="105"/>
        <v>5720.25</v>
      </c>
      <c r="Z112" s="1816">
        <f t="shared" si="105"/>
        <v>5950.45</v>
      </c>
      <c r="AA112" s="1816">
        <f t="shared" si="105"/>
        <v>4693.33</v>
      </c>
      <c r="AB112" s="1816">
        <f t="shared" si="105"/>
        <v>12220.71</v>
      </c>
      <c r="AC112" s="1816">
        <f t="shared" si="105"/>
        <v>17080.650000000001</v>
      </c>
      <c r="AD112" s="1816">
        <f t="shared" si="105"/>
        <v>15797.28</v>
      </c>
      <c r="AE112" s="1816">
        <f t="shared" si="105"/>
        <v>23022.97</v>
      </c>
      <c r="AF112" s="1816">
        <f t="shared" si="105"/>
        <v>7816.18</v>
      </c>
      <c r="AG112" s="1816">
        <f t="shared" si="105"/>
        <v>8842.8100000000013</v>
      </c>
      <c r="AH112" s="1816">
        <f t="shared" si="105"/>
        <v>11350.88</v>
      </c>
      <c r="AI112" s="1816">
        <f t="shared" si="105"/>
        <v>9367.36</v>
      </c>
      <c r="AJ112" s="1816">
        <f t="shared" si="105"/>
        <v>31091.22</v>
      </c>
      <c r="AK112" s="1816">
        <f t="shared" si="105"/>
        <v>28946.93</v>
      </c>
      <c r="AL112" s="1897">
        <f>AL113+AL114+AL115+AL116</f>
        <v>180141.69000000003</v>
      </c>
      <c r="AM112" s="1897">
        <f t="shared" ref="AM112:AZ112" si="106">AM113+AM114+AM115+AM116</f>
        <v>652.42000000000007</v>
      </c>
      <c r="AN112" s="1897">
        <f t="shared" si="106"/>
        <v>5660.12</v>
      </c>
      <c r="AO112" s="1897">
        <f t="shared" si="106"/>
        <v>6027.2800000000079</v>
      </c>
      <c r="AP112" s="1897">
        <f t="shared" si="106"/>
        <v>4555.0999999999995</v>
      </c>
      <c r="AQ112" s="1897">
        <f t="shared" si="106"/>
        <v>12108.450000000004</v>
      </c>
      <c r="AR112" s="1897">
        <f t="shared" si="106"/>
        <v>16646.840000000004</v>
      </c>
      <c r="AS112" s="1897">
        <f t="shared" si="106"/>
        <v>15800.54</v>
      </c>
      <c r="AT112" s="1897">
        <f t="shared" si="106"/>
        <v>22802.04000000003</v>
      </c>
      <c r="AU112" s="1897">
        <f t="shared" si="106"/>
        <v>7675.71</v>
      </c>
      <c r="AV112" s="1897">
        <f t="shared" si="106"/>
        <v>8715.7100000000028</v>
      </c>
      <c r="AW112" s="1897">
        <f t="shared" si="106"/>
        <v>11286.249999999998</v>
      </c>
      <c r="AX112" s="1897">
        <f t="shared" si="106"/>
        <v>9266.81</v>
      </c>
      <c r="AY112" s="1897">
        <f t="shared" si="106"/>
        <v>30661.200000000001</v>
      </c>
      <c r="AZ112" s="1897">
        <f t="shared" si="106"/>
        <v>28283.220000000005</v>
      </c>
      <c r="BA112" s="1825">
        <f t="shared" si="94"/>
        <v>102.039438490406</v>
      </c>
      <c r="BB112" s="1825">
        <f t="shared" si="95"/>
        <v>98.661445009110821</v>
      </c>
      <c r="BC112" s="1898"/>
      <c r="BD112" s="988"/>
      <c r="BE112" s="990"/>
    </row>
    <row r="113" spans="1:58" s="1003" customFormat="1" ht="21.95" customHeight="1">
      <c r="A113" s="947"/>
      <c r="B113" s="932" t="s">
        <v>152</v>
      </c>
      <c r="C113" s="947" t="s">
        <v>93</v>
      </c>
      <c r="D113" s="952">
        <v>28248.6</v>
      </c>
      <c r="E113" s="952">
        <v>28278</v>
      </c>
      <c r="F113" s="952">
        <v>28248.6</v>
      </c>
      <c r="G113" s="952">
        <v>28248.6</v>
      </c>
      <c r="H113" s="952">
        <f>SUM(I113:V113)</f>
        <v>28278</v>
      </c>
      <c r="I113" s="952"/>
      <c r="J113" s="952"/>
      <c r="K113" s="952"/>
      <c r="L113" s="952"/>
      <c r="M113" s="952"/>
      <c r="N113" s="952"/>
      <c r="O113" s="952"/>
      <c r="P113" s="952"/>
      <c r="Q113" s="952"/>
      <c r="R113" s="952"/>
      <c r="S113" s="952"/>
      <c r="T113" s="952"/>
      <c r="U113" s="952">
        <v>24649</v>
      </c>
      <c r="V113" s="952">
        <v>3629</v>
      </c>
      <c r="W113" s="952">
        <f>SUM(X113:AK113)</f>
        <v>28293</v>
      </c>
      <c r="X113" s="953"/>
      <c r="Y113" s="952"/>
      <c r="Z113" s="952"/>
      <c r="AA113" s="953"/>
      <c r="AB113" s="952"/>
      <c r="AC113" s="952"/>
      <c r="AD113" s="952"/>
      <c r="AE113" s="952"/>
      <c r="AF113" s="952"/>
      <c r="AG113" s="952"/>
      <c r="AH113" s="952"/>
      <c r="AI113" s="952"/>
      <c r="AJ113" s="952">
        <v>24677.77</v>
      </c>
      <c r="AK113" s="952">
        <v>3615.23</v>
      </c>
      <c r="AL113" s="1217">
        <f>AM113+AN113+AO113+AP113+AQ113+AR113+AS113+AT113+AU113+AV113+AW113+AX113+AY113+AZ113</f>
        <v>28398.06</v>
      </c>
      <c r="AM113" s="1217"/>
      <c r="AN113" s="1217"/>
      <c r="AO113" s="1217"/>
      <c r="AP113" s="1217"/>
      <c r="AQ113" s="1217"/>
      <c r="AR113" s="1217"/>
      <c r="AS113" s="1217"/>
      <c r="AT113" s="1217"/>
      <c r="AU113" s="1217"/>
      <c r="AV113" s="1217"/>
      <c r="AW113" s="1217"/>
      <c r="AX113" s="1217"/>
      <c r="AY113" s="1217">
        <f>25581.16+5</f>
        <v>25586.16</v>
      </c>
      <c r="AZ113" s="1217">
        <v>2811.9</v>
      </c>
      <c r="BA113" s="928">
        <f t="shared" si="94"/>
        <v>100.52908816720121</v>
      </c>
      <c r="BB113" s="928">
        <f t="shared" si="95"/>
        <v>100.37132859717951</v>
      </c>
      <c r="BC113" s="1797"/>
      <c r="BD113" s="1001"/>
      <c r="BE113" s="987"/>
    </row>
    <row r="114" spans="1:58" s="1003" customFormat="1" ht="21.95" customHeight="1">
      <c r="A114" s="947"/>
      <c r="B114" s="932" t="s">
        <v>146</v>
      </c>
      <c r="C114" s="947" t="s">
        <v>93</v>
      </c>
      <c r="D114" s="952">
        <v>82973.210000000006</v>
      </c>
      <c r="E114" s="952">
        <v>85924.209999999992</v>
      </c>
      <c r="F114" s="952">
        <v>82973.210000000006</v>
      </c>
      <c r="G114" s="952">
        <v>82973.210000000006</v>
      </c>
      <c r="H114" s="952">
        <f t="shared" ref="H114:H116" si="107">SUM(I114:V114)</f>
        <v>84190</v>
      </c>
      <c r="I114" s="952">
        <v>281</v>
      </c>
      <c r="J114" s="952">
        <v>2382</v>
      </c>
      <c r="K114" s="952">
        <v>1114</v>
      </c>
      <c r="L114" s="952">
        <v>1339</v>
      </c>
      <c r="M114" s="952">
        <v>4351</v>
      </c>
      <c r="N114" s="952">
        <v>10654</v>
      </c>
      <c r="O114" s="952">
        <v>10589</v>
      </c>
      <c r="P114" s="952">
        <v>11191</v>
      </c>
      <c r="Q114" s="952">
        <v>1844</v>
      </c>
      <c r="R114" s="952">
        <v>5427</v>
      </c>
      <c r="S114" s="952">
        <v>9554</v>
      </c>
      <c r="T114" s="952">
        <v>8200</v>
      </c>
      <c r="U114" s="952">
        <v>1746</v>
      </c>
      <c r="V114" s="952">
        <v>15518</v>
      </c>
      <c r="W114" s="952">
        <f t="shared" ref="W114:W116" si="108">SUM(X114:AK114)</f>
        <v>86421.209999999992</v>
      </c>
      <c r="X114" s="1899">
        <v>370.5</v>
      </c>
      <c r="Y114" s="1899">
        <v>2628.25</v>
      </c>
      <c r="Z114" s="1899">
        <v>1185.45</v>
      </c>
      <c r="AA114" s="1899">
        <v>1588.33</v>
      </c>
      <c r="AB114" s="1899">
        <v>4640.71</v>
      </c>
      <c r="AC114" s="1899">
        <v>10820.65</v>
      </c>
      <c r="AD114" s="1899">
        <v>10832.28</v>
      </c>
      <c r="AE114" s="1899">
        <v>11492.66</v>
      </c>
      <c r="AF114" s="1899">
        <v>2006.18</v>
      </c>
      <c r="AG114" s="1899">
        <v>5612.81</v>
      </c>
      <c r="AH114" s="1899">
        <v>9605.8799999999992</v>
      </c>
      <c r="AI114" s="1899">
        <v>8242.36</v>
      </c>
      <c r="AJ114" s="1899">
        <v>1903.45</v>
      </c>
      <c r="AK114" s="1899">
        <v>15491.7</v>
      </c>
      <c r="AL114" s="1217">
        <f t="shared" ref="AL114:AL116" si="109">AM114+AN114+AO114+AP114+AQ114+AR114+AS114+AT114+AU114+AV114+AW114+AX114+AY114+AZ114</f>
        <v>84412.76</v>
      </c>
      <c r="AM114" s="1217">
        <v>345.24</v>
      </c>
      <c r="AN114" s="1217">
        <v>2452.96</v>
      </c>
      <c r="AO114" s="1217">
        <v>1078.55</v>
      </c>
      <c r="AP114" s="1217">
        <v>1456.35</v>
      </c>
      <c r="AQ114" s="1217">
        <v>4360.88</v>
      </c>
      <c r="AR114" s="1217">
        <v>11447.67</v>
      </c>
      <c r="AS114" s="1217">
        <v>10173.52</v>
      </c>
      <c r="AT114" s="1217">
        <v>11944.3</v>
      </c>
      <c r="AU114" s="1217">
        <v>1869.42</v>
      </c>
      <c r="AV114" s="1217">
        <v>5318</v>
      </c>
      <c r="AW114" s="1217">
        <v>9200.94</v>
      </c>
      <c r="AX114" s="1217">
        <v>8115.97</v>
      </c>
      <c r="AY114" s="1217">
        <f>1604.06+5</f>
        <v>1609.06</v>
      </c>
      <c r="AZ114" s="1217">
        <v>15039.9</v>
      </c>
      <c r="BA114" s="928">
        <f t="shared" si="94"/>
        <v>101.73495758450225</v>
      </c>
      <c r="BB114" s="928">
        <f t="shared" si="95"/>
        <v>97.675975608302636</v>
      </c>
      <c r="BC114" s="1797"/>
      <c r="BD114" s="1001"/>
      <c r="BE114" s="987"/>
    </row>
    <row r="115" spans="1:58" s="1003" customFormat="1" ht="21.95" customHeight="1">
      <c r="A115" s="947"/>
      <c r="B115" s="932" t="s">
        <v>147</v>
      </c>
      <c r="C115" s="947" t="s">
        <v>93</v>
      </c>
      <c r="D115" s="952">
        <v>65319.43</v>
      </c>
      <c r="E115" s="952">
        <v>65733.179999999993</v>
      </c>
      <c r="F115" s="952">
        <v>65319.43</v>
      </c>
      <c r="G115" s="945">
        <v>67053.740000000005</v>
      </c>
      <c r="H115" s="952">
        <f t="shared" si="107"/>
        <v>65732.94</v>
      </c>
      <c r="I115" s="945">
        <v>380.94</v>
      </c>
      <c r="J115" s="945">
        <v>3216</v>
      </c>
      <c r="K115" s="945">
        <v>4698</v>
      </c>
      <c r="L115" s="945">
        <v>3173</v>
      </c>
      <c r="M115" s="945">
        <v>7556</v>
      </c>
      <c r="N115" s="945">
        <v>6097</v>
      </c>
      <c r="O115" s="945">
        <v>4714</v>
      </c>
      <c r="P115" s="945">
        <v>11350</v>
      </c>
      <c r="Q115" s="945">
        <v>5776</v>
      </c>
      <c r="R115" s="945">
        <v>3161</v>
      </c>
      <c r="S115" s="945">
        <v>1594</v>
      </c>
      <c r="T115" s="945">
        <v>1037</v>
      </c>
      <c r="U115" s="945">
        <v>3944</v>
      </c>
      <c r="V115" s="945">
        <v>9036</v>
      </c>
      <c r="W115" s="952">
        <f t="shared" si="108"/>
        <v>66137.179999999993</v>
      </c>
      <c r="X115" s="1899">
        <v>311.18</v>
      </c>
      <c r="Y115" s="1899">
        <v>3042</v>
      </c>
      <c r="Z115" s="1899">
        <v>4705</v>
      </c>
      <c r="AA115" s="1899">
        <v>3015</v>
      </c>
      <c r="AB115" s="1899">
        <v>7460</v>
      </c>
      <c r="AC115" s="1899">
        <v>6110</v>
      </c>
      <c r="AD115" s="1899">
        <v>4645</v>
      </c>
      <c r="AE115" s="1899">
        <v>11274</v>
      </c>
      <c r="AF115" s="1899">
        <v>5740</v>
      </c>
      <c r="AG115" s="1899">
        <v>3160</v>
      </c>
      <c r="AH115" s="1899">
        <v>1660</v>
      </c>
      <c r="AI115" s="1899">
        <v>1055</v>
      </c>
      <c r="AJ115" s="1899">
        <v>4340</v>
      </c>
      <c r="AK115" s="1899">
        <v>9620</v>
      </c>
      <c r="AL115" s="1217">
        <f t="shared" si="109"/>
        <v>65080.500000000044</v>
      </c>
      <c r="AM115" s="1217">
        <v>303.45999999999998</v>
      </c>
      <c r="AN115" s="1217">
        <v>3172.41</v>
      </c>
      <c r="AO115" s="1217">
        <v>4798.3900000000076</v>
      </c>
      <c r="AP115" s="1217">
        <v>3043.4599999999991</v>
      </c>
      <c r="AQ115" s="1217">
        <v>7449.4300000000057</v>
      </c>
      <c r="AR115" s="1217">
        <v>4897.2700000000013</v>
      </c>
      <c r="AS115" s="1217">
        <f>5422.93+25</f>
        <v>5447.93</v>
      </c>
      <c r="AT115" s="1217">
        <v>10705.250000000029</v>
      </c>
      <c r="AU115" s="1217">
        <f>5692.17+25</f>
        <v>5717.17</v>
      </c>
      <c r="AV115" s="1217">
        <v>3243.1200000000022</v>
      </c>
      <c r="AW115" s="1217">
        <v>1980.2699999999993</v>
      </c>
      <c r="AX115" s="1217">
        <v>1066.08</v>
      </c>
      <c r="AY115" s="1217">
        <f>3146.4+5</f>
        <v>3151.4</v>
      </c>
      <c r="AZ115" s="1217">
        <v>10104.860000000002</v>
      </c>
      <c r="BA115" s="928">
        <f t="shared" si="94"/>
        <v>99.634212974608076</v>
      </c>
      <c r="BB115" s="928">
        <f t="shared" si="95"/>
        <v>98.402290511933003</v>
      </c>
      <c r="BC115" s="1797"/>
      <c r="BD115" s="1009"/>
      <c r="BE115" s="987"/>
    </row>
    <row r="116" spans="1:58" s="1003" customFormat="1" ht="21.95" customHeight="1">
      <c r="A116" s="947"/>
      <c r="B116" s="932" t="s">
        <v>913</v>
      </c>
      <c r="C116" s="947" t="s">
        <v>93</v>
      </c>
      <c r="D116" s="952">
        <v>1734.31</v>
      </c>
      <c r="E116" s="952"/>
      <c r="F116" s="952"/>
      <c r="G116" s="945"/>
      <c r="H116" s="952">
        <f t="shared" si="107"/>
        <v>1734.3</v>
      </c>
      <c r="I116" s="945">
        <v>3</v>
      </c>
      <c r="J116" s="945">
        <v>50</v>
      </c>
      <c r="K116" s="945">
        <v>60</v>
      </c>
      <c r="L116" s="945">
        <v>90</v>
      </c>
      <c r="M116" s="945">
        <v>130</v>
      </c>
      <c r="N116" s="945">
        <v>150</v>
      </c>
      <c r="O116" s="945">
        <v>320</v>
      </c>
      <c r="P116" s="945">
        <v>256.3</v>
      </c>
      <c r="Q116" s="945">
        <v>70</v>
      </c>
      <c r="R116" s="945">
        <v>70</v>
      </c>
      <c r="S116" s="945">
        <v>85</v>
      </c>
      <c r="T116" s="945">
        <v>70</v>
      </c>
      <c r="U116" s="945">
        <v>170</v>
      </c>
      <c r="V116" s="945">
        <v>210</v>
      </c>
      <c r="W116" s="952">
        <f t="shared" si="108"/>
        <v>1734.31</v>
      </c>
      <c r="X116" s="1899">
        <v>3</v>
      </c>
      <c r="Y116" s="1899">
        <v>50</v>
      </c>
      <c r="Z116" s="1899">
        <v>60</v>
      </c>
      <c r="AA116" s="1899">
        <v>90</v>
      </c>
      <c r="AB116" s="1899">
        <v>120</v>
      </c>
      <c r="AC116" s="1899">
        <v>150</v>
      </c>
      <c r="AD116" s="1899">
        <v>320</v>
      </c>
      <c r="AE116" s="1899">
        <v>256.31</v>
      </c>
      <c r="AF116" s="1899">
        <v>70</v>
      </c>
      <c r="AG116" s="1899">
        <v>70</v>
      </c>
      <c r="AH116" s="1899">
        <v>85</v>
      </c>
      <c r="AI116" s="1899">
        <v>70</v>
      </c>
      <c r="AJ116" s="1899">
        <v>170</v>
      </c>
      <c r="AK116" s="1899">
        <v>220</v>
      </c>
      <c r="AL116" s="1217">
        <f t="shared" si="109"/>
        <v>2250.37</v>
      </c>
      <c r="AM116" s="1217">
        <v>3.7199999999999993</v>
      </c>
      <c r="AN116" s="1217">
        <v>34.75</v>
      </c>
      <c r="AO116" s="1217">
        <v>150.34</v>
      </c>
      <c r="AP116" s="1217">
        <v>55.29000000000002</v>
      </c>
      <c r="AQ116" s="1217">
        <v>298.14000000000016</v>
      </c>
      <c r="AR116" s="1217">
        <v>301.90000000000003</v>
      </c>
      <c r="AS116" s="1217">
        <v>179.09000000000009</v>
      </c>
      <c r="AT116" s="1217">
        <v>152.49000000000012</v>
      </c>
      <c r="AU116" s="1217">
        <v>89.12</v>
      </c>
      <c r="AV116" s="1217">
        <v>154.59000000000006</v>
      </c>
      <c r="AW116" s="1217">
        <v>105.03999999999994</v>
      </c>
      <c r="AX116" s="1217">
        <v>84.760000000000062</v>
      </c>
      <c r="AY116" s="1217">
        <v>314.57999999999964</v>
      </c>
      <c r="AZ116" s="1217">
        <v>326.5599999999996</v>
      </c>
      <c r="BA116" s="928"/>
      <c r="BB116" s="928">
        <f t="shared" si="95"/>
        <v>129.75592598785684</v>
      </c>
      <c r="BC116" s="1797"/>
      <c r="BD116" s="1009"/>
      <c r="BE116" s="987"/>
    </row>
    <row r="117" spans="1:58" s="1075" customFormat="1" ht="21.95" customHeight="1">
      <c r="A117" s="954" t="s">
        <v>153</v>
      </c>
      <c r="B117" s="1900" t="s">
        <v>154</v>
      </c>
      <c r="C117" s="954" t="s">
        <v>559</v>
      </c>
      <c r="D117" s="1816">
        <v>2864.8900000000003</v>
      </c>
      <c r="E117" s="1816">
        <f t="shared" ref="E117:F117" si="110">E122+E127</f>
        <v>3504.72</v>
      </c>
      <c r="F117" s="1816">
        <f t="shared" si="110"/>
        <v>3523.57</v>
      </c>
      <c r="G117" s="1816">
        <f t="shared" ref="G117" si="111">G122+G127</f>
        <v>4063.66</v>
      </c>
      <c r="H117" s="1816">
        <f>SUM(H118:H120)</f>
        <v>3225.76</v>
      </c>
      <c r="I117" s="1816">
        <f t="shared" ref="I117:V117" si="112">SUM(I118:I120)</f>
        <v>67.72999999999999</v>
      </c>
      <c r="J117" s="1816">
        <f t="shared" si="112"/>
        <v>125.66999999999999</v>
      </c>
      <c r="K117" s="1816">
        <f t="shared" si="112"/>
        <v>282.14</v>
      </c>
      <c r="L117" s="1816">
        <f t="shared" si="112"/>
        <v>233.28</v>
      </c>
      <c r="M117" s="1816">
        <f t="shared" si="112"/>
        <v>295.55</v>
      </c>
      <c r="N117" s="1816">
        <f t="shared" si="112"/>
        <v>268.09000000000003</v>
      </c>
      <c r="O117" s="1816">
        <f t="shared" si="112"/>
        <v>480.15999999999997</v>
      </c>
      <c r="P117" s="1816">
        <f t="shared" si="112"/>
        <v>118.78999999999999</v>
      </c>
      <c r="Q117" s="1816">
        <f t="shared" si="112"/>
        <v>817.51</v>
      </c>
      <c r="R117" s="1816">
        <f t="shared" si="112"/>
        <v>1.56</v>
      </c>
      <c r="S117" s="1816">
        <f t="shared" si="112"/>
        <v>137.16999999999999</v>
      </c>
      <c r="T117" s="1816">
        <f t="shared" si="112"/>
        <v>201.82</v>
      </c>
      <c r="U117" s="1816">
        <f t="shared" si="112"/>
        <v>100.41000000000001</v>
      </c>
      <c r="V117" s="1816">
        <f t="shared" si="112"/>
        <v>95.88000000000001</v>
      </c>
      <c r="W117" s="1816">
        <f t="shared" ref="W117:AL117" si="113">SUM(W118:W120)</f>
        <v>4145.45</v>
      </c>
      <c r="X117" s="1816">
        <f t="shared" si="113"/>
        <v>81.55</v>
      </c>
      <c r="Y117" s="1816">
        <f t="shared" si="113"/>
        <v>148.79</v>
      </c>
      <c r="Z117" s="1816">
        <f t="shared" si="113"/>
        <v>312.3</v>
      </c>
      <c r="AA117" s="1816">
        <f t="shared" si="113"/>
        <v>264.66999999999996</v>
      </c>
      <c r="AB117" s="1816">
        <f t="shared" si="113"/>
        <v>366.05</v>
      </c>
      <c r="AC117" s="1816">
        <f t="shared" si="113"/>
        <v>313.09000000000003</v>
      </c>
      <c r="AD117" s="1816">
        <f t="shared" si="113"/>
        <v>515.41999999999996</v>
      </c>
      <c r="AE117" s="1816">
        <f t="shared" si="113"/>
        <v>328.99</v>
      </c>
      <c r="AF117" s="1816">
        <f t="shared" si="113"/>
        <v>1071.8399999999999</v>
      </c>
      <c r="AG117" s="1816">
        <f t="shared" si="113"/>
        <v>1.56</v>
      </c>
      <c r="AH117" s="1816">
        <f t="shared" si="113"/>
        <v>147.18</v>
      </c>
      <c r="AI117" s="1816">
        <f t="shared" si="113"/>
        <v>217.32</v>
      </c>
      <c r="AJ117" s="1816">
        <f t="shared" si="113"/>
        <v>214.24</v>
      </c>
      <c r="AK117" s="1816">
        <f t="shared" si="113"/>
        <v>162.44999999999999</v>
      </c>
      <c r="AL117" s="1816">
        <f t="shared" si="113"/>
        <v>4028.9099999999994</v>
      </c>
      <c r="AM117" s="1816">
        <f t="shared" ref="AM117:AZ117" si="114">SUM(AM118:AM120)</f>
        <v>74.72</v>
      </c>
      <c r="AN117" s="1816">
        <f t="shared" si="114"/>
        <v>142.29999999999998</v>
      </c>
      <c r="AO117" s="1816">
        <f t="shared" si="114"/>
        <v>291.8</v>
      </c>
      <c r="AP117" s="1816">
        <f t="shared" si="114"/>
        <v>259.51</v>
      </c>
      <c r="AQ117" s="1816">
        <f t="shared" si="114"/>
        <v>339.89</v>
      </c>
      <c r="AR117" s="1816">
        <f t="shared" si="114"/>
        <v>291.47000000000003</v>
      </c>
      <c r="AS117" s="1816">
        <f t="shared" si="114"/>
        <v>515.41999999999996</v>
      </c>
      <c r="AT117" s="1816">
        <f t="shared" si="114"/>
        <v>328.99</v>
      </c>
      <c r="AU117" s="1816">
        <f t="shared" si="114"/>
        <v>1048.0999999999999</v>
      </c>
      <c r="AV117" s="1816">
        <f t="shared" si="114"/>
        <v>1.56</v>
      </c>
      <c r="AW117" s="1816">
        <f t="shared" si="114"/>
        <v>147.27999999999997</v>
      </c>
      <c r="AX117" s="1816">
        <f t="shared" si="114"/>
        <v>212.32</v>
      </c>
      <c r="AY117" s="1816">
        <f t="shared" si="114"/>
        <v>213.10000000000002</v>
      </c>
      <c r="AZ117" s="1816">
        <f t="shared" si="114"/>
        <v>162.44999999999999</v>
      </c>
      <c r="BA117" s="1825">
        <f t="shared" si="94"/>
        <v>114.34170457802738</v>
      </c>
      <c r="BB117" s="1825">
        <f t="shared" si="95"/>
        <v>97.188724987637045</v>
      </c>
      <c r="BC117" s="1837"/>
      <c r="BD117" s="988"/>
      <c r="BE117" s="990"/>
    </row>
    <row r="118" spans="1:58" s="1075" customFormat="1" ht="21.95" customHeight="1">
      <c r="A118" s="954"/>
      <c r="B118" s="955" t="s">
        <v>155</v>
      </c>
      <c r="C118" s="947" t="s">
        <v>93</v>
      </c>
      <c r="D118" s="952">
        <f t="shared" ref="D118" si="115">D124+D128</f>
        <v>2369.7600000000002</v>
      </c>
      <c r="E118" s="952">
        <f t="shared" ref="E118:E120" si="116">E124+E128</f>
        <v>3020.83</v>
      </c>
      <c r="F118" s="952">
        <f t="shared" ref="F118:I118" si="117">F124+F128</f>
        <v>3027.23</v>
      </c>
      <c r="G118" s="952">
        <f t="shared" si="117"/>
        <v>3482.29</v>
      </c>
      <c r="H118" s="952">
        <f t="shared" si="117"/>
        <v>2693.94</v>
      </c>
      <c r="I118" s="952">
        <f t="shared" si="117"/>
        <v>66.72999999999999</v>
      </c>
      <c r="J118" s="952">
        <f t="shared" ref="J118:V118" si="118">J124+J128</f>
        <v>125.66999999999999</v>
      </c>
      <c r="K118" s="952">
        <f t="shared" si="118"/>
        <v>275.14</v>
      </c>
      <c r="L118" s="952">
        <f t="shared" si="118"/>
        <v>233.28</v>
      </c>
      <c r="M118" s="952">
        <f t="shared" si="118"/>
        <v>238.58</v>
      </c>
      <c r="N118" s="952">
        <f t="shared" si="118"/>
        <v>224.09</v>
      </c>
      <c r="O118" s="952">
        <f t="shared" si="118"/>
        <v>387.16999999999996</v>
      </c>
      <c r="P118" s="952">
        <f t="shared" si="118"/>
        <v>118.78999999999999</v>
      </c>
      <c r="Q118" s="952">
        <f t="shared" si="118"/>
        <v>698.88</v>
      </c>
      <c r="R118" s="952">
        <f t="shared" si="118"/>
        <v>1.56</v>
      </c>
      <c r="S118" s="952">
        <f t="shared" si="118"/>
        <v>106.16999999999999</v>
      </c>
      <c r="T118" s="952">
        <f t="shared" si="118"/>
        <v>65.760000000000005</v>
      </c>
      <c r="U118" s="952">
        <f t="shared" si="118"/>
        <v>59.27</v>
      </c>
      <c r="V118" s="952">
        <f t="shared" si="118"/>
        <v>92.850000000000009</v>
      </c>
      <c r="W118" s="952">
        <f>W124+W128</f>
        <v>3526.7999999999997</v>
      </c>
      <c r="X118" s="952">
        <f t="shared" ref="X118:AL118" si="119">X124+X128</f>
        <v>80.55</v>
      </c>
      <c r="Y118" s="952">
        <f t="shared" si="119"/>
        <v>148.79</v>
      </c>
      <c r="Z118" s="952">
        <f t="shared" si="119"/>
        <v>305.3</v>
      </c>
      <c r="AA118" s="952">
        <f t="shared" si="119"/>
        <v>264.66999999999996</v>
      </c>
      <c r="AB118" s="952">
        <f t="shared" si="119"/>
        <v>301.05</v>
      </c>
      <c r="AC118" s="952">
        <f t="shared" si="119"/>
        <v>269.09000000000003</v>
      </c>
      <c r="AD118" s="952">
        <f t="shared" si="119"/>
        <v>422.43</v>
      </c>
      <c r="AE118" s="952">
        <f t="shared" si="119"/>
        <v>268.99</v>
      </c>
      <c r="AF118" s="952">
        <f t="shared" si="119"/>
        <v>945.20999999999992</v>
      </c>
      <c r="AG118" s="952">
        <f t="shared" si="119"/>
        <v>1.56</v>
      </c>
      <c r="AH118" s="952">
        <f t="shared" si="119"/>
        <v>116.17999999999999</v>
      </c>
      <c r="AI118" s="952">
        <f t="shared" si="119"/>
        <v>81.260000000000005</v>
      </c>
      <c r="AJ118" s="952">
        <f t="shared" si="119"/>
        <v>159.27000000000001</v>
      </c>
      <c r="AK118" s="952">
        <f t="shared" si="119"/>
        <v>162.44999999999999</v>
      </c>
      <c r="AL118" s="952">
        <f t="shared" si="119"/>
        <v>3463.9799999999996</v>
      </c>
      <c r="AM118" s="952">
        <f t="shared" ref="AM118:AZ118" si="120">AM124+AM128</f>
        <v>73.72</v>
      </c>
      <c r="AN118" s="952">
        <f t="shared" si="120"/>
        <v>142.29999999999998</v>
      </c>
      <c r="AO118" s="952">
        <f t="shared" si="120"/>
        <v>284.79000000000002</v>
      </c>
      <c r="AP118" s="952">
        <f t="shared" si="120"/>
        <v>259.51</v>
      </c>
      <c r="AQ118" s="952">
        <f t="shared" si="120"/>
        <v>339.89</v>
      </c>
      <c r="AR118" s="952">
        <f t="shared" si="120"/>
        <v>227.94</v>
      </c>
      <c r="AS118" s="952">
        <f t="shared" si="120"/>
        <v>422.43</v>
      </c>
      <c r="AT118" s="952">
        <f t="shared" si="120"/>
        <v>268.99</v>
      </c>
      <c r="AU118" s="952">
        <f t="shared" si="120"/>
        <v>929.46999999999991</v>
      </c>
      <c r="AV118" s="952">
        <f t="shared" si="120"/>
        <v>1.56</v>
      </c>
      <c r="AW118" s="952">
        <f t="shared" si="120"/>
        <v>116.27999999999999</v>
      </c>
      <c r="AX118" s="952">
        <f t="shared" si="120"/>
        <v>75.12</v>
      </c>
      <c r="AY118" s="952">
        <f t="shared" si="120"/>
        <v>159.53</v>
      </c>
      <c r="AZ118" s="952">
        <f t="shared" si="120"/>
        <v>162.44999999999999</v>
      </c>
      <c r="BA118" s="928">
        <f t="shared" si="94"/>
        <v>114.42738080687623</v>
      </c>
      <c r="BB118" s="928">
        <f t="shared" si="95"/>
        <v>98.218781898604959</v>
      </c>
      <c r="BC118" s="1837"/>
      <c r="BD118" s="988"/>
      <c r="BE118" s="987"/>
    </row>
    <row r="119" spans="1:58" s="1075" customFormat="1" ht="21.95" customHeight="1">
      <c r="A119" s="954"/>
      <c r="B119" s="955" t="s">
        <v>156</v>
      </c>
      <c r="C119" s="947" t="s">
        <v>93</v>
      </c>
      <c r="D119" s="952">
        <f t="shared" ref="D119" si="121">D125+D129</f>
        <v>493.78999999999996</v>
      </c>
      <c r="E119" s="952">
        <f t="shared" si="116"/>
        <v>482.54999999999995</v>
      </c>
      <c r="F119" s="952">
        <f t="shared" ref="F119:I119" si="122">F125+F129</f>
        <v>495</v>
      </c>
      <c r="G119" s="952">
        <f t="shared" si="122"/>
        <v>580.03</v>
      </c>
      <c r="H119" s="952">
        <f t="shared" si="122"/>
        <v>530.48</v>
      </c>
      <c r="I119" s="952">
        <f t="shared" si="122"/>
        <v>1</v>
      </c>
      <c r="J119" s="952">
        <f t="shared" ref="J119:V119" si="123">J125+J129</f>
        <v>0</v>
      </c>
      <c r="K119" s="952">
        <f t="shared" si="123"/>
        <v>7</v>
      </c>
      <c r="L119" s="952">
        <f t="shared" si="123"/>
        <v>0</v>
      </c>
      <c r="M119" s="952">
        <f t="shared" si="123"/>
        <v>56.97</v>
      </c>
      <c r="N119" s="952">
        <f t="shared" si="123"/>
        <v>44</v>
      </c>
      <c r="O119" s="952">
        <f t="shared" si="123"/>
        <v>92.99</v>
      </c>
      <c r="P119" s="952">
        <f t="shared" si="123"/>
        <v>0</v>
      </c>
      <c r="Q119" s="952">
        <f t="shared" si="123"/>
        <v>118.63</v>
      </c>
      <c r="R119" s="952">
        <f t="shared" si="123"/>
        <v>0</v>
      </c>
      <c r="S119" s="952">
        <f t="shared" si="123"/>
        <v>31</v>
      </c>
      <c r="T119" s="952">
        <f t="shared" si="123"/>
        <v>136.06</v>
      </c>
      <c r="U119" s="952">
        <f t="shared" si="123"/>
        <v>39.800000000000004</v>
      </c>
      <c r="V119" s="952">
        <f t="shared" si="123"/>
        <v>3.03</v>
      </c>
      <c r="W119" s="952">
        <f>W125+W129</f>
        <v>605.45000000000005</v>
      </c>
      <c r="X119" s="952">
        <f t="shared" ref="X119:AL119" si="124">X125+X129</f>
        <v>1</v>
      </c>
      <c r="Y119" s="952">
        <f t="shared" si="124"/>
        <v>0</v>
      </c>
      <c r="Z119" s="952">
        <f t="shared" si="124"/>
        <v>7</v>
      </c>
      <c r="AA119" s="952">
        <f t="shared" si="124"/>
        <v>0</v>
      </c>
      <c r="AB119" s="952">
        <f t="shared" si="124"/>
        <v>65</v>
      </c>
      <c r="AC119" s="952">
        <f t="shared" si="124"/>
        <v>44</v>
      </c>
      <c r="AD119" s="952">
        <f t="shared" si="124"/>
        <v>92.99</v>
      </c>
      <c r="AE119" s="952">
        <f t="shared" si="124"/>
        <v>60</v>
      </c>
      <c r="AF119" s="952">
        <f t="shared" si="124"/>
        <v>126.63</v>
      </c>
      <c r="AG119" s="952">
        <f t="shared" si="124"/>
        <v>0</v>
      </c>
      <c r="AH119" s="952">
        <f t="shared" si="124"/>
        <v>31</v>
      </c>
      <c r="AI119" s="952">
        <f t="shared" si="124"/>
        <v>136.06</v>
      </c>
      <c r="AJ119" s="952">
        <f t="shared" si="124"/>
        <v>41.77</v>
      </c>
      <c r="AK119" s="952">
        <f t="shared" si="124"/>
        <v>0</v>
      </c>
      <c r="AL119" s="952">
        <f t="shared" si="124"/>
        <v>551.16000000000008</v>
      </c>
      <c r="AM119" s="952">
        <f t="shared" ref="AM119:AZ119" si="125">AM125+AM129</f>
        <v>1</v>
      </c>
      <c r="AN119" s="952">
        <f t="shared" si="125"/>
        <v>0</v>
      </c>
      <c r="AO119" s="952">
        <f t="shared" si="125"/>
        <v>7.01</v>
      </c>
      <c r="AP119" s="952">
        <f t="shared" si="125"/>
        <v>0</v>
      </c>
      <c r="AQ119" s="952">
        <f t="shared" si="125"/>
        <v>0</v>
      </c>
      <c r="AR119" s="952">
        <f t="shared" si="125"/>
        <v>63.53</v>
      </c>
      <c r="AS119" s="952">
        <f t="shared" si="125"/>
        <v>92.99</v>
      </c>
      <c r="AT119" s="952">
        <f t="shared" si="125"/>
        <v>60</v>
      </c>
      <c r="AU119" s="952">
        <f t="shared" si="125"/>
        <v>118.63</v>
      </c>
      <c r="AV119" s="952">
        <f t="shared" si="125"/>
        <v>0</v>
      </c>
      <c r="AW119" s="952">
        <f t="shared" si="125"/>
        <v>31</v>
      </c>
      <c r="AX119" s="952">
        <f t="shared" si="125"/>
        <v>137.19999999999999</v>
      </c>
      <c r="AY119" s="952">
        <f t="shared" si="125"/>
        <v>39.800000000000004</v>
      </c>
      <c r="AZ119" s="952">
        <f t="shared" si="125"/>
        <v>0</v>
      </c>
      <c r="BA119" s="928">
        <f t="shared" si="94"/>
        <v>111.34545454545456</v>
      </c>
      <c r="BB119" s="928">
        <f t="shared" si="95"/>
        <v>91.03311586423321</v>
      </c>
      <c r="BC119" s="1837"/>
      <c r="BD119" s="988"/>
      <c r="BE119" s="987"/>
    </row>
    <row r="120" spans="1:58" s="1075" customFormat="1" ht="21.95" customHeight="1">
      <c r="A120" s="954"/>
      <c r="B120" s="1901" t="s">
        <v>591</v>
      </c>
      <c r="C120" s="947" t="s">
        <v>93</v>
      </c>
      <c r="D120" s="1170">
        <f t="shared" ref="D120" si="126">D126+D130</f>
        <v>1.34</v>
      </c>
      <c r="E120" s="1170">
        <f t="shared" si="116"/>
        <v>1.34</v>
      </c>
      <c r="F120" s="1170">
        <f t="shared" ref="F120:I120" si="127">F126+F130</f>
        <v>1.34</v>
      </c>
      <c r="G120" s="1170">
        <f t="shared" si="127"/>
        <v>1.34</v>
      </c>
      <c r="H120" s="1170">
        <f t="shared" si="127"/>
        <v>1.34</v>
      </c>
      <c r="I120" s="1170">
        <f t="shared" si="127"/>
        <v>0</v>
      </c>
      <c r="J120" s="1170">
        <f t="shared" ref="J120:V120" si="128">J126+J130</f>
        <v>0</v>
      </c>
      <c r="K120" s="1170">
        <f t="shared" si="128"/>
        <v>0</v>
      </c>
      <c r="L120" s="1170">
        <f t="shared" si="128"/>
        <v>0</v>
      </c>
      <c r="M120" s="1170">
        <f t="shared" si="128"/>
        <v>0</v>
      </c>
      <c r="N120" s="1170">
        <f t="shared" si="128"/>
        <v>0</v>
      </c>
      <c r="O120" s="1170">
        <f t="shared" si="128"/>
        <v>0</v>
      </c>
      <c r="P120" s="1170">
        <f t="shared" si="128"/>
        <v>0</v>
      </c>
      <c r="Q120" s="1170">
        <f t="shared" si="128"/>
        <v>0</v>
      </c>
      <c r="R120" s="1170">
        <f t="shared" si="128"/>
        <v>0</v>
      </c>
      <c r="S120" s="1170">
        <f t="shared" si="128"/>
        <v>0</v>
      </c>
      <c r="T120" s="1170">
        <f t="shared" si="128"/>
        <v>0</v>
      </c>
      <c r="U120" s="1170">
        <f t="shared" si="128"/>
        <v>1.34</v>
      </c>
      <c r="V120" s="1170">
        <f t="shared" si="128"/>
        <v>0</v>
      </c>
      <c r="W120" s="1170">
        <f>W126+W130</f>
        <v>13.2</v>
      </c>
      <c r="X120" s="1170">
        <f t="shared" ref="X120:AL120" si="129">X126+X130</f>
        <v>0</v>
      </c>
      <c r="Y120" s="1170">
        <f t="shared" si="129"/>
        <v>0</v>
      </c>
      <c r="Z120" s="1170">
        <f t="shared" si="129"/>
        <v>0</v>
      </c>
      <c r="AA120" s="1170">
        <f t="shared" si="129"/>
        <v>0</v>
      </c>
      <c r="AB120" s="1170">
        <f t="shared" si="129"/>
        <v>0</v>
      </c>
      <c r="AC120" s="1170">
        <f t="shared" si="129"/>
        <v>0</v>
      </c>
      <c r="AD120" s="1170">
        <f t="shared" si="129"/>
        <v>0</v>
      </c>
      <c r="AE120" s="1170">
        <f t="shared" si="129"/>
        <v>0</v>
      </c>
      <c r="AF120" s="1170">
        <f t="shared" si="129"/>
        <v>0</v>
      </c>
      <c r="AG120" s="1170">
        <f t="shared" si="129"/>
        <v>0</v>
      </c>
      <c r="AH120" s="1170">
        <f t="shared" si="129"/>
        <v>0</v>
      </c>
      <c r="AI120" s="1170">
        <f t="shared" si="129"/>
        <v>0</v>
      </c>
      <c r="AJ120" s="1170">
        <f t="shared" si="129"/>
        <v>13.2</v>
      </c>
      <c r="AK120" s="1170">
        <f t="shared" si="129"/>
        <v>0</v>
      </c>
      <c r="AL120" s="1170">
        <f t="shared" si="129"/>
        <v>13.77</v>
      </c>
      <c r="AM120" s="1170">
        <f t="shared" ref="AM120:AZ120" si="130">AM126+AM130</f>
        <v>0</v>
      </c>
      <c r="AN120" s="1170">
        <f t="shared" si="130"/>
        <v>0</v>
      </c>
      <c r="AO120" s="1170">
        <f t="shared" si="130"/>
        <v>0</v>
      </c>
      <c r="AP120" s="1170">
        <f t="shared" si="130"/>
        <v>0</v>
      </c>
      <c r="AQ120" s="1170">
        <f t="shared" si="130"/>
        <v>0</v>
      </c>
      <c r="AR120" s="1170">
        <f t="shared" si="130"/>
        <v>0</v>
      </c>
      <c r="AS120" s="1170">
        <f t="shared" si="130"/>
        <v>0</v>
      </c>
      <c r="AT120" s="1170">
        <f t="shared" si="130"/>
        <v>0</v>
      </c>
      <c r="AU120" s="1170">
        <f t="shared" si="130"/>
        <v>0</v>
      </c>
      <c r="AV120" s="1170">
        <f t="shared" si="130"/>
        <v>0</v>
      </c>
      <c r="AW120" s="1170">
        <f t="shared" si="130"/>
        <v>0</v>
      </c>
      <c r="AX120" s="1170">
        <f t="shared" si="130"/>
        <v>0</v>
      </c>
      <c r="AY120" s="1170">
        <f t="shared" si="130"/>
        <v>13.77</v>
      </c>
      <c r="AZ120" s="1170">
        <f t="shared" si="130"/>
        <v>0</v>
      </c>
      <c r="BA120" s="928">
        <f t="shared" si="94"/>
        <v>1027.6119402985073</v>
      </c>
      <c r="BB120" s="928">
        <f t="shared" si="95"/>
        <v>104.31818181818181</v>
      </c>
      <c r="BC120" s="1837"/>
      <c r="BD120" s="1633"/>
      <c r="BE120" s="987"/>
    </row>
    <row r="121" spans="1:58" s="1075" customFormat="1" ht="21.95" customHeight="1">
      <c r="A121" s="954"/>
      <c r="B121" s="1900" t="s">
        <v>31</v>
      </c>
      <c r="C121" s="954"/>
      <c r="D121" s="1816"/>
      <c r="E121" s="1816"/>
      <c r="F121" s="1816"/>
      <c r="G121" s="1816"/>
      <c r="H121" s="1816"/>
      <c r="I121" s="1816"/>
      <c r="J121" s="1816"/>
      <c r="K121" s="1816"/>
      <c r="L121" s="1816"/>
      <c r="M121" s="1816"/>
      <c r="N121" s="1816"/>
      <c r="O121" s="1816"/>
      <c r="P121" s="1816"/>
      <c r="Q121" s="1816"/>
      <c r="R121" s="1816"/>
      <c r="S121" s="1816"/>
      <c r="T121" s="1816"/>
      <c r="U121" s="1816"/>
      <c r="V121" s="1816"/>
      <c r="W121" s="1816"/>
      <c r="X121" s="1902"/>
      <c r="Y121" s="1902"/>
      <c r="Z121" s="1902"/>
      <c r="AA121" s="1902"/>
      <c r="AB121" s="1902"/>
      <c r="AC121" s="1902"/>
      <c r="AD121" s="1902"/>
      <c r="AE121" s="1902"/>
      <c r="AF121" s="1902"/>
      <c r="AG121" s="1902"/>
      <c r="AH121" s="1902"/>
      <c r="AI121" s="1902"/>
      <c r="AJ121" s="1902"/>
      <c r="AK121" s="1902"/>
      <c r="AL121" s="1902"/>
      <c r="AM121" s="1902"/>
      <c r="AN121" s="1902"/>
      <c r="AO121" s="1902"/>
      <c r="AP121" s="1902"/>
      <c r="AQ121" s="1902"/>
      <c r="AR121" s="1902"/>
      <c r="AS121" s="1902"/>
      <c r="AT121" s="1902"/>
      <c r="AU121" s="1902"/>
      <c r="AV121" s="1902"/>
      <c r="AW121" s="1902"/>
      <c r="AX121" s="1902"/>
      <c r="AY121" s="1902"/>
      <c r="AZ121" s="1902"/>
      <c r="BA121" s="928"/>
      <c r="BB121" s="928"/>
      <c r="BC121" s="1837"/>
      <c r="BD121" s="995"/>
      <c r="BE121" s="987"/>
    </row>
    <row r="122" spans="1:58" s="1092" customFormat="1" ht="21.95" customHeight="1">
      <c r="A122" s="1903"/>
      <c r="B122" s="1904" t="s">
        <v>560</v>
      </c>
      <c r="C122" s="1903" t="s">
        <v>93</v>
      </c>
      <c r="D122" s="1279">
        <v>277.58</v>
      </c>
      <c r="E122" s="1279">
        <v>306.60000000000002</v>
      </c>
      <c r="F122" s="1905">
        <f>SUM(F124:F125)</f>
        <v>278</v>
      </c>
      <c r="G122" s="1905">
        <f t="shared" ref="G122" si="131">SUM(G124:G125)</f>
        <v>277.58</v>
      </c>
      <c r="H122" s="1905">
        <f t="shared" ref="H122:AK122" si="132">SUM(H124:H126)</f>
        <v>306.63</v>
      </c>
      <c r="I122" s="1905">
        <f t="shared" si="132"/>
        <v>4</v>
      </c>
      <c r="J122" s="1905">
        <f t="shared" si="132"/>
        <v>22</v>
      </c>
      <c r="K122" s="1905">
        <f t="shared" si="132"/>
        <v>55</v>
      </c>
      <c r="L122" s="1905">
        <f t="shared" si="132"/>
        <v>5</v>
      </c>
      <c r="M122" s="1905">
        <f t="shared" si="132"/>
        <v>56.97</v>
      </c>
      <c r="N122" s="1905">
        <f t="shared" si="132"/>
        <v>60</v>
      </c>
      <c r="O122" s="1905">
        <f t="shared" si="132"/>
        <v>0</v>
      </c>
      <c r="P122" s="1905">
        <f t="shared" si="132"/>
        <v>0</v>
      </c>
      <c r="Q122" s="1905">
        <f t="shared" si="132"/>
        <v>64</v>
      </c>
      <c r="R122" s="1905">
        <f t="shared" si="132"/>
        <v>0</v>
      </c>
      <c r="S122" s="1905">
        <f t="shared" si="132"/>
        <v>32.1</v>
      </c>
      <c r="T122" s="1905">
        <f t="shared" si="132"/>
        <v>1.5</v>
      </c>
      <c r="U122" s="1905">
        <f t="shared" si="132"/>
        <v>3.03</v>
      </c>
      <c r="V122" s="1905">
        <f t="shared" si="132"/>
        <v>3.03</v>
      </c>
      <c r="W122" s="1905">
        <f t="shared" si="132"/>
        <v>386</v>
      </c>
      <c r="X122" s="1905">
        <f t="shared" si="132"/>
        <v>8</v>
      </c>
      <c r="Y122" s="1905">
        <f t="shared" si="132"/>
        <v>25</v>
      </c>
      <c r="Z122" s="1905">
        <f t="shared" si="132"/>
        <v>65</v>
      </c>
      <c r="AA122" s="1905">
        <f t="shared" si="132"/>
        <v>10</v>
      </c>
      <c r="AB122" s="1905">
        <f t="shared" si="132"/>
        <v>75</v>
      </c>
      <c r="AC122" s="1905">
        <f t="shared" si="132"/>
        <v>75</v>
      </c>
      <c r="AD122" s="1905">
        <f t="shared" si="132"/>
        <v>0</v>
      </c>
      <c r="AE122" s="1905">
        <f t="shared" si="132"/>
        <v>0</v>
      </c>
      <c r="AF122" s="1905">
        <f t="shared" si="132"/>
        <v>84</v>
      </c>
      <c r="AG122" s="1905">
        <f t="shared" si="132"/>
        <v>0</v>
      </c>
      <c r="AH122" s="1905">
        <f t="shared" si="132"/>
        <v>32</v>
      </c>
      <c r="AI122" s="1905">
        <f t="shared" si="132"/>
        <v>7</v>
      </c>
      <c r="AJ122" s="1905">
        <f t="shared" si="132"/>
        <v>5</v>
      </c>
      <c r="AK122" s="1905">
        <f t="shared" si="132"/>
        <v>0</v>
      </c>
      <c r="AL122" s="1204">
        <f>SUM(AL123:AL126)</f>
        <v>276.42999999999995</v>
      </c>
      <c r="AM122" s="1204">
        <f t="shared" ref="AM122:AZ122" si="133">SUM(AM123:AM126)</f>
        <v>2.59</v>
      </c>
      <c r="AN122" s="1204">
        <f t="shared" si="133"/>
        <v>18.639999999999997</v>
      </c>
      <c r="AO122" s="1204">
        <f t="shared" si="133"/>
        <v>45.38</v>
      </c>
      <c r="AP122" s="1204">
        <f t="shared" si="133"/>
        <v>5.7100000000000009</v>
      </c>
      <c r="AQ122" s="1204">
        <f t="shared" si="133"/>
        <v>49.16</v>
      </c>
      <c r="AR122" s="1204">
        <f t="shared" si="133"/>
        <v>55.809999999999995</v>
      </c>
      <c r="AS122" s="1204">
        <f t="shared" si="133"/>
        <v>0</v>
      </c>
      <c r="AT122" s="1204">
        <f t="shared" si="133"/>
        <v>0</v>
      </c>
      <c r="AU122" s="1204">
        <f t="shared" si="133"/>
        <v>61.16</v>
      </c>
      <c r="AV122" s="1204">
        <f t="shared" si="133"/>
        <v>0</v>
      </c>
      <c r="AW122" s="1204">
        <f t="shared" si="133"/>
        <v>32.099999999999994</v>
      </c>
      <c r="AX122" s="1204">
        <f t="shared" si="133"/>
        <v>2.02</v>
      </c>
      <c r="AY122" s="1204">
        <f t="shared" si="133"/>
        <v>3.86</v>
      </c>
      <c r="AZ122" s="1204">
        <f t="shared" si="133"/>
        <v>0</v>
      </c>
      <c r="BA122" s="928">
        <f t="shared" si="94"/>
        <v>99.43525179856114</v>
      </c>
      <c r="BB122" s="928">
        <f t="shared" si="95"/>
        <v>71.613989637305693</v>
      </c>
      <c r="BC122" s="1906"/>
      <c r="BD122" s="995"/>
      <c r="BE122" s="987"/>
    </row>
    <row r="123" spans="1:58" s="1064" customFormat="1" ht="21.95" customHeight="1">
      <c r="A123" s="1907"/>
      <c r="B123" s="1908" t="s">
        <v>965</v>
      </c>
      <c r="C123" s="1907" t="s">
        <v>93</v>
      </c>
      <c r="D123" s="938"/>
      <c r="E123" s="938"/>
      <c r="F123" s="1909"/>
      <c r="G123" s="1909"/>
      <c r="H123" s="1909"/>
      <c r="I123" s="1909"/>
      <c r="J123" s="1909"/>
      <c r="K123" s="1909"/>
      <c r="L123" s="1909"/>
      <c r="M123" s="1909"/>
      <c r="N123" s="1909"/>
      <c r="O123" s="1909"/>
      <c r="P123" s="1909"/>
      <c r="Q123" s="1909"/>
      <c r="R123" s="1909"/>
      <c r="S123" s="1909"/>
      <c r="T123" s="1909"/>
      <c r="U123" s="1909"/>
      <c r="V123" s="1909"/>
      <c r="W123" s="1909"/>
      <c r="X123" s="1909"/>
      <c r="Y123" s="1909"/>
      <c r="Z123" s="1909"/>
      <c r="AA123" s="1909"/>
      <c r="AB123" s="1909"/>
      <c r="AC123" s="1909"/>
      <c r="AD123" s="1909"/>
      <c r="AE123" s="1909"/>
      <c r="AF123" s="1909"/>
      <c r="AG123" s="1909"/>
      <c r="AH123" s="1909"/>
      <c r="AI123" s="1909"/>
      <c r="AJ123" s="1909"/>
      <c r="AK123" s="1909"/>
      <c r="AL123" s="1217">
        <f t="shared" ref="AL123" si="134">AM123+AN123+AO123+AP123+AQ123+AR123+AS123+AT123+AU123+AV123+AW123+AX123+AY123+AZ123</f>
        <v>6.9700000000000006</v>
      </c>
      <c r="AM123" s="1217">
        <v>1.4200000000000002</v>
      </c>
      <c r="AN123" s="1217">
        <v>0.13</v>
      </c>
      <c r="AO123" s="1217">
        <v>0.88000000000000012</v>
      </c>
      <c r="AP123" s="1217">
        <v>0.87</v>
      </c>
      <c r="AQ123" s="1217">
        <v>0.32</v>
      </c>
      <c r="AR123" s="1217">
        <v>2.4299999999999997</v>
      </c>
      <c r="AS123" s="1217"/>
      <c r="AT123" s="1217"/>
      <c r="AU123" s="1217">
        <v>0.89999999999999991</v>
      </c>
      <c r="AV123" s="1217"/>
      <c r="AW123" s="1217"/>
      <c r="AX123" s="1217">
        <v>0.02</v>
      </c>
      <c r="AY123" s="1217"/>
      <c r="AZ123" s="1217"/>
      <c r="BA123" s="928"/>
      <c r="BB123" s="928"/>
      <c r="BC123" s="1910"/>
      <c r="BD123" s="1012"/>
      <c r="BE123" s="987"/>
    </row>
    <row r="124" spans="1:58" s="1064" customFormat="1" ht="21.95" customHeight="1">
      <c r="A124" s="1907"/>
      <c r="B124" s="955" t="s">
        <v>155</v>
      </c>
      <c r="C124" s="947" t="s">
        <v>93</v>
      </c>
      <c r="D124" s="938">
        <v>203.73999999999998</v>
      </c>
      <c r="E124" s="938">
        <v>246.6</v>
      </c>
      <c r="F124" s="1219">
        <v>253</v>
      </c>
      <c r="G124" s="1219">
        <v>252.9</v>
      </c>
      <c r="H124" s="1909">
        <f>SUM(I124:V124)</f>
        <v>243.6</v>
      </c>
      <c r="I124" s="1909">
        <v>4</v>
      </c>
      <c r="J124" s="1909">
        <v>22</v>
      </c>
      <c r="K124" s="1909">
        <v>55</v>
      </c>
      <c r="L124" s="1909">
        <v>5</v>
      </c>
      <c r="M124" s="1909"/>
      <c r="N124" s="1909">
        <v>60</v>
      </c>
      <c r="O124" s="1909"/>
      <c r="P124" s="1909"/>
      <c r="Q124" s="1909">
        <v>64</v>
      </c>
      <c r="R124" s="1909"/>
      <c r="S124" s="1909">
        <v>32.1</v>
      </c>
      <c r="T124" s="1909">
        <v>1.5</v>
      </c>
      <c r="U124" s="1909"/>
      <c r="V124" s="1909"/>
      <c r="W124" s="1909">
        <f>SUM(X124:AK124)</f>
        <v>308</v>
      </c>
      <c r="X124" s="1909">
        <v>8</v>
      </c>
      <c r="Y124" s="1909">
        <v>25</v>
      </c>
      <c r="Z124" s="1909">
        <v>65</v>
      </c>
      <c r="AA124" s="1909">
        <v>10</v>
      </c>
      <c r="AB124" s="1909">
        <v>10</v>
      </c>
      <c r="AC124" s="1909">
        <v>75</v>
      </c>
      <c r="AD124" s="1909"/>
      <c r="AE124" s="1909"/>
      <c r="AF124" s="1909">
        <v>76</v>
      </c>
      <c r="AG124" s="1909"/>
      <c r="AH124" s="1909">
        <v>32</v>
      </c>
      <c r="AI124" s="1909">
        <v>7</v>
      </c>
      <c r="AJ124" s="1911"/>
      <c r="AK124" s="1909">
        <v>0</v>
      </c>
      <c r="AL124" s="1217">
        <f t="shared" ref="AL124:AL126" si="135">AM124+AN124+AO124+AP124+AQ124+AR124+AS124+AT124+AU124+AV124+AW124+AX124+AY124+AZ124</f>
        <v>245.17999999999998</v>
      </c>
      <c r="AM124" s="1217">
        <v>1.17</v>
      </c>
      <c r="AN124" s="1217">
        <v>18.509999999999998</v>
      </c>
      <c r="AO124" s="1217">
        <v>44.49</v>
      </c>
      <c r="AP124" s="1217">
        <v>4.8400000000000007</v>
      </c>
      <c r="AQ124" s="1217">
        <v>48.839999999999996</v>
      </c>
      <c r="AR124" s="1217">
        <v>33.849999999999994</v>
      </c>
      <c r="AS124" s="1217"/>
      <c r="AT124" s="1217"/>
      <c r="AU124" s="1217">
        <v>60.26</v>
      </c>
      <c r="AV124" s="1217"/>
      <c r="AW124" s="1217">
        <v>32.099999999999994</v>
      </c>
      <c r="AX124" s="1217">
        <v>0.86</v>
      </c>
      <c r="AY124" s="1912">
        <v>0.26</v>
      </c>
      <c r="AZ124" s="1217"/>
      <c r="BA124" s="928">
        <f t="shared" si="94"/>
        <v>96.909090909090907</v>
      </c>
      <c r="BB124" s="928">
        <f t="shared" si="95"/>
        <v>79.603896103896091</v>
      </c>
      <c r="BC124" s="1910"/>
      <c r="BD124" s="1012"/>
      <c r="BE124" s="987"/>
      <c r="BF124" s="1092"/>
    </row>
    <row r="125" spans="1:58" s="1064" customFormat="1" ht="21.95" customHeight="1">
      <c r="A125" s="1907"/>
      <c r="B125" s="955" t="s">
        <v>156</v>
      </c>
      <c r="C125" s="947" t="s">
        <v>93</v>
      </c>
      <c r="D125" s="938">
        <v>73.84</v>
      </c>
      <c r="E125" s="938">
        <v>60</v>
      </c>
      <c r="F125" s="1219">
        <v>25</v>
      </c>
      <c r="G125" s="1219">
        <v>24.68</v>
      </c>
      <c r="H125" s="1909">
        <f t="shared" ref="H125:H126" si="136">SUM(I125:V125)</f>
        <v>63.03</v>
      </c>
      <c r="I125" s="1909"/>
      <c r="J125" s="1909"/>
      <c r="K125" s="1909"/>
      <c r="L125" s="1909"/>
      <c r="M125" s="1909">
        <v>56.97</v>
      </c>
      <c r="N125" s="1909"/>
      <c r="O125" s="1909"/>
      <c r="P125" s="1909"/>
      <c r="Q125" s="1909"/>
      <c r="R125" s="1909"/>
      <c r="S125" s="1909"/>
      <c r="T125" s="1909"/>
      <c r="U125" s="1909">
        <v>3.03</v>
      </c>
      <c r="V125" s="1909">
        <v>3.03</v>
      </c>
      <c r="W125" s="1909">
        <f t="shared" ref="W125:W126" si="137">SUM(X125:AK125)</f>
        <v>78</v>
      </c>
      <c r="X125" s="1909"/>
      <c r="Y125" s="1909"/>
      <c r="Z125" s="1909"/>
      <c r="AA125" s="1909"/>
      <c r="AB125" s="1909">
        <v>65</v>
      </c>
      <c r="AC125" s="1909"/>
      <c r="AD125" s="1909"/>
      <c r="AE125" s="1909"/>
      <c r="AF125" s="1909">
        <v>8</v>
      </c>
      <c r="AG125" s="1913"/>
      <c r="AH125" s="1909"/>
      <c r="AI125" s="1909"/>
      <c r="AJ125" s="1909">
        <v>5</v>
      </c>
      <c r="AK125" s="1909"/>
      <c r="AL125" s="1217">
        <f t="shared" si="135"/>
        <v>23.710000000000004</v>
      </c>
      <c r="AM125" s="1217">
        <v>0</v>
      </c>
      <c r="AN125" s="1217"/>
      <c r="AO125" s="1217">
        <v>0.01</v>
      </c>
      <c r="AP125" s="1217"/>
      <c r="AQ125" s="1217"/>
      <c r="AR125" s="1217">
        <v>19.53</v>
      </c>
      <c r="AS125" s="1217"/>
      <c r="AT125" s="1217"/>
      <c r="AU125" s="1217"/>
      <c r="AV125" s="1217"/>
      <c r="AW125" s="1217"/>
      <c r="AX125" s="1217">
        <v>1.1400000000000001</v>
      </c>
      <c r="AY125" s="1217">
        <v>3.03</v>
      </c>
      <c r="AZ125" s="1217"/>
      <c r="BA125" s="928">
        <f t="shared" si="94"/>
        <v>94.840000000000018</v>
      </c>
      <c r="BB125" s="928">
        <f t="shared" si="95"/>
        <v>30.397435897435901</v>
      </c>
      <c r="BC125" s="1910"/>
      <c r="BD125" s="1012"/>
      <c r="BE125" s="987"/>
      <c r="BF125" s="1092"/>
    </row>
    <row r="126" spans="1:58" s="1064" customFormat="1" ht="21.95" customHeight="1">
      <c r="A126" s="1907"/>
      <c r="B126" s="1901" t="s">
        <v>591</v>
      </c>
      <c r="C126" s="947" t="s">
        <v>93</v>
      </c>
      <c r="D126" s="938"/>
      <c r="E126" s="1163"/>
      <c r="F126" s="1163"/>
      <c r="G126" s="1163"/>
      <c r="H126" s="1909">
        <f t="shared" si="136"/>
        <v>0</v>
      </c>
      <c r="I126" s="1163"/>
      <c r="J126" s="1163"/>
      <c r="K126" s="1163"/>
      <c r="L126" s="1163"/>
      <c r="M126" s="1163"/>
      <c r="N126" s="1163"/>
      <c r="O126" s="1163"/>
      <c r="P126" s="1163"/>
      <c r="Q126" s="1163"/>
      <c r="R126" s="1163"/>
      <c r="S126" s="1163"/>
      <c r="T126" s="1163"/>
      <c r="U126" s="1163"/>
      <c r="V126" s="1163"/>
      <c r="W126" s="1909">
        <f t="shared" si="137"/>
        <v>0</v>
      </c>
      <c r="X126" s="1192"/>
      <c r="Y126" s="1192"/>
      <c r="Z126" s="1192"/>
      <c r="AA126" s="1192"/>
      <c r="AB126" s="1192"/>
      <c r="AC126" s="1192"/>
      <c r="AD126" s="1192"/>
      <c r="AE126" s="1192"/>
      <c r="AF126" s="1192"/>
      <c r="AG126" s="1192"/>
      <c r="AH126" s="1192"/>
      <c r="AI126" s="1192"/>
      <c r="AJ126" s="1192"/>
      <c r="AK126" s="1192"/>
      <c r="AL126" s="1217">
        <f t="shared" si="135"/>
        <v>0.56999999999999995</v>
      </c>
      <c r="AM126" s="1217"/>
      <c r="AN126" s="1217"/>
      <c r="AO126" s="1217"/>
      <c r="AP126" s="1217"/>
      <c r="AQ126" s="1217"/>
      <c r="AR126" s="1217"/>
      <c r="AS126" s="1217"/>
      <c r="AT126" s="1217"/>
      <c r="AU126" s="1217"/>
      <c r="AV126" s="1217"/>
      <c r="AW126" s="1217"/>
      <c r="AX126" s="1217"/>
      <c r="AY126" s="1217">
        <v>0.56999999999999995</v>
      </c>
      <c r="AZ126" s="1217"/>
      <c r="BA126" s="928"/>
      <c r="BB126" s="928"/>
      <c r="BC126" s="1910"/>
      <c r="BD126" s="995"/>
      <c r="BE126" s="987"/>
    </row>
    <row r="127" spans="1:58" s="1032" customFormat="1" ht="21.95" customHeight="1">
      <c r="A127" s="951"/>
      <c r="B127" s="1914" t="s">
        <v>561</v>
      </c>
      <c r="C127" s="951" t="s">
        <v>93</v>
      </c>
      <c r="D127" s="1279">
        <v>2587.3100000000004</v>
      </c>
      <c r="E127" s="1279">
        <v>3198.12</v>
      </c>
      <c r="F127" s="1279">
        <f t="shared" ref="F127" si="138">F128+F129+F130</f>
        <v>3245.57</v>
      </c>
      <c r="G127" s="1279">
        <f>SUM(G128:G130)</f>
        <v>3786.08</v>
      </c>
      <c r="H127" s="1279">
        <f>SUM(I127:V127)</f>
        <v>2919.13</v>
      </c>
      <c r="I127" s="1279">
        <f>SUM(I128:I130)</f>
        <v>63.73</v>
      </c>
      <c r="J127" s="1279">
        <f t="shared" ref="J127:V127" si="139">SUM(J128:J130)</f>
        <v>103.66999999999999</v>
      </c>
      <c r="K127" s="1279">
        <f t="shared" si="139"/>
        <v>227.14000000000001</v>
      </c>
      <c r="L127" s="1279">
        <f t="shared" si="139"/>
        <v>228.28</v>
      </c>
      <c r="M127" s="1279">
        <f t="shared" si="139"/>
        <v>238.58</v>
      </c>
      <c r="N127" s="1279">
        <f t="shared" si="139"/>
        <v>208.09</v>
      </c>
      <c r="O127" s="1279">
        <f t="shared" si="139"/>
        <v>480.15999999999997</v>
      </c>
      <c r="P127" s="1279">
        <f t="shared" si="139"/>
        <v>118.78999999999999</v>
      </c>
      <c r="Q127" s="1279">
        <f t="shared" si="139"/>
        <v>753.51</v>
      </c>
      <c r="R127" s="1279">
        <f t="shared" si="139"/>
        <v>1.56</v>
      </c>
      <c r="S127" s="1279">
        <f t="shared" si="139"/>
        <v>105.07</v>
      </c>
      <c r="T127" s="1279">
        <f t="shared" si="139"/>
        <v>200.32</v>
      </c>
      <c r="U127" s="1279">
        <f t="shared" si="139"/>
        <v>97.38000000000001</v>
      </c>
      <c r="V127" s="1279">
        <f t="shared" si="139"/>
        <v>92.850000000000009</v>
      </c>
      <c r="W127" s="1279">
        <f>SUM(X127:AK127)</f>
        <v>3759.45</v>
      </c>
      <c r="X127" s="1279">
        <f>SUM(X128:X130)</f>
        <v>73.55</v>
      </c>
      <c r="Y127" s="1279">
        <f t="shared" ref="Y127:AK127" si="140">SUM(Y128:Y130)</f>
        <v>123.78999999999999</v>
      </c>
      <c r="Z127" s="1279">
        <f t="shared" si="140"/>
        <v>247.3</v>
      </c>
      <c r="AA127" s="1279">
        <f t="shared" si="140"/>
        <v>254.67</v>
      </c>
      <c r="AB127" s="1279">
        <f t="shared" si="140"/>
        <v>291.05</v>
      </c>
      <c r="AC127" s="1279">
        <f t="shared" si="140"/>
        <v>238.09</v>
      </c>
      <c r="AD127" s="1279">
        <f t="shared" si="140"/>
        <v>515.41999999999996</v>
      </c>
      <c r="AE127" s="1279">
        <f t="shared" si="140"/>
        <v>328.99</v>
      </c>
      <c r="AF127" s="1279">
        <f t="shared" si="140"/>
        <v>987.83999999999992</v>
      </c>
      <c r="AG127" s="1279">
        <f t="shared" si="140"/>
        <v>1.56</v>
      </c>
      <c r="AH127" s="1279">
        <f t="shared" si="140"/>
        <v>115.17999999999999</v>
      </c>
      <c r="AI127" s="1279">
        <f t="shared" si="140"/>
        <v>210.32</v>
      </c>
      <c r="AJ127" s="1279">
        <f t="shared" si="140"/>
        <v>209.24</v>
      </c>
      <c r="AK127" s="1279">
        <f t="shared" si="140"/>
        <v>162.44999999999999</v>
      </c>
      <c r="AL127" s="1915">
        <f>SUM(AM127:AZ127)</f>
        <v>3759.45</v>
      </c>
      <c r="AM127" s="1915">
        <f>SUM(AM128:AM130)</f>
        <v>73.55</v>
      </c>
      <c r="AN127" s="1915">
        <f t="shared" ref="AN127:AZ127" si="141">SUM(AN128:AN130)</f>
        <v>123.78999999999999</v>
      </c>
      <c r="AO127" s="1915">
        <f t="shared" si="141"/>
        <v>247.3</v>
      </c>
      <c r="AP127" s="1915">
        <f t="shared" si="141"/>
        <v>254.67</v>
      </c>
      <c r="AQ127" s="1915">
        <f t="shared" si="141"/>
        <v>291.05</v>
      </c>
      <c r="AR127" s="1915">
        <f t="shared" si="141"/>
        <v>238.09</v>
      </c>
      <c r="AS127" s="1915">
        <f t="shared" si="141"/>
        <v>515.41999999999996</v>
      </c>
      <c r="AT127" s="1915">
        <f t="shared" si="141"/>
        <v>328.99</v>
      </c>
      <c r="AU127" s="1915">
        <f t="shared" si="141"/>
        <v>987.83999999999992</v>
      </c>
      <c r="AV127" s="1915">
        <f t="shared" si="141"/>
        <v>1.56</v>
      </c>
      <c r="AW127" s="1915">
        <f t="shared" si="141"/>
        <v>115.17999999999999</v>
      </c>
      <c r="AX127" s="1915">
        <f t="shared" si="141"/>
        <v>210.32</v>
      </c>
      <c r="AY127" s="1915">
        <f t="shared" si="141"/>
        <v>209.24</v>
      </c>
      <c r="AZ127" s="1915">
        <f t="shared" si="141"/>
        <v>162.44999999999999</v>
      </c>
      <c r="BA127" s="928">
        <f t="shared" si="94"/>
        <v>115.83327427847804</v>
      </c>
      <c r="BB127" s="928">
        <f t="shared" si="95"/>
        <v>100</v>
      </c>
      <c r="BC127" s="1895"/>
      <c r="BD127" s="995"/>
      <c r="BE127" s="1006"/>
    </row>
    <row r="128" spans="1:58" s="1003" customFormat="1" ht="21.95" customHeight="1">
      <c r="A128" s="947"/>
      <c r="B128" s="955" t="s">
        <v>155</v>
      </c>
      <c r="C128" s="947" t="s">
        <v>93</v>
      </c>
      <c r="D128" s="927">
        <v>2166.0200000000004</v>
      </c>
      <c r="E128" s="927">
        <v>2774.23</v>
      </c>
      <c r="F128" s="927">
        <v>2774.23</v>
      </c>
      <c r="G128" s="927">
        <v>3229.39</v>
      </c>
      <c r="H128" s="937">
        <f>SUM(I128:V128)</f>
        <v>2450.34</v>
      </c>
      <c r="I128" s="927">
        <v>62.73</v>
      </c>
      <c r="J128" s="927">
        <v>103.66999999999999</v>
      </c>
      <c r="K128" s="927">
        <v>220.14000000000001</v>
      </c>
      <c r="L128" s="927">
        <v>228.28</v>
      </c>
      <c r="M128" s="927">
        <v>238.58</v>
      </c>
      <c r="N128" s="927">
        <v>164.09</v>
      </c>
      <c r="O128" s="927">
        <v>387.16999999999996</v>
      </c>
      <c r="P128" s="927">
        <v>118.78999999999999</v>
      </c>
      <c r="Q128" s="927">
        <v>634.88</v>
      </c>
      <c r="R128" s="927">
        <v>1.56</v>
      </c>
      <c r="S128" s="927">
        <v>74.069999999999993</v>
      </c>
      <c r="T128" s="927">
        <v>64.260000000000005</v>
      </c>
      <c r="U128" s="927">
        <v>59.27</v>
      </c>
      <c r="V128" s="927">
        <v>92.850000000000009</v>
      </c>
      <c r="W128" s="937">
        <f>SUM(X128:AK128)</f>
        <v>3218.7999999999997</v>
      </c>
      <c r="X128" s="956">
        <v>72.55</v>
      </c>
      <c r="Y128" s="956">
        <v>123.78999999999999</v>
      </c>
      <c r="Z128" s="956">
        <v>240.3</v>
      </c>
      <c r="AA128" s="956">
        <v>254.67</v>
      </c>
      <c r="AB128" s="956">
        <v>291.05</v>
      </c>
      <c r="AC128" s="956">
        <v>194.09</v>
      </c>
      <c r="AD128" s="956">
        <v>422.43</v>
      </c>
      <c r="AE128" s="956">
        <v>268.99</v>
      </c>
      <c r="AF128" s="956">
        <v>869.20999999999992</v>
      </c>
      <c r="AG128" s="956">
        <v>1.56</v>
      </c>
      <c r="AH128" s="956">
        <v>84.179999999999993</v>
      </c>
      <c r="AI128" s="956">
        <v>74.260000000000005</v>
      </c>
      <c r="AJ128" s="956">
        <v>159.27000000000001</v>
      </c>
      <c r="AK128" s="956">
        <v>162.44999999999999</v>
      </c>
      <c r="AL128" s="1915">
        <f t="shared" ref="AL128:AL129" si="142">SUM(AM128:AZ128)</f>
        <v>3218.7999999999997</v>
      </c>
      <c r="AM128" s="1217">
        <v>72.55</v>
      </c>
      <c r="AN128" s="1217">
        <v>123.78999999999999</v>
      </c>
      <c r="AO128" s="1217">
        <v>240.3</v>
      </c>
      <c r="AP128" s="1217">
        <v>254.67</v>
      </c>
      <c r="AQ128" s="1217">
        <v>291.05</v>
      </c>
      <c r="AR128" s="1217">
        <v>194.09</v>
      </c>
      <c r="AS128" s="1217">
        <v>422.43</v>
      </c>
      <c r="AT128" s="1217">
        <v>268.99</v>
      </c>
      <c r="AU128" s="1217">
        <v>869.20999999999992</v>
      </c>
      <c r="AV128" s="1217">
        <v>1.56</v>
      </c>
      <c r="AW128" s="1217">
        <v>84.179999999999993</v>
      </c>
      <c r="AX128" s="1217">
        <v>74.260000000000005</v>
      </c>
      <c r="AY128" s="1217">
        <v>159.27000000000001</v>
      </c>
      <c r="AZ128" s="1217">
        <v>162.44999999999999</v>
      </c>
      <c r="BA128" s="928">
        <f t="shared" si="94"/>
        <v>116.0249871135414</v>
      </c>
      <c r="BB128" s="928">
        <f t="shared" si="95"/>
        <v>100</v>
      </c>
      <c r="BC128" s="1797"/>
      <c r="BD128" s="1012"/>
      <c r="BE128" s="987"/>
    </row>
    <row r="129" spans="1:58" s="1003" customFormat="1" ht="21.95" customHeight="1">
      <c r="A129" s="947"/>
      <c r="B129" s="955" t="s">
        <v>156</v>
      </c>
      <c r="C129" s="947" t="s">
        <v>93</v>
      </c>
      <c r="D129" s="927">
        <v>419.95</v>
      </c>
      <c r="E129" s="927">
        <v>422.54999999999995</v>
      </c>
      <c r="F129" s="927">
        <v>470</v>
      </c>
      <c r="G129" s="927">
        <v>555.35</v>
      </c>
      <c r="H129" s="937">
        <f t="shared" ref="H129:H130" si="143">SUM(I129:V129)</f>
        <v>467.45</v>
      </c>
      <c r="I129" s="927">
        <v>1</v>
      </c>
      <c r="J129" s="927"/>
      <c r="K129" s="927">
        <v>7</v>
      </c>
      <c r="L129" s="927"/>
      <c r="M129" s="927"/>
      <c r="N129" s="927">
        <v>44</v>
      </c>
      <c r="O129" s="927">
        <v>92.99</v>
      </c>
      <c r="P129" s="927"/>
      <c r="Q129" s="927">
        <v>118.63</v>
      </c>
      <c r="R129" s="927">
        <v>0</v>
      </c>
      <c r="S129" s="927">
        <v>31</v>
      </c>
      <c r="T129" s="927">
        <v>136.06</v>
      </c>
      <c r="U129" s="927">
        <v>36.770000000000003</v>
      </c>
      <c r="V129" s="927"/>
      <c r="W129" s="937">
        <f t="shared" ref="W129:W130" si="144">SUM(X129:AK129)</f>
        <v>527.45000000000005</v>
      </c>
      <c r="X129" s="956">
        <v>1</v>
      </c>
      <c r="Y129" s="956"/>
      <c r="Z129" s="956">
        <v>7</v>
      </c>
      <c r="AA129" s="956"/>
      <c r="AB129" s="956"/>
      <c r="AC129" s="956">
        <v>44</v>
      </c>
      <c r="AD129" s="956">
        <v>92.99</v>
      </c>
      <c r="AE129" s="956">
        <v>60</v>
      </c>
      <c r="AF129" s="956">
        <v>118.63</v>
      </c>
      <c r="AG129" s="956">
        <v>0</v>
      </c>
      <c r="AH129" s="956">
        <v>31</v>
      </c>
      <c r="AI129" s="956">
        <v>136.06</v>
      </c>
      <c r="AJ129" s="956">
        <v>36.770000000000003</v>
      </c>
      <c r="AK129" s="956"/>
      <c r="AL129" s="1915">
        <f t="shared" si="142"/>
        <v>527.45000000000005</v>
      </c>
      <c r="AM129" s="1217">
        <v>1</v>
      </c>
      <c r="AN129" s="1217"/>
      <c r="AO129" s="1217">
        <v>7</v>
      </c>
      <c r="AP129" s="1217"/>
      <c r="AQ129" s="1217"/>
      <c r="AR129" s="1217">
        <v>44</v>
      </c>
      <c r="AS129" s="1217">
        <v>92.99</v>
      </c>
      <c r="AT129" s="1217">
        <v>60</v>
      </c>
      <c r="AU129" s="1217">
        <v>118.63</v>
      </c>
      <c r="AV129" s="1217">
        <v>0</v>
      </c>
      <c r="AW129" s="1217">
        <v>31</v>
      </c>
      <c r="AX129" s="1217">
        <v>136.06</v>
      </c>
      <c r="AY129" s="1217">
        <v>36.770000000000003</v>
      </c>
      <c r="AZ129" s="1217"/>
      <c r="BA129" s="928">
        <f t="shared" si="94"/>
        <v>112.22340425531915</v>
      </c>
      <c r="BB129" s="928">
        <f t="shared" si="95"/>
        <v>100</v>
      </c>
      <c r="BC129" s="1797"/>
      <c r="BD129" s="1012"/>
      <c r="BE129" s="987"/>
    </row>
    <row r="130" spans="1:58" s="1003" customFormat="1" ht="21.95" customHeight="1">
      <c r="A130" s="947"/>
      <c r="B130" s="1901" t="s">
        <v>591</v>
      </c>
      <c r="C130" s="947" t="s">
        <v>93</v>
      </c>
      <c r="D130" s="933">
        <v>1.34</v>
      </c>
      <c r="E130" s="933">
        <v>1.34</v>
      </c>
      <c r="F130" s="933">
        <v>1.34</v>
      </c>
      <c r="G130" s="933">
        <v>1.34</v>
      </c>
      <c r="H130" s="933">
        <f t="shared" si="143"/>
        <v>1.34</v>
      </c>
      <c r="I130" s="933"/>
      <c r="J130" s="933"/>
      <c r="K130" s="933"/>
      <c r="L130" s="933"/>
      <c r="M130" s="933"/>
      <c r="N130" s="933"/>
      <c r="O130" s="933"/>
      <c r="P130" s="933"/>
      <c r="Q130" s="933"/>
      <c r="R130" s="933"/>
      <c r="S130" s="933"/>
      <c r="T130" s="933"/>
      <c r="U130" s="933">
        <v>1.34</v>
      </c>
      <c r="V130" s="933"/>
      <c r="W130" s="933">
        <f t="shared" si="144"/>
        <v>13.2</v>
      </c>
      <c r="X130" s="957"/>
      <c r="Y130" s="957"/>
      <c r="Z130" s="957"/>
      <c r="AA130" s="957"/>
      <c r="AB130" s="957"/>
      <c r="AC130" s="957"/>
      <c r="AD130" s="957"/>
      <c r="AE130" s="957"/>
      <c r="AF130" s="957"/>
      <c r="AG130" s="957"/>
      <c r="AH130" s="957"/>
      <c r="AI130" s="957"/>
      <c r="AJ130" s="957">
        <v>13.2</v>
      </c>
      <c r="AK130" s="957"/>
      <c r="AL130" s="1154">
        <f>SUM(AM130:AZ130)</f>
        <v>13.2</v>
      </c>
      <c r="AM130" s="1916"/>
      <c r="AN130" s="1916"/>
      <c r="AO130" s="1916"/>
      <c r="AP130" s="1916"/>
      <c r="AQ130" s="1916"/>
      <c r="AR130" s="1916"/>
      <c r="AS130" s="1916"/>
      <c r="AT130" s="1916"/>
      <c r="AU130" s="1916"/>
      <c r="AV130" s="1916"/>
      <c r="AW130" s="1916"/>
      <c r="AX130" s="1916"/>
      <c r="AY130" s="1916">
        <v>13.2</v>
      </c>
      <c r="AZ130" s="1916"/>
      <c r="BA130" s="928">
        <f t="shared" si="94"/>
        <v>985.07462686567158</v>
      </c>
      <c r="BB130" s="928">
        <f t="shared" si="95"/>
        <v>99.999999999999986</v>
      </c>
      <c r="BC130" s="1797"/>
      <c r="BD130" s="1012"/>
      <c r="BE130" s="987"/>
    </row>
    <row r="131" spans="1:58" s="1075" customFormat="1" ht="15" hidden="1">
      <c r="A131" s="954" t="s">
        <v>157</v>
      </c>
      <c r="B131" s="1917" t="s">
        <v>158</v>
      </c>
      <c r="C131" s="954" t="s">
        <v>93</v>
      </c>
      <c r="D131" s="958"/>
      <c r="E131" s="958"/>
      <c r="F131" s="958">
        <v>1734.31</v>
      </c>
      <c r="G131" s="958"/>
      <c r="H131" s="958"/>
      <c r="I131" s="958"/>
      <c r="J131" s="958"/>
      <c r="K131" s="958"/>
      <c r="L131" s="958"/>
      <c r="M131" s="958"/>
      <c r="N131" s="958"/>
      <c r="O131" s="958"/>
      <c r="P131" s="958"/>
      <c r="Q131" s="958"/>
      <c r="R131" s="958"/>
      <c r="S131" s="958"/>
      <c r="T131" s="958"/>
      <c r="U131" s="958"/>
      <c r="V131" s="958"/>
      <c r="W131" s="1918"/>
      <c r="X131" s="1918"/>
      <c r="Y131" s="1918"/>
      <c r="Z131" s="1918"/>
      <c r="AA131" s="1918"/>
      <c r="AB131" s="1918"/>
      <c r="AC131" s="1918"/>
      <c r="AD131" s="1918"/>
      <c r="AE131" s="1918"/>
      <c r="AF131" s="1918"/>
      <c r="AG131" s="1918"/>
      <c r="AH131" s="1918"/>
      <c r="AI131" s="1918"/>
      <c r="AJ131" s="1918"/>
      <c r="AK131" s="1918"/>
      <c r="AL131" s="1918"/>
      <c r="AM131" s="1918"/>
      <c r="AN131" s="1918"/>
      <c r="AO131" s="1918"/>
      <c r="AP131" s="1918"/>
      <c r="AQ131" s="1918"/>
      <c r="AR131" s="1918"/>
      <c r="AS131" s="1918"/>
      <c r="AT131" s="1918"/>
      <c r="AU131" s="1918"/>
      <c r="AV131" s="1918"/>
      <c r="AW131" s="1918"/>
      <c r="AX131" s="1918"/>
      <c r="AY131" s="1918"/>
      <c r="AZ131" s="1918"/>
      <c r="BA131" s="928">
        <f t="shared" si="94"/>
        <v>0</v>
      </c>
      <c r="BB131" s="928" t="e">
        <f t="shared" si="95"/>
        <v>#DIV/0!</v>
      </c>
      <c r="BC131" s="1837"/>
      <c r="BD131" s="995"/>
      <c r="BE131" s="987"/>
    </row>
    <row r="132" spans="1:58" s="1075" customFormat="1" ht="21.95" customHeight="1">
      <c r="A132" s="954" t="s">
        <v>159</v>
      </c>
      <c r="B132" s="1827" t="s">
        <v>117</v>
      </c>
      <c r="C132" s="954" t="s">
        <v>87</v>
      </c>
      <c r="D132" s="1919">
        <v>396</v>
      </c>
      <c r="E132" s="1919">
        <v>396</v>
      </c>
      <c r="F132" s="1920">
        <v>396</v>
      </c>
      <c r="G132" s="1920">
        <v>396</v>
      </c>
      <c r="H132" s="1921">
        <f>SUM(I132:V132)</f>
        <v>396</v>
      </c>
      <c r="I132" s="1920"/>
      <c r="J132" s="1920"/>
      <c r="K132" s="1920"/>
      <c r="L132" s="1920">
        <v>396</v>
      </c>
      <c r="M132" s="1920"/>
      <c r="N132" s="1920"/>
      <c r="O132" s="1920"/>
      <c r="P132" s="1920"/>
      <c r="Q132" s="1920"/>
      <c r="R132" s="1920"/>
      <c r="S132" s="1920"/>
      <c r="T132" s="1920"/>
      <c r="U132" s="1920"/>
      <c r="V132" s="1920"/>
      <c r="W132" s="1921">
        <f>SUM(X132:AK132)</f>
        <v>396</v>
      </c>
      <c r="X132" s="1920"/>
      <c r="Y132" s="1920"/>
      <c r="Z132" s="1920"/>
      <c r="AA132" s="1920">
        <v>396</v>
      </c>
      <c r="AB132" s="1920"/>
      <c r="AC132" s="1920"/>
      <c r="AD132" s="1920"/>
      <c r="AE132" s="1920"/>
      <c r="AF132" s="1920"/>
      <c r="AG132" s="1920"/>
      <c r="AH132" s="1920"/>
      <c r="AI132" s="1920"/>
      <c r="AJ132" s="1920"/>
      <c r="AK132" s="1920"/>
      <c r="AL132" s="958">
        <f>SUM(AM132:AZ132)</f>
        <v>396</v>
      </c>
      <c r="AM132" s="1922"/>
      <c r="AN132" s="1922"/>
      <c r="AO132" s="1922"/>
      <c r="AP132" s="1922">
        <v>396</v>
      </c>
      <c r="AQ132" s="1920"/>
      <c r="AR132" s="1920"/>
      <c r="AS132" s="1920"/>
      <c r="AT132" s="1920"/>
      <c r="AU132" s="1920"/>
      <c r="AV132" s="1920"/>
      <c r="AW132" s="1920"/>
      <c r="AX132" s="1920"/>
      <c r="AY132" s="1920"/>
      <c r="AZ132" s="1920"/>
      <c r="BA132" s="1825">
        <f t="shared" si="94"/>
        <v>100</v>
      </c>
      <c r="BB132" s="1825">
        <f t="shared" si="95"/>
        <v>100</v>
      </c>
      <c r="BC132" s="1837"/>
      <c r="BD132" s="988"/>
      <c r="BE132" s="990"/>
    </row>
    <row r="133" spans="1:58" s="1032" customFormat="1" ht="21.95" customHeight="1">
      <c r="A133" s="951"/>
      <c r="B133" s="943" t="s">
        <v>160</v>
      </c>
      <c r="C133" s="951"/>
      <c r="D133" s="1923">
        <v>374.3</v>
      </c>
      <c r="E133" s="1923">
        <v>396</v>
      </c>
      <c r="F133" s="1923">
        <v>374.3</v>
      </c>
      <c r="G133" s="1923">
        <v>374.3</v>
      </c>
      <c r="H133" s="1279">
        <f>SUM(I133:V133)</f>
        <v>396</v>
      </c>
      <c r="I133" s="1924"/>
      <c r="J133" s="1924"/>
      <c r="K133" s="1924"/>
      <c r="L133" s="1924">
        <v>396</v>
      </c>
      <c r="M133" s="1924"/>
      <c r="N133" s="1924"/>
      <c r="O133" s="1924"/>
      <c r="P133" s="1924"/>
      <c r="Q133" s="1924"/>
      <c r="R133" s="1924"/>
      <c r="S133" s="1924"/>
      <c r="T133" s="1924"/>
      <c r="U133" s="1924"/>
      <c r="V133" s="1924"/>
      <c r="W133" s="1279">
        <f>SUM(X133:AK133)</f>
        <v>396</v>
      </c>
      <c r="X133" s="1924"/>
      <c r="Y133" s="1924"/>
      <c r="Z133" s="1924"/>
      <c r="AA133" s="1924">
        <v>396</v>
      </c>
      <c r="AB133" s="1924"/>
      <c r="AC133" s="1924"/>
      <c r="AD133" s="1924"/>
      <c r="AE133" s="1924"/>
      <c r="AF133" s="1924"/>
      <c r="AG133" s="1924"/>
      <c r="AH133" s="1924"/>
      <c r="AI133" s="1924"/>
      <c r="AJ133" s="1924"/>
      <c r="AK133" s="1924"/>
      <c r="AL133" s="958">
        <f t="shared" ref="AL133:AL135" si="145">SUM(AM133:AZ133)</f>
        <v>374.3</v>
      </c>
      <c r="AM133" s="1924"/>
      <c r="AN133" s="1924"/>
      <c r="AO133" s="1924"/>
      <c r="AP133" s="1923">
        <v>374.3</v>
      </c>
      <c r="AQ133" s="1924"/>
      <c r="AR133" s="1924"/>
      <c r="AS133" s="1924"/>
      <c r="AT133" s="1924"/>
      <c r="AU133" s="1924"/>
      <c r="AV133" s="1924"/>
      <c r="AW133" s="1924"/>
      <c r="AX133" s="1924"/>
      <c r="AY133" s="1924"/>
      <c r="AZ133" s="1924"/>
      <c r="BA133" s="928">
        <f t="shared" si="94"/>
        <v>100</v>
      </c>
      <c r="BB133" s="928">
        <f t="shared" si="95"/>
        <v>94.520202020202021</v>
      </c>
      <c r="BC133" s="1895"/>
      <c r="BD133" s="995"/>
      <c r="BE133" s="987"/>
      <c r="BF133" s="1095"/>
    </row>
    <row r="134" spans="1:58" s="1075" customFormat="1" ht="21" hidden="1" customHeight="1">
      <c r="A134" s="954" t="s">
        <v>161</v>
      </c>
      <c r="B134" s="1827" t="s">
        <v>162</v>
      </c>
      <c r="C134" s="954" t="s">
        <v>87</v>
      </c>
      <c r="D134" s="958"/>
      <c r="E134" s="958"/>
      <c r="F134" s="958"/>
      <c r="G134" s="958"/>
      <c r="H134" s="958"/>
      <c r="I134" s="958"/>
      <c r="J134" s="958"/>
      <c r="K134" s="958"/>
      <c r="L134" s="958"/>
      <c r="M134" s="958"/>
      <c r="N134" s="958"/>
      <c r="O134" s="958"/>
      <c r="P134" s="958"/>
      <c r="Q134" s="958"/>
      <c r="R134" s="958"/>
      <c r="S134" s="958"/>
      <c r="T134" s="958"/>
      <c r="U134" s="958"/>
      <c r="V134" s="958"/>
      <c r="W134" s="958"/>
      <c r="X134" s="958"/>
      <c r="Y134" s="958"/>
      <c r="Z134" s="958"/>
      <c r="AA134" s="958"/>
      <c r="AB134" s="958"/>
      <c r="AC134" s="958"/>
      <c r="AD134" s="958"/>
      <c r="AE134" s="958"/>
      <c r="AF134" s="958"/>
      <c r="AG134" s="958"/>
      <c r="AH134" s="958"/>
      <c r="AI134" s="958"/>
      <c r="AJ134" s="958"/>
      <c r="AK134" s="958"/>
      <c r="AL134" s="958">
        <f t="shared" si="145"/>
        <v>0</v>
      </c>
      <c r="AM134" s="958"/>
      <c r="AN134" s="958"/>
      <c r="AO134" s="958"/>
      <c r="AP134" s="958"/>
      <c r="AQ134" s="958"/>
      <c r="AR134" s="958"/>
      <c r="AS134" s="958"/>
      <c r="AT134" s="958"/>
      <c r="AU134" s="958"/>
      <c r="AV134" s="958"/>
      <c r="AW134" s="958"/>
      <c r="AX134" s="958"/>
      <c r="AY134" s="958"/>
      <c r="AZ134" s="958"/>
      <c r="BA134" s="928" t="e">
        <f t="shared" si="94"/>
        <v>#DIV/0!</v>
      </c>
      <c r="BB134" s="928" t="e">
        <f t="shared" si="95"/>
        <v>#DIV/0!</v>
      </c>
      <c r="BC134" s="1837"/>
      <c r="BD134" s="995"/>
      <c r="BE134" s="987"/>
    </row>
    <row r="135" spans="1:58" s="1032" customFormat="1" ht="15" hidden="1">
      <c r="A135" s="951"/>
      <c r="B135" s="943" t="s">
        <v>163</v>
      </c>
      <c r="C135" s="951" t="s">
        <v>87</v>
      </c>
      <c r="D135" s="1282"/>
      <c r="E135" s="1282"/>
      <c r="F135" s="1282"/>
      <c r="G135" s="1282"/>
      <c r="H135" s="1282"/>
      <c r="I135" s="1282"/>
      <c r="J135" s="1282"/>
      <c r="K135" s="1282"/>
      <c r="L135" s="1282"/>
      <c r="M135" s="1282"/>
      <c r="N135" s="1282"/>
      <c r="O135" s="1282"/>
      <c r="P135" s="1282"/>
      <c r="Q135" s="1282"/>
      <c r="R135" s="1282"/>
      <c r="S135" s="1282"/>
      <c r="T135" s="1282"/>
      <c r="U135" s="1282"/>
      <c r="V135" s="1282"/>
      <c r="W135" s="1282"/>
      <c r="X135" s="1282"/>
      <c r="Y135" s="1282"/>
      <c r="Z135" s="1282"/>
      <c r="AA135" s="1282"/>
      <c r="AB135" s="1282"/>
      <c r="AC135" s="1282"/>
      <c r="AD135" s="1282"/>
      <c r="AE135" s="1282"/>
      <c r="AF135" s="1282"/>
      <c r="AG135" s="1282"/>
      <c r="AH135" s="1282"/>
      <c r="AI135" s="1282"/>
      <c r="AJ135" s="1282"/>
      <c r="AK135" s="1282"/>
      <c r="AL135" s="958">
        <f t="shared" si="145"/>
        <v>0</v>
      </c>
      <c r="AM135" s="1282"/>
      <c r="AN135" s="1282"/>
      <c r="AO135" s="1282"/>
      <c r="AP135" s="1282"/>
      <c r="AQ135" s="1282"/>
      <c r="AR135" s="1282"/>
      <c r="AS135" s="1282"/>
      <c r="AT135" s="1282"/>
      <c r="AU135" s="1282"/>
      <c r="AV135" s="1282"/>
      <c r="AW135" s="1282"/>
      <c r="AX135" s="1282"/>
      <c r="AY135" s="1282"/>
      <c r="AZ135" s="1282"/>
      <c r="BA135" s="928" t="e">
        <f t="shared" si="94"/>
        <v>#DIV/0!</v>
      </c>
      <c r="BB135" s="928" t="e">
        <f t="shared" si="95"/>
        <v>#DIV/0!</v>
      </c>
      <c r="BC135" s="1925"/>
      <c r="BD135" s="995"/>
      <c r="BE135" s="987"/>
    </row>
    <row r="136" spans="1:58" s="1075" customFormat="1" ht="21.95" customHeight="1">
      <c r="A136" s="954" t="s">
        <v>161</v>
      </c>
      <c r="B136" s="1827" t="s">
        <v>164</v>
      </c>
      <c r="C136" s="954" t="s">
        <v>87</v>
      </c>
      <c r="D136" s="958">
        <v>2193.31</v>
      </c>
      <c r="E136" s="958">
        <v>2540.37</v>
      </c>
      <c r="F136" s="958">
        <v>2648.93</v>
      </c>
      <c r="G136" s="1926">
        <f>2193.31+G137</f>
        <v>2284.77</v>
      </c>
      <c r="H136" s="958">
        <f>SUM(I136:V136)</f>
        <v>2320.13</v>
      </c>
      <c r="I136" s="1926">
        <v>68.820000000000007</v>
      </c>
      <c r="J136" s="1926">
        <v>103.72</v>
      </c>
      <c r="K136" s="1926">
        <v>228</v>
      </c>
      <c r="L136" s="1926">
        <v>222.76</v>
      </c>
      <c r="M136" s="1926">
        <v>239.02</v>
      </c>
      <c r="N136" s="1926">
        <v>221.3</v>
      </c>
      <c r="O136" s="1926">
        <v>84.36</v>
      </c>
      <c r="P136" s="1926">
        <v>118.78999999999999</v>
      </c>
      <c r="Q136" s="1926">
        <v>709.81000000000006</v>
      </c>
      <c r="R136" s="1926">
        <v>1.56</v>
      </c>
      <c r="S136" s="1926">
        <v>79.069999999999993</v>
      </c>
      <c r="T136" s="1926">
        <v>64.260000000000005</v>
      </c>
      <c r="U136" s="1926">
        <v>59.27</v>
      </c>
      <c r="V136" s="1926">
        <v>119.39000000000001</v>
      </c>
      <c r="W136" s="1816">
        <f>H136+W137</f>
        <v>2898.13</v>
      </c>
      <c r="X136" s="1816">
        <f t="shared" ref="X136:AK136" si="146">I136+X137</f>
        <v>73.820000000000007</v>
      </c>
      <c r="Y136" s="1816">
        <f t="shared" si="146"/>
        <v>113.72</v>
      </c>
      <c r="Z136" s="1816">
        <f t="shared" si="146"/>
        <v>238</v>
      </c>
      <c r="AA136" s="1816">
        <f t="shared" si="146"/>
        <v>340.76</v>
      </c>
      <c r="AB136" s="1816">
        <f t="shared" si="146"/>
        <v>249.02</v>
      </c>
      <c r="AC136" s="1816">
        <f t="shared" si="146"/>
        <v>271.3</v>
      </c>
      <c r="AD136" s="1816">
        <f t="shared" si="146"/>
        <v>134.36000000000001</v>
      </c>
      <c r="AE136" s="1816">
        <f t="shared" si="146"/>
        <v>198.79</v>
      </c>
      <c r="AF136" s="1816">
        <f t="shared" si="146"/>
        <v>809.81000000000006</v>
      </c>
      <c r="AG136" s="1816">
        <f t="shared" si="146"/>
        <v>1.56</v>
      </c>
      <c r="AH136" s="1816">
        <f t="shared" si="146"/>
        <v>94.07</v>
      </c>
      <c r="AI136" s="1816">
        <f t="shared" si="146"/>
        <v>64.260000000000005</v>
      </c>
      <c r="AJ136" s="1816">
        <f t="shared" si="146"/>
        <v>159.27000000000001</v>
      </c>
      <c r="AK136" s="1816">
        <f t="shared" si="146"/>
        <v>149.39000000000001</v>
      </c>
      <c r="AL136" s="1927">
        <f>SUM(AM136:AZ136)</f>
        <v>2898.13</v>
      </c>
      <c r="AM136" s="1927">
        <v>73.820000000000007</v>
      </c>
      <c r="AN136" s="1927">
        <v>113.72</v>
      </c>
      <c r="AO136" s="1927">
        <v>238</v>
      </c>
      <c r="AP136" s="1927">
        <v>340.76</v>
      </c>
      <c r="AQ136" s="1927">
        <v>249.02</v>
      </c>
      <c r="AR136" s="1927">
        <v>271.3</v>
      </c>
      <c r="AS136" s="1927">
        <v>134.36000000000001</v>
      </c>
      <c r="AT136" s="1927">
        <v>198.79</v>
      </c>
      <c r="AU136" s="1927">
        <v>809.81000000000006</v>
      </c>
      <c r="AV136" s="1927">
        <v>1.56</v>
      </c>
      <c r="AW136" s="1927">
        <v>94.07</v>
      </c>
      <c r="AX136" s="1927">
        <v>64.260000000000005</v>
      </c>
      <c r="AY136" s="1927">
        <v>159.27000000000001</v>
      </c>
      <c r="AZ136" s="1927">
        <v>149.39000000000001</v>
      </c>
      <c r="BA136" s="1825">
        <f t="shared" si="94"/>
        <v>109.4075721140234</v>
      </c>
      <c r="BB136" s="1825">
        <f t="shared" si="95"/>
        <v>100</v>
      </c>
      <c r="BC136" s="1837"/>
      <c r="BD136" s="995"/>
      <c r="BE136" s="990"/>
      <c r="BF136" s="1096"/>
    </row>
    <row r="137" spans="1:58" s="1090" customFormat="1" ht="21.95" customHeight="1">
      <c r="A137" s="948"/>
      <c r="B137" s="949" t="s">
        <v>163</v>
      </c>
      <c r="C137" s="948" t="s">
        <v>87</v>
      </c>
      <c r="D137" s="1928">
        <v>347.97</v>
      </c>
      <c r="E137" s="1928">
        <v>300</v>
      </c>
      <c r="F137" s="1928"/>
      <c r="G137" s="1928">
        <f>G109</f>
        <v>91.46</v>
      </c>
      <c r="H137" s="1928">
        <f>H109</f>
        <v>126.82000000000002</v>
      </c>
      <c r="I137" s="1928">
        <f t="shared" ref="I137:AK137" si="147">I109</f>
        <v>5.04</v>
      </c>
      <c r="J137" s="1928">
        <f t="shared" si="147"/>
        <v>7.06</v>
      </c>
      <c r="K137" s="1928">
        <f t="shared" si="147"/>
        <v>1.31</v>
      </c>
      <c r="L137" s="1928">
        <f t="shared" si="147"/>
        <v>1.1399999999999999</v>
      </c>
      <c r="M137" s="1928">
        <f t="shared" si="147"/>
        <v>0</v>
      </c>
      <c r="N137" s="1928">
        <f t="shared" si="147"/>
        <v>8.08</v>
      </c>
      <c r="O137" s="1928">
        <f t="shared" si="147"/>
        <v>13.35</v>
      </c>
      <c r="P137" s="1928">
        <f t="shared" si="147"/>
        <v>20.77</v>
      </c>
      <c r="Q137" s="1928">
        <f t="shared" si="147"/>
        <v>29.21</v>
      </c>
      <c r="R137" s="1928">
        <f t="shared" si="147"/>
        <v>1.56</v>
      </c>
      <c r="S137" s="1928">
        <f t="shared" si="147"/>
        <v>19.700000000000003</v>
      </c>
      <c r="T137" s="1928">
        <f t="shared" si="147"/>
        <v>0</v>
      </c>
      <c r="U137" s="1928">
        <f t="shared" si="147"/>
        <v>0</v>
      </c>
      <c r="V137" s="1928">
        <f t="shared" si="147"/>
        <v>19.600000000000001</v>
      </c>
      <c r="W137" s="1928">
        <f t="shared" si="147"/>
        <v>578</v>
      </c>
      <c r="X137" s="1928">
        <f t="shared" si="147"/>
        <v>5</v>
      </c>
      <c r="Y137" s="1928">
        <f t="shared" si="147"/>
        <v>10</v>
      </c>
      <c r="Z137" s="1928">
        <f t="shared" si="147"/>
        <v>10</v>
      </c>
      <c r="AA137" s="1928">
        <f t="shared" si="147"/>
        <v>118</v>
      </c>
      <c r="AB137" s="1928">
        <f t="shared" si="147"/>
        <v>10</v>
      </c>
      <c r="AC137" s="1928">
        <f t="shared" si="147"/>
        <v>50</v>
      </c>
      <c r="AD137" s="1928">
        <f t="shared" si="147"/>
        <v>50</v>
      </c>
      <c r="AE137" s="1928">
        <f t="shared" si="147"/>
        <v>80</v>
      </c>
      <c r="AF137" s="1928">
        <f t="shared" si="147"/>
        <v>100</v>
      </c>
      <c r="AG137" s="1928">
        <f t="shared" si="147"/>
        <v>0</v>
      </c>
      <c r="AH137" s="1928">
        <f t="shared" si="147"/>
        <v>15</v>
      </c>
      <c r="AI137" s="1928">
        <f t="shared" si="147"/>
        <v>0</v>
      </c>
      <c r="AJ137" s="1928">
        <f t="shared" si="147"/>
        <v>100</v>
      </c>
      <c r="AK137" s="1928">
        <f t="shared" si="147"/>
        <v>30</v>
      </c>
      <c r="AL137" s="1154">
        <f t="shared" ref="AL137" si="148">SUM(AM137:AZ137)</f>
        <v>578</v>
      </c>
      <c r="AM137" s="1154">
        <v>5</v>
      </c>
      <c r="AN137" s="1154">
        <v>10</v>
      </c>
      <c r="AO137" s="1154">
        <v>10</v>
      </c>
      <c r="AP137" s="1154">
        <v>118</v>
      </c>
      <c r="AQ137" s="1154">
        <v>10</v>
      </c>
      <c r="AR137" s="1154">
        <v>50</v>
      </c>
      <c r="AS137" s="1154">
        <v>50</v>
      </c>
      <c r="AT137" s="1154">
        <v>80</v>
      </c>
      <c r="AU137" s="1154">
        <v>100</v>
      </c>
      <c r="AV137" s="1154">
        <v>0</v>
      </c>
      <c r="AW137" s="1154">
        <v>15</v>
      </c>
      <c r="AX137" s="1154">
        <v>0</v>
      </c>
      <c r="AY137" s="1154">
        <v>100</v>
      </c>
      <c r="AZ137" s="1154">
        <v>30</v>
      </c>
      <c r="BA137" s="928"/>
      <c r="BB137" s="928">
        <f t="shared" si="95"/>
        <v>100</v>
      </c>
      <c r="BC137" s="1893"/>
      <c r="BD137" s="1015"/>
      <c r="BE137" s="987"/>
    </row>
    <row r="138" spans="1:58" s="1075" customFormat="1" ht="21" hidden="1" customHeight="1">
      <c r="A138" s="954">
        <v>2.7</v>
      </c>
      <c r="B138" s="1827" t="s">
        <v>165</v>
      </c>
      <c r="C138" s="954" t="s">
        <v>87</v>
      </c>
      <c r="D138" s="1929"/>
      <c r="E138" s="1929"/>
      <c r="F138" s="1929"/>
      <c r="G138" s="1929"/>
      <c r="H138" s="1929"/>
      <c r="I138" s="1929"/>
      <c r="J138" s="1929"/>
      <c r="K138" s="1929"/>
      <c r="L138" s="1929"/>
      <c r="M138" s="1929"/>
      <c r="N138" s="1929"/>
      <c r="O138" s="1929"/>
      <c r="P138" s="1929"/>
      <c r="Q138" s="1929"/>
      <c r="R138" s="1929"/>
      <c r="S138" s="1929"/>
      <c r="T138" s="1929"/>
      <c r="U138" s="1929"/>
      <c r="V138" s="1929"/>
      <c r="W138" s="952"/>
      <c r="X138" s="1929"/>
      <c r="Y138" s="1929"/>
      <c r="Z138" s="1929"/>
      <c r="AA138" s="1929"/>
      <c r="AB138" s="1929"/>
      <c r="AC138" s="1929"/>
      <c r="AD138" s="1929"/>
      <c r="AE138" s="1929"/>
      <c r="AF138" s="1929"/>
      <c r="AG138" s="1929"/>
      <c r="AH138" s="1929"/>
      <c r="AI138" s="1929"/>
      <c r="AJ138" s="1929"/>
      <c r="AK138" s="1929"/>
      <c r="AL138" s="1929"/>
      <c r="AM138" s="1929"/>
      <c r="AN138" s="1929"/>
      <c r="AO138" s="1929"/>
      <c r="AP138" s="1929"/>
      <c r="AQ138" s="1929"/>
      <c r="AR138" s="1929"/>
      <c r="AS138" s="1929"/>
      <c r="AT138" s="1929"/>
      <c r="AU138" s="1929"/>
      <c r="AV138" s="1929"/>
      <c r="AW138" s="1929"/>
      <c r="AX138" s="1929"/>
      <c r="AY138" s="1929"/>
      <c r="AZ138" s="1929"/>
      <c r="BA138" s="928" t="e">
        <f t="shared" si="94"/>
        <v>#DIV/0!</v>
      </c>
      <c r="BB138" s="928" t="e">
        <f t="shared" si="95"/>
        <v>#DIV/0!</v>
      </c>
      <c r="BC138" s="1837"/>
      <c r="BD138" s="992"/>
      <c r="BE138" s="987"/>
    </row>
    <row r="139" spans="1:58" s="1032" customFormat="1" ht="21" hidden="1" customHeight="1">
      <c r="A139" s="951"/>
      <c r="B139" s="943" t="s">
        <v>163</v>
      </c>
      <c r="C139" s="951" t="s">
        <v>87</v>
      </c>
      <c r="D139" s="1282"/>
      <c r="E139" s="1282"/>
      <c r="F139" s="1282"/>
      <c r="G139" s="1282"/>
      <c r="H139" s="1282"/>
      <c r="I139" s="1282"/>
      <c r="J139" s="1282"/>
      <c r="K139" s="1282"/>
      <c r="L139" s="1282"/>
      <c r="M139" s="1282"/>
      <c r="N139" s="1282"/>
      <c r="O139" s="1282"/>
      <c r="P139" s="1282"/>
      <c r="Q139" s="1282"/>
      <c r="R139" s="1282"/>
      <c r="S139" s="1282"/>
      <c r="T139" s="1282"/>
      <c r="U139" s="1282"/>
      <c r="V139" s="1282"/>
      <c r="W139" s="952"/>
      <c r="X139" s="1282"/>
      <c r="Y139" s="1282"/>
      <c r="Z139" s="1282"/>
      <c r="AA139" s="1282"/>
      <c r="AB139" s="1282"/>
      <c r="AC139" s="1282"/>
      <c r="AD139" s="1282"/>
      <c r="AE139" s="1282"/>
      <c r="AF139" s="1282"/>
      <c r="AG139" s="1282"/>
      <c r="AH139" s="1282"/>
      <c r="AI139" s="1282"/>
      <c r="AJ139" s="1282"/>
      <c r="AK139" s="1282"/>
      <c r="AL139" s="1282"/>
      <c r="AM139" s="1282"/>
      <c r="AN139" s="1282"/>
      <c r="AO139" s="1282"/>
      <c r="AP139" s="1282"/>
      <c r="AQ139" s="1282"/>
      <c r="AR139" s="1282"/>
      <c r="AS139" s="1282"/>
      <c r="AT139" s="1282"/>
      <c r="AU139" s="1282"/>
      <c r="AV139" s="1282"/>
      <c r="AW139" s="1282"/>
      <c r="AX139" s="1282"/>
      <c r="AY139" s="1282"/>
      <c r="AZ139" s="1282"/>
      <c r="BA139" s="928" t="e">
        <f t="shared" si="94"/>
        <v>#DIV/0!</v>
      </c>
      <c r="BB139" s="928" t="e">
        <f t="shared" si="95"/>
        <v>#DIV/0!</v>
      </c>
      <c r="BC139" s="1895"/>
      <c r="BD139" s="995"/>
      <c r="BE139" s="987"/>
    </row>
    <row r="140" spans="1:58" s="1020" customFormat="1" ht="21.95" customHeight="1">
      <c r="A140" s="1791">
        <v>3</v>
      </c>
      <c r="B140" s="925" t="s">
        <v>166</v>
      </c>
      <c r="C140" s="1791" t="s">
        <v>87</v>
      </c>
      <c r="D140" s="1872">
        <v>174448.18</v>
      </c>
      <c r="E140" s="1872">
        <v>177733.73</v>
      </c>
      <c r="F140" s="1872">
        <v>176343.19</v>
      </c>
      <c r="G140" s="1872">
        <v>176343</v>
      </c>
      <c r="H140" s="1802">
        <f>SUM(I140:V140)</f>
        <v>176343</v>
      </c>
      <c r="I140" s="1872">
        <v>708</v>
      </c>
      <c r="J140" s="1872">
        <v>5355</v>
      </c>
      <c r="K140" s="1872">
        <v>5700</v>
      </c>
      <c r="L140" s="1872">
        <v>4500</v>
      </c>
      <c r="M140" s="1872">
        <v>11679</v>
      </c>
      <c r="N140" s="1872">
        <v>16635</v>
      </c>
      <c r="O140" s="1872">
        <v>15118</v>
      </c>
      <c r="P140" s="1872">
        <v>22450</v>
      </c>
      <c r="Q140" s="1872">
        <v>7500</v>
      </c>
      <c r="R140" s="1872">
        <v>7942</v>
      </c>
      <c r="S140" s="1872">
        <v>11206</v>
      </c>
      <c r="T140" s="1872">
        <v>9166</v>
      </c>
      <c r="U140" s="1872">
        <v>30206</v>
      </c>
      <c r="V140" s="1872">
        <v>28178</v>
      </c>
      <c r="W140" s="1802">
        <f>SUM(X140:AK140)</f>
        <v>178976.5</v>
      </c>
      <c r="X140" s="1872">
        <v>666</v>
      </c>
      <c r="Y140" s="1872">
        <v>5620</v>
      </c>
      <c r="Z140" s="1872">
        <v>5892</v>
      </c>
      <c r="AA140" s="1872">
        <v>4517</v>
      </c>
      <c r="AB140" s="1872">
        <v>11977</v>
      </c>
      <c r="AC140" s="1872">
        <v>16913</v>
      </c>
      <c r="AD140" s="1872">
        <v>15357</v>
      </c>
      <c r="AE140" s="1872">
        <v>22630</v>
      </c>
      <c r="AF140" s="1872">
        <v>7741.5</v>
      </c>
      <c r="AG140" s="1872">
        <v>8588</v>
      </c>
      <c r="AH140" s="1872">
        <v>11180</v>
      </c>
      <c r="AI140" s="1872">
        <v>9239</v>
      </c>
      <c r="AJ140" s="1872">
        <v>30357</v>
      </c>
      <c r="AK140" s="1872">
        <v>28299</v>
      </c>
      <c r="AL140" s="1897">
        <f t="shared" ref="AL140" si="149">SUM(AM140:AZ140)</f>
        <v>178976.5</v>
      </c>
      <c r="AM140" s="1802">
        <v>666</v>
      </c>
      <c r="AN140" s="1802">
        <v>5620</v>
      </c>
      <c r="AO140" s="1802">
        <v>5892</v>
      </c>
      <c r="AP140" s="1802">
        <v>4517</v>
      </c>
      <c r="AQ140" s="1802">
        <v>11977</v>
      </c>
      <c r="AR140" s="1802">
        <v>16913</v>
      </c>
      <c r="AS140" s="1802">
        <v>15357</v>
      </c>
      <c r="AT140" s="1802">
        <v>22630</v>
      </c>
      <c r="AU140" s="1802">
        <v>7741.5</v>
      </c>
      <c r="AV140" s="1802">
        <v>8588</v>
      </c>
      <c r="AW140" s="1802">
        <v>11180</v>
      </c>
      <c r="AX140" s="1802">
        <v>9239</v>
      </c>
      <c r="AY140" s="1802">
        <v>30357</v>
      </c>
      <c r="AZ140" s="1802">
        <v>28299</v>
      </c>
      <c r="BA140" s="1825">
        <f t="shared" si="94"/>
        <v>101.49328703875663</v>
      </c>
      <c r="BB140" s="1825">
        <f t="shared" si="95"/>
        <v>100</v>
      </c>
      <c r="BC140" s="1796"/>
      <c r="BD140" s="993"/>
      <c r="BE140" s="985"/>
      <c r="BF140" s="1016"/>
    </row>
    <row r="141" spans="1:58" s="1097" customFormat="1" ht="25.35" hidden="1" customHeight="1">
      <c r="A141" s="1930">
        <v>4</v>
      </c>
      <c r="B141" s="1931" t="s">
        <v>167</v>
      </c>
      <c r="C141" s="1930" t="s">
        <v>87</v>
      </c>
      <c r="D141" s="1932"/>
      <c r="E141" s="1932"/>
      <c r="F141" s="1932"/>
      <c r="G141" s="1932"/>
      <c r="H141" s="1932"/>
      <c r="I141" s="1932"/>
      <c r="J141" s="1932"/>
      <c r="K141" s="1932"/>
      <c r="L141" s="1932"/>
      <c r="M141" s="1932"/>
      <c r="N141" s="1932"/>
      <c r="O141" s="1932"/>
      <c r="P141" s="1932"/>
      <c r="Q141" s="1932"/>
      <c r="R141" s="1932"/>
      <c r="S141" s="1932"/>
      <c r="T141" s="1932"/>
      <c r="U141" s="1932"/>
      <c r="V141" s="1932"/>
      <c r="W141" s="1932"/>
      <c r="X141" s="1932"/>
      <c r="Y141" s="1932"/>
      <c r="Z141" s="1932"/>
      <c r="AA141" s="1932"/>
      <c r="AB141" s="1932"/>
      <c r="AC141" s="1932"/>
      <c r="AD141" s="1932"/>
      <c r="AE141" s="1932"/>
      <c r="AF141" s="1932"/>
      <c r="AG141" s="1932"/>
      <c r="AH141" s="1932"/>
      <c r="AI141" s="1932"/>
      <c r="AJ141" s="1932"/>
      <c r="AK141" s="1932"/>
      <c r="AL141" s="1932"/>
      <c r="AM141" s="1932"/>
      <c r="AN141" s="1932"/>
      <c r="AO141" s="1932"/>
      <c r="AP141" s="1932"/>
      <c r="AQ141" s="1932"/>
      <c r="AR141" s="1932"/>
      <c r="AS141" s="1932"/>
      <c r="AT141" s="1932"/>
      <c r="AU141" s="1932"/>
      <c r="AV141" s="1932"/>
      <c r="AW141" s="1932"/>
      <c r="AX141" s="1932"/>
      <c r="AY141" s="1932"/>
      <c r="AZ141" s="1932"/>
      <c r="BA141" s="928" t="e">
        <f t="shared" si="94"/>
        <v>#DIV/0!</v>
      </c>
      <c r="BB141" s="928" t="e">
        <f t="shared" si="95"/>
        <v>#DIV/0!</v>
      </c>
      <c r="BC141" s="1933"/>
      <c r="BD141" s="1019"/>
      <c r="BE141" s="987"/>
    </row>
    <row r="142" spans="1:58" s="1020" customFormat="1" ht="25.35" hidden="1" customHeight="1">
      <c r="A142" s="1791">
        <v>5</v>
      </c>
      <c r="B142" s="925" t="s">
        <v>168</v>
      </c>
      <c r="C142" s="1791" t="s">
        <v>87</v>
      </c>
      <c r="D142" s="1934"/>
      <c r="E142" s="1934"/>
      <c r="F142" s="1934"/>
      <c r="G142" s="1934"/>
      <c r="H142" s="1934"/>
      <c r="I142" s="1934"/>
      <c r="J142" s="1934"/>
      <c r="K142" s="1934"/>
      <c r="L142" s="1934"/>
      <c r="M142" s="1934"/>
      <c r="N142" s="1934"/>
      <c r="O142" s="1934"/>
      <c r="P142" s="1934"/>
      <c r="Q142" s="1934"/>
      <c r="R142" s="1934"/>
      <c r="S142" s="1934"/>
      <c r="T142" s="1934"/>
      <c r="U142" s="1934"/>
      <c r="V142" s="1934"/>
      <c r="W142" s="1934"/>
      <c r="X142" s="1934"/>
      <c r="Y142" s="1934"/>
      <c r="Z142" s="1934"/>
      <c r="AA142" s="1934"/>
      <c r="AB142" s="1934"/>
      <c r="AC142" s="1934"/>
      <c r="AD142" s="1934"/>
      <c r="AE142" s="1934"/>
      <c r="AF142" s="1934"/>
      <c r="AG142" s="1934"/>
      <c r="AH142" s="1934"/>
      <c r="AI142" s="1934"/>
      <c r="AJ142" s="1934"/>
      <c r="AK142" s="1934"/>
      <c r="AL142" s="1934"/>
      <c r="AM142" s="1934"/>
      <c r="AN142" s="1934"/>
      <c r="AO142" s="1934"/>
      <c r="AP142" s="1934"/>
      <c r="AQ142" s="1934"/>
      <c r="AR142" s="1934"/>
      <c r="AS142" s="1934"/>
      <c r="AT142" s="1934"/>
      <c r="AU142" s="1934"/>
      <c r="AV142" s="1934"/>
      <c r="AW142" s="1934"/>
      <c r="AX142" s="1934"/>
      <c r="AY142" s="1934"/>
      <c r="AZ142" s="1934"/>
      <c r="BA142" s="928" t="e">
        <f t="shared" si="94"/>
        <v>#DIV/0!</v>
      </c>
      <c r="BB142" s="928" t="e">
        <f t="shared" si="95"/>
        <v>#DIV/0!</v>
      </c>
      <c r="BC142" s="1796"/>
      <c r="BD142" s="1012"/>
      <c r="BE142" s="987"/>
    </row>
    <row r="143" spans="1:58" s="1020" customFormat="1" ht="21.95" customHeight="1">
      <c r="A143" s="1794" t="s">
        <v>169</v>
      </c>
      <c r="B143" s="925" t="s">
        <v>170</v>
      </c>
      <c r="C143" s="1791"/>
      <c r="D143" s="1163"/>
      <c r="E143" s="1163"/>
      <c r="F143" s="1163"/>
      <c r="G143" s="1163"/>
      <c r="H143" s="1163"/>
      <c r="I143" s="1163"/>
      <c r="J143" s="1163"/>
      <c r="K143" s="1163"/>
      <c r="L143" s="1163"/>
      <c r="M143" s="1163"/>
      <c r="N143" s="1163"/>
      <c r="O143" s="1163"/>
      <c r="P143" s="1163"/>
      <c r="Q143" s="1163"/>
      <c r="R143" s="1163"/>
      <c r="S143" s="1163"/>
      <c r="T143" s="1163"/>
      <c r="U143" s="1163"/>
      <c r="V143" s="1163"/>
      <c r="W143" s="1163"/>
      <c r="X143" s="1163"/>
      <c r="Y143" s="1163"/>
      <c r="Z143" s="1163"/>
      <c r="AA143" s="1163"/>
      <c r="AB143" s="1163"/>
      <c r="AC143" s="1163"/>
      <c r="AD143" s="1163"/>
      <c r="AE143" s="1163"/>
      <c r="AF143" s="1163"/>
      <c r="AG143" s="1163"/>
      <c r="AH143" s="1163"/>
      <c r="AI143" s="1163"/>
      <c r="AJ143" s="1163"/>
      <c r="AK143" s="1163"/>
      <c r="AL143" s="1163"/>
      <c r="AM143" s="1163"/>
      <c r="AN143" s="1163"/>
      <c r="AO143" s="1163"/>
      <c r="AP143" s="1163"/>
      <c r="AQ143" s="1163"/>
      <c r="AR143" s="1163"/>
      <c r="AS143" s="1163"/>
      <c r="AT143" s="1163"/>
      <c r="AU143" s="1163"/>
      <c r="AV143" s="1163"/>
      <c r="AW143" s="1163"/>
      <c r="AX143" s="1163"/>
      <c r="AY143" s="1163"/>
      <c r="AZ143" s="1163"/>
      <c r="BA143" s="928"/>
      <c r="BB143" s="928"/>
      <c r="BC143" s="1796"/>
      <c r="BD143" s="995"/>
      <c r="BE143" s="987"/>
    </row>
    <row r="144" spans="1:58" s="1020" customFormat="1" ht="30.75" customHeight="1">
      <c r="A144" s="1820">
        <v>1</v>
      </c>
      <c r="B144" s="955" t="s">
        <v>675</v>
      </c>
      <c r="C144" s="1791" t="s">
        <v>26</v>
      </c>
      <c r="D144" s="959">
        <v>98</v>
      </c>
      <c r="E144" s="959">
        <v>98</v>
      </c>
      <c r="F144" s="959">
        <v>98</v>
      </c>
      <c r="G144" s="959">
        <v>98</v>
      </c>
      <c r="H144" s="959">
        <f>SUM(J144:V144)/13</f>
        <v>98</v>
      </c>
      <c r="I144" s="959"/>
      <c r="J144" s="959">
        <v>100</v>
      </c>
      <c r="K144" s="959">
        <v>100</v>
      </c>
      <c r="L144" s="959">
        <v>98</v>
      </c>
      <c r="M144" s="959">
        <v>99.5</v>
      </c>
      <c r="N144" s="959">
        <v>98</v>
      </c>
      <c r="O144" s="959">
        <v>98</v>
      </c>
      <c r="P144" s="959">
        <v>96</v>
      </c>
      <c r="Q144" s="959">
        <v>97</v>
      </c>
      <c r="R144" s="959">
        <v>97</v>
      </c>
      <c r="S144" s="959">
        <v>98</v>
      </c>
      <c r="T144" s="959">
        <v>98.4</v>
      </c>
      <c r="U144" s="959">
        <v>97.5</v>
      </c>
      <c r="V144" s="959">
        <v>96.6</v>
      </c>
      <c r="W144" s="959">
        <f>SUM(Y144:AK144)/13</f>
        <v>98</v>
      </c>
      <c r="X144" s="959"/>
      <c r="Y144" s="959">
        <v>100</v>
      </c>
      <c r="Z144" s="959">
        <v>100</v>
      </c>
      <c r="AA144" s="959">
        <v>98</v>
      </c>
      <c r="AB144" s="959">
        <v>99.5</v>
      </c>
      <c r="AC144" s="959">
        <v>98</v>
      </c>
      <c r="AD144" s="959">
        <v>98</v>
      </c>
      <c r="AE144" s="959">
        <v>96</v>
      </c>
      <c r="AF144" s="959">
        <v>97</v>
      </c>
      <c r="AG144" s="959">
        <v>97</v>
      </c>
      <c r="AH144" s="959">
        <v>98</v>
      </c>
      <c r="AI144" s="959">
        <v>98.4</v>
      </c>
      <c r="AJ144" s="959">
        <v>97.5</v>
      </c>
      <c r="AK144" s="959">
        <v>96.6</v>
      </c>
      <c r="AL144" s="959">
        <f>SUM(AN144:AZ144)/13</f>
        <v>98</v>
      </c>
      <c r="AM144" s="959"/>
      <c r="AN144" s="959">
        <v>100</v>
      </c>
      <c r="AO144" s="959">
        <v>100</v>
      </c>
      <c r="AP144" s="959">
        <v>98</v>
      </c>
      <c r="AQ144" s="959">
        <v>99.5</v>
      </c>
      <c r="AR144" s="959">
        <v>98</v>
      </c>
      <c r="AS144" s="959">
        <v>98</v>
      </c>
      <c r="AT144" s="959">
        <v>96</v>
      </c>
      <c r="AU144" s="959">
        <v>97</v>
      </c>
      <c r="AV144" s="959">
        <v>97</v>
      </c>
      <c r="AW144" s="959">
        <v>98</v>
      </c>
      <c r="AX144" s="959">
        <v>98.4</v>
      </c>
      <c r="AY144" s="959">
        <v>97.5</v>
      </c>
      <c r="AZ144" s="959">
        <v>96.6</v>
      </c>
      <c r="BA144" s="928">
        <f t="shared" si="94"/>
        <v>100</v>
      </c>
      <c r="BB144" s="928">
        <f t="shared" si="95"/>
        <v>100</v>
      </c>
      <c r="BC144" s="1796"/>
      <c r="BD144" s="995"/>
      <c r="BE144" s="987"/>
    </row>
    <row r="145" spans="1:70" s="1020" customFormat="1" ht="30" customHeight="1">
      <c r="A145" s="1820">
        <v>2</v>
      </c>
      <c r="B145" s="955" t="s">
        <v>676</v>
      </c>
      <c r="C145" s="947" t="s">
        <v>26</v>
      </c>
      <c r="D145" s="959">
        <v>98</v>
      </c>
      <c r="E145" s="959">
        <v>98</v>
      </c>
      <c r="F145" s="959">
        <v>98</v>
      </c>
      <c r="G145" s="959">
        <v>98</v>
      </c>
      <c r="H145" s="959">
        <f>SUM(J145:V145)/13</f>
        <v>98</v>
      </c>
      <c r="I145" s="959"/>
      <c r="J145" s="959">
        <v>100</v>
      </c>
      <c r="K145" s="959">
        <v>100</v>
      </c>
      <c r="L145" s="959">
        <v>98</v>
      </c>
      <c r="M145" s="959">
        <v>99.5</v>
      </c>
      <c r="N145" s="959">
        <v>98</v>
      </c>
      <c r="O145" s="959">
        <v>98</v>
      </c>
      <c r="P145" s="959">
        <v>96</v>
      </c>
      <c r="Q145" s="959">
        <v>97</v>
      </c>
      <c r="R145" s="959">
        <v>97</v>
      </c>
      <c r="S145" s="959">
        <v>98</v>
      </c>
      <c r="T145" s="959">
        <v>98.4</v>
      </c>
      <c r="U145" s="959">
        <v>97.5</v>
      </c>
      <c r="V145" s="959">
        <v>96.6</v>
      </c>
      <c r="W145" s="959">
        <f>SUM(Y145:AK145)/13</f>
        <v>98</v>
      </c>
      <c r="X145" s="959"/>
      <c r="Y145" s="959">
        <v>100</v>
      </c>
      <c r="Z145" s="959">
        <v>100</v>
      </c>
      <c r="AA145" s="959">
        <v>98</v>
      </c>
      <c r="AB145" s="959">
        <v>99.5</v>
      </c>
      <c r="AC145" s="959">
        <v>98</v>
      </c>
      <c r="AD145" s="959">
        <v>98</v>
      </c>
      <c r="AE145" s="959">
        <v>96</v>
      </c>
      <c r="AF145" s="959">
        <v>97</v>
      </c>
      <c r="AG145" s="959">
        <v>97</v>
      </c>
      <c r="AH145" s="959">
        <v>98</v>
      </c>
      <c r="AI145" s="959">
        <v>98.4</v>
      </c>
      <c r="AJ145" s="959">
        <v>97.5</v>
      </c>
      <c r="AK145" s="959">
        <v>96.6</v>
      </c>
      <c r="AL145" s="959">
        <f>SUM(AN145:AZ145)/13</f>
        <v>98</v>
      </c>
      <c r="AM145" s="959"/>
      <c r="AN145" s="959">
        <v>100</v>
      </c>
      <c r="AO145" s="959">
        <v>100</v>
      </c>
      <c r="AP145" s="959">
        <v>98</v>
      </c>
      <c r="AQ145" s="959">
        <v>99.5</v>
      </c>
      <c r="AR145" s="959">
        <v>98</v>
      </c>
      <c r="AS145" s="959">
        <v>98</v>
      </c>
      <c r="AT145" s="959">
        <v>96</v>
      </c>
      <c r="AU145" s="959">
        <v>97</v>
      </c>
      <c r="AV145" s="959">
        <v>97</v>
      </c>
      <c r="AW145" s="959">
        <v>98</v>
      </c>
      <c r="AX145" s="959">
        <v>98.4</v>
      </c>
      <c r="AY145" s="959">
        <v>97.5</v>
      </c>
      <c r="AZ145" s="959">
        <v>96.6</v>
      </c>
      <c r="BA145" s="928">
        <f t="shared" si="94"/>
        <v>100</v>
      </c>
      <c r="BB145" s="928">
        <f t="shared" si="95"/>
        <v>100</v>
      </c>
      <c r="BC145" s="1796"/>
      <c r="BD145" s="995"/>
      <c r="BE145" s="987"/>
    </row>
    <row r="146" spans="1:70" s="1020" customFormat="1" ht="31.5" hidden="1" customHeight="1">
      <c r="A146" s="1021">
        <v>3</v>
      </c>
      <c r="B146" s="1022" t="s">
        <v>677</v>
      </c>
      <c r="C146" s="1023" t="s">
        <v>33</v>
      </c>
      <c r="D146" s="290"/>
      <c r="E146" s="636"/>
      <c r="F146" s="636"/>
      <c r="G146" s="636"/>
      <c r="H146" s="636"/>
      <c r="I146" s="636"/>
      <c r="J146" s="636"/>
      <c r="K146" s="636"/>
      <c r="L146" s="636"/>
      <c r="M146" s="636"/>
      <c r="N146" s="636"/>
      <c r="O146" s="636"/>
      <c r="P146" s="636"/>
      <c r="Q146" s="636"/>
      <c r="R146" s="636"/>
      <c r="S146" s="636"/>
      <c r="T146" s="636"/>
      <c r="U146" s="636"/>
      <c r="V146" s="636"/>
      <c r="W146" s="636"/>
      <c r="X146" s="636"/>
      <c r="Y146" s="636"/>
      <c r="Z146" s="636"/>
      <c r="AA146" s="636"/>
      <c r="AB146" s="636"/>
      <c r="AC146" s="636"/>
      <c r="AD146" s="636"/>
      <c r="AE146" s="636"/>
      <c r="AF146" s="636"/>
      <c r="AG146" s="636"/>
      <c r="AH146" s="636"/>
      <c r="AI146" s="636"/>
      <c r="AJ146" s="636"/>
      <c r="AK146" s="636"/>
      <c r="AL146" s="636"/>
      <c r="AM146" s="636"/>
      <c r="AN146" s="636"/>
      <c r="AO146" s="636"/>
      <c r="AP146" s="636"/>
      <c r="AQ146" s="636"/>
      <c r="AR146" s="636"/>
      <c r="AS146" s="636"/>
      <c r="AT146" s="636"/>
      <c r="AU146" s="636"/>
      <c r="AV146" s="636"/>
      <c r="AW146" s="636"/>
      <c r="AX146" s="636"/>
      <c r="AY146" s="636"/>
      <c r="AZ146" s="636"/>
      <c r="BA146" s="636"/>
      <c r="BB146" s="636"/>
      <c r="BC146" s="1024"/>
      <c r="BD146" s="995"/>
      <c r="BE146" s="127"/>
    </row>
    <row r="147" spans="1:70" s="1020" customFormat="1" ht="31.5" hidden="1" customHeight="1">
      <c r="A147" s="738">
        <v>4</v>
      </c>
      <c r="B147" s="1025" t="s">
        <v>678</v>
      </c>
      <c r="C147" s="1026" t="s">
        <v>33</v>
      </c>
      <c r="D147" s="274"/>
      <c r="E147" s="636"/>
      <c r="F147" s="636"/>
      <c r="G147" s="636"/>
      <c r="H147" s="636"/>
      <c r="I147" s="636"/>
      <c r="J147" s="636"/>
      <c r="K147" s="636"/>
      <c r="L147" s="636"/>
      <c r="M147" s="636"/>
      <c r="N147" s="636"/>
      <c r="O147" s="636"/>
      <c r="P147" s="636"/>
      <c r="Q147" s="636"/>
      <c r="R147" s="636"/>
      <c r="S147" s="636"/>
      <c r="T147" s="636"/>
      <c r="U147" s="636"/>
      <c r="V147" s="636"/>
      <c r="W147" s="636"/>
      <c r="X147" s="636"/>
      <c r="Y147" s="636"/>
      <c r="Z147" s="636"/>
      <c r="AA147" s="636"/>
      <c r="AB147" s="636"/>
      <c r="AC147" s="636"/>
      <c r="AD147" s="636"/>
      <c r="AE147" s="636"/>
      <c r="AF147" s="636"/>
      <c r="AG147" s="636"/>
      <c r="AH147" s="636"/>
      <c r="AI147" s="636"/>
      <c r="AJ147" s="636"/>
      <c r="AK147" s="636"/>
      <c r="AL147" s="636"/>
      <c r="AM147" s="636"/>
      <c r="AN147" s="636"/>
      <c r="AO147" s="636"/>
      <c r="AP147" s="636"/>
      <c r="AQ147" s="636"/>
      <c r="AR147" s="636"/>
      <c r="AS147" s="636"/>
      <c r="AT147" s="636"/>
      <c r="AU147" s="636"/>
      <c r="AV147" s="636"/>
      <c r="AW147" s="636"/>
      <c r="AX147" s="636"/>
      <c r="AY147" s="636"/>
      <c r="AZ147" s="636"/>
      <c r="BA147" s="636"/>
      <c r="BB147" s="636"/>
      <c r="BC147" s="1025"/>
      <c r="BD147" s="995"/>
      <c r="BE147" s="1027"/>
    </row>
    <row r="148" spans="1:70" s="1032" customFormat="1" ht="24" hidden="1" customHeight="1">
      <c r="A148" s="739"/>
      <c r="B148" s="1028" t="s">
        <v>171</v>
      </c>
      <c r="C148" s="1029" t="s">
        <v>26</v>
      </c>
      <c r="D148" s="275"/>
      <c r="E148" s="637"/>
      <c r="F148" s="637"/>
      <c r="G148" s="637"/>
      <c r="H148" s="637"/>
      <c r="I148" s="637"/>
      <c r="J148" s="637"/>
      <c r="K148" s="637"/>
      <c r="L148" s="637"/>
      <c r="M148" s="637"/>
      <c r="N148" s="637"/>
      <c r="O148" s="637"/>
      <c r="P148" s="637"/>
      <c r="Q148" s="637"/>
      <c r="R148" s="637"/>
      <c r="S148" s="637"/>
      <c r="T148" s="637"/>
      <c r="U148" s="637"/>
      <c r="V148" s="637"/>
      <c r="W148" s="637"/>
      <c r="X148" s="637"/>
      <c r="Y148" s="637"/>
      <c r="Z148" s="637"/>
      <c r="AA148" s="637"/>
      <c r="AB148" s="637"/>
      <c r="AC148" s="637"/>
      <c r="AD148" s="637"/>
      <c r="AE148" s="637"/>
      <c r="AF148" s="637"/>
      <c r="AG148" s="637"/>
      <c r="AH148" s="637"/>
      <c r="AI148" s="637"/>
      <c r="AJ148" s="637"/>
      <c r="AK148" s="637"/>
      <c r="AL148" s="637"/>
      <c r="AM148" s="637"/>
      <c r="AN148" s="637"/>
      <c r="AO148" s="637"/>
      <c r="AP148" s="637"/>
      <c r="AQ148" s="637"/>
      <c r="AR148" s="637"/>
      <c r="AS148" s="637"/>
      <c r="AT148" s="637"/>
      <c r="AU148" s="637"/>
      <c r="AV148" s="637"/>
      <c r="AW148" s="637"/>
      <c r="AX148" s="637"/>
      <c r="AY148" s="637"/>
      <c r="AZ148" s="637"/>
      <c r="BA148" s="637"/>
      <c r="BB148" s="637"/>
      <c r="BC148" s="1030"/>
      <c r="BD148" s="995"/>
      <c r="BE148" s="1031"/>
    </row>
    <row r="149" spans="1:70" s="1020" customFormat="1" ht="20.45" hidden="1" customHeight="1">
      <c r="A149" s="737"/>
      <c r="B149" s="741" t="s">
        <v>172</v>
      </c>
      <c r="C149" s="1026" t="s">
        <v>33</v>
      </c>
      <c r="D149" s="274"/>
      <c r="E149" s="636"/>
      <c r="F149" s="636"/>
      <c r="G149" s="636"/>
      <c r="H149" s="636"/>
      <c r="I149" s="636"/>
      <c r="J149" s="636"/>
      <c r="K149" s="636"/>
      <c r="L149" s="636"/>
      <c r="M149" s="636"/>
      <c r="N149" s="636"/>
      <c r="O149" s="636"/>
      <c r="P149" s="636"/>
      <c r="Q149" s="636"/>
      <c r="R149" s="636"/>
      <c r="S149" s="636"/>
      <c r="T149" s="636"/>
      <c r="U149" s="636"/>
      <c r="V149" s="636"/>
      <c r="W149" s="636"/>
      <c r="X149" s="636"/>
      <c r="Y149" s="636"/>
      <c r="Z149" s="636"/>
      <c r="AA149" s="636"/>
      <c r="AB149" s="636"/>
      <c r="AC149" s="636"/>
      <c r="AD149" s="636"/>
      <c r="AE149" s="636"/>
      <c r="AF149" s="636"/>
      <c r="AG149" s="636"/>
      <c r="AH149" s="636"/>
      <c r="AI149" s="636"/>
      <c r="AJ149" s="636"/>
      <c r="AK149" s="636"/>
      <c r="AL149" s="636"/>
      <c r="AM149" s="636"/>
      <c r="AN149" s="636"/>
      <c r="AO149" s="636"/>
      <c r="AP149" s="636"/>
      <c r="AQ149" s="636"/>
      <c r="AR149" s="636"/>
      <c r="AS149" s="636"/>
      <c r="AT149" s="636"/>
      <c r="AU149" s="636"/>
      <c r="AV149" s="636"/>
      <c r="AW149" s="636"/>
      <c r="AX149" s="636"/>
      <c r="AY149" s="636"/>
      <c r="AZ149" s="636"/>
      <c r="BA149" s="636"/>
      <c r="BB149" s="636"/>
      <c r="BC149" s="1033"/>
      <c r="BD149" s="995"/>
      <c r="BE149" s="346"/>
    </row>
    <row r="150" spans="1:70" s="1020" customFormat="1" ht="20.45" hidden="1" customHeight="1">
      <c r="A150" s="737"/>
      <c r="B150" s="741" t="s">
        <v>173</v>
      </c>
      <c r="C150" s="1026" t="s">
        <v>33</v>
      </c>
      <c r="D150" s="274"/>
      <c r="E150" s="636"/>
      <c r="F150" s="636"/>
      <c r="G150" s="636"/>
      <c r="H150" s="636"/>
      <c r="I150" s="636"/>
      <c r="J150" s="636"/>
      <c r="K150" s="636"/>
      <c r="L150" s="636"/>
      <c r="M150" s="636"/>
      <c r="N150" s="636"/>
      <c r="O150" s="636"/>
      <c r="P150" s="636"/>
      <c r="Q150" s="636"/>
      <c r="R150" s="636"/>
      <c r="S150" s="636"/>
      <c r="T150" s="636"/>
      <c r="U150" s="636"/>
      <c r="V150" s="636"/>
      <c r="W150" s="636"/>
      <c r="X150" s="636"/>
      <c r="Y150" s="636"/>
      <c r="Z150" s="636"/>
      <c r="AA150" s="636"/>
      <c r="AB150" s="636"/>
      <c r="AC150" s="636"/>
      <c r="AD150" s="636"/>
      <c r="AE150" s="636"/>
      <c r="AF150" s="636"/>
      <c r="AG150" s="636"/>
      <c r="AH150" s="636"/>
      <c r="AI150" s="636"/>
      <c r="AJ150" s="636"/>
      <c r="AK150" s="636"/>
      <c r="AL150" s="636"/>
      <c r="AM150" s="636"/>
      <c r="AN150" s="636"/>
      <c r="AO150" s="636"/>
      <c r="AP150" s="636"/>
      <c r="AQ150" s="636"/>
      <c r="AR150" s="636"/>
      <c r="AS150" s="636"/>
      <c r="AT150" s="636"/>
      <c r="AU150" s="636"/>
      <c r="AV150" s="636"/>
      <c r="AW150" s="636"/>
      <c r="AX150" s="636"/>
      <c r="AY150" s="636"/>
      <c r="AZ150" s="636"/>
      <c r="BA150" s="636"/>
      <c r="BB150" s="636"/>
      <c r="BC150" s="1033"/>
      <c r="BD150" s="995"/>
      <c r="BE150" s="346"/>
      <c r="BF150" s="1034"/>
    </row>
    <row r="151" spans="1:70" s="1020" customFormat="1" ht="20.45" hidden="1" customHeight="1">
      <c r="A151" s="737"/>
      <c r="B151" s="741" t="s">
        <v>174</v>
      </c>
      <c r="C151" s="1026" t="s">
        <v>33</v>
      </c>
      <c r="D151" s="274"/>
      <c r="E151" s="636"/>
      <c r="F151" s="636"/>
      <c r="G151" s="636"/>
      <c r="H151" s="636"/>
      <c r="I151" s="636"/>
      <c r="J151" s="636"/>
      <c r="K151" s="636"/>
      <c r="L151" s="636"/>
      <c r="M151" s="636"/>
      <c r="N151" s="636"/>
      <c r="O151" s="636"/>
      <c r="P151" s="636"/>
      <c r="Q151" s="636"/>
      <c r="R151" s="636"/>
      <c r="S151" s="636"/>
      <c r="T151" s="636"/>
      <c r="U151" s="636"/>
      <c r="V151" s="636"/>
      <c r="W151" s="636"/>
      <c r="X151" s="636"/>
      <c r="Y151" s="636"/>
      <c r="Z151" s="636"/>
      <c r="AA151" s="636"/>
      <c r="AB151" s="636"/>
      <c r="AC151" s="636"/>
      <c r="AD151" s="636"/>
      <c r="AE151" s="636"/>
      <c r="AF151" s="636"/>
      <c r="AG151" s="636"/>
      <c r="AH151" s="636"/>
      <c r="AI151" s="636"/>
      <c r="AJ151" s="636"/>
      <c r="AK151" s="636"/>
      <c r="AL151" s="636"/>
      <c r="AM151" s="636"/>
      <c r="AN151" s="636"/>
      <c r="AO151" s="636"/>
      <c r="AP151" s="636"/>
      <c r="AQ151" s="636"/>
      <c r="AR151" s="636"/>
      <c r="AS151" s="636"/>
      <c r="AT151" s="636"/>
      <c r="AU151" s="636"/>
      <c r="AV151" s="636"/>
      <c r="AW151" s="636"/>
      <c r="AX151" s="636"/>
      <c r="AY151" s="636"/>
      <c r="AZ151" s="636"/>
      <c r="BA151" s="636"/>
      <c r="BB151" s="636"/>
      <c r="BC151" s="1033"/>
      <c r="BD151" s="995"/>
      <c r="BE151" s="127"/>
    </row>
    <row r="152" spans="1:70" s="1020" customFormat="1" ht="21.75" hidden="1" customHeight="1">
      <c r="A152" s="737"/>
      <c r="B152" s="741" t="s">
        <v>175</v>
      </c>
      <c r="C152" s="1026" t="s">
        <v>33</v>
      </c>
      <c r="D152" s="273"/>
      <c r="E152" s="638"/>
      <c r="F152" s="638"/>
      <c r="G152" s="638"/>
      <c r="H152" s="638"/>
      <c r="I152" s="638"/>
      <c r="J152" s="638"/>
      <c r="K152" s="638"/>
      <c r="L152" s="638"/>
      <c r="M152" s="638"/>
      <c r="N152" s="638"/>
      <c r="O152" s="638"/>
      <c r="P152" s="638"/>
      <c r="Q152" s="638"/>
      <c r="R152" s="638"/>
      <c r="S152" s="638"/>
      <c r="T152" s="638"/>
      <c r="U152" s="638"/>
      <c r="V152" s="638"/>
      <c r="W152" s="638"/>
      <c r="X152" s="638"/>
      <c r="Y152" s="638"/>
      <c r="Z152" s="638"/>
      <c r="AA152" s="638"/>
      <c r="AB152" s="638"/>
      <c r="AC152" s="638"/>
      <c r="AD152" s="638"/>
      <c r="AE152" s="638"/>
      <c r="AF152" s="638"/>
      <c r="AG152" s="638"/>
      <c r="AH152" s="638"/>
      <c r="AI152" s="638"/>
      <c r="AJ152" s="638"/>
      <c r="AK152" s="638"/>
      <c r="AL152" s="638"/>
      <c r="AM152" s="638"/>
      <c r="AN152" s="638"/>
      <c r="AO152" s="638"/>
      <c r="AP152" s="638"/>
      <c r="AQ152" s="638"/>
      <c r="AR152" s="638"/>
      <c r="AS152" s="638"/>
      <c r="AT152" s="638"/>
      <c r="AU152" s="638"/>
      <c r="AV152" s="638"/>
      <c r="AW152" s="638"/>
      <c r="AX152" s="638"/>
      <c r="AY152" s="638"/>
      <c r="AZ152" s="638"/>
      <c r="BA152" s="638"/>
      <c r="BB152" s="638"/>
      <c r="BC152" s="1033"/>
      <c r="BD152" s="995"/>
      <c r="BE152" s="127"/>
    </row>
    <row r="153" spans="1:70" s="1003" customFormat="1" ht="22.5" hidden="1">
      <c r="A153" s="203"/>
      <c r="B153" s="1035" t="s">
        <v>176</v>
      </c>
      <c r="C153" s="1036" t="s">
        <v>177</v>
      </c>
      <c r="D153" s="1037"/>
      <c r="E153" s="1038"/>
      <c r="F153" s="1038"/>
      <c r="G153" s="1038"/>
      <c r="H153" s="1038"/>
      <c r="I153" s="1038"/>
      <c r="J153" s="1038"/>
      <c r="K153" s="1038"/>
      <c r="L153" s="1038"/>
      <c r="M153" s="1038"/>
      <c r="N153" s="1038"/>
      <c r="O153" s="1038"/>
      <c r="P153" s="1038"/>
      <c r="Q153" s="1038"/>
      <c r="R153" s="1038"/>
      <c r="S153" s="1038"/>
      <c r="T153" s="1038"/>
      <c r="U153" s="1038"/>
      <c r="V153" s="1038"/>
      <c r="W153" s="1038"/>
      <c r="X153" s="1038"/>
      <c r="Y153" s="1038"/>
      <c r="Z153" s="1038"/>
      <c r="AA153" s="1038"/>
      <c r="AB153" s="1038"/>
      <c r="AC153" s="1038"/>
      <c r="AD153" s="1038"/>
      <c r="AE153" s="1038"/>
      <c r="AF153" s="1038"/>
      <c r="AG153" s="1038"/>
      <c r="AH153" s="1038"/>
      <c r="AI153" s="1038"/>
      <c r="AJ153" s="1038"/>
      <c r="AK153" s="1038"/>
      <c r="AL153" s="1038"/>
      <c r="AM153" s="1038"/>
      <c r="AN153" s="1038"/>
      <c r="AO153" s="1038"/>
      <c r="AP153" s="1038"/>
      <c r="AQ153" s="1038"/>
      <c r="AR153" s="1038"/>
      <c r="AS153" s="1038"/>
      <c r="AT153" s="1038"/>
      <c r="AU153" s="1038"/>
      <c r="AV153" s="1038"/>
      <c r="AW153" s="1038"/>
      <c r="AX153" s="1038"/>
      <c r="AY153" s="1038"/>
      <c r="AZ153" s="1038"/>
      <c r="BA153" s="1038"/>
      <c r="BB153" s="1038"/>
      <c r="BC153" s="1098"/>
      <c r="BD153" s="995"/>
      <c r="BE153" s="1039"/>
      <c r="BF153" s="1040"/>
      <c r="BG153" s="1040"/>
      <c r="BH153" s="489"/>
      <c r="BR153" s="1084" t="e">
        <f>#REF!-#REF!</f>
        <v>#REF!</v>
      </c>
    </row>
    <row r="154" spans="1:70" ht="20.25" hidden="1" customHeight="1">
      <c r="A154" s="1041"/>
      <c r="B154" s="1042"/>
      <c r="C154" s="1043"/>
      <c r="D154" s="1044"/>
      <c r="E154" s="1044"/>
      <c r="F154" s="1044"/>
      <c r="G154" s="1044"/>
      <c r="H154" s="1044"/>
      <c r="I154" s="1044"/>
      <c r="J154" s="1044"/>
      <c r="K154" s="1044"/>
      <c r="L154" s="1044"/>
      <c r="M154" s="1044"/>
      <c r="N154" s="1044"/>
      <c r="O154" s="1044"/>
      <c r="P154" s="1044"/>
      <c r="Q154" s="1044"/>
      <c r="R154" s="1044"/>
      <c r="S154" s="1044"/>
      <c r="T154" s="1044"/>
      <c r="U154" s="1044"/>
      <c r="V154" s="1044"/>
      <c r="W154" s="1044"/>
      <c r="X154" s="1044"/>
      <c r="Y154" s="1044"/>
      <c r="Z154" s="1044"/>
      <c r="AA154" s="1044"/>
      <c r="AB154" s="1044"/>
      <c r="AC154" s="1044"/>
      <c r="AD154" s="1044"/>
      <c r="AE154" s="1044"/>
      <c r="AF154" s="1044"/>
      <c r="AG154" s="1044"/>
      <c r="AH154" s="1044"/>
      <c r="AI154" s="1044"/>
      <c r="AJ154" s="1044"/>
      <c r="AK154" s="1044"/>
      <c r="AL154" s="1044"/>
      <c r="AM154" s="1044"/>
      <c r="AN154" s="1044"/>
      <c r="AO154" s="1044"/>
      <c r="AP154" s="1044"/>
      <c r="AQ154" s="1044"/>
      <c r="AR154" s="1044"/>
      <c r="AS154" s="1044"/>
      <c r="AT154" s="1044"/>
      <c r="AU154" s="1044"/>
      <c r="AV154" s="1044"/>
      <c r="AW154" s="1044"/>
      <c r="AX154" s="1044"/>
      <c r="AY154" s="1044"/>
      <c r="AZ154" s="1044"/>
      <c r="BA154" s="1044"/>
      <c r="BB154" s="1044"/>
      <c r="BC154" s="1042"/>
    </row>
    <row r="155" spans="1:70" ht="15" customHeight="1">
      <c r="C155" s="1004"/>
    </row>
    <row r="156" spans="1:70" ht="32.25" customHeight="1">
      <c r="B156" s="2041"/>
      <c r="C156" s="2041"/>
      <c r="D156" s="2041"/>
      <c r="E156" s="2041"/>
      <c r="F156" s="2041"/>
      <c r="G156" s="2041"/>
      <c r="H156" s="2041"/>
      <c r="I156" s="2041"/>
      <c r="J156" s="2041"/>
      <c r="K156" s="2041"/>
      <c r="L156" s="2041"/>
      <c r="M156" s="2041"/>
      <c r="N156" s="2041"/>
      <c r="O156" s="2041"/>
      <c r="P156" s="2041"/>
      <c r="Q156" s="2041"/>
      <c r="R156" s="2041"/>
      <c r="S156" s="2041"/>
      <c r="T156" s="2041"/>
      <c r="U156" s="2041"/>
      <c r="V156" s="2041"/>
      <c r="W156" s="2041"/>
      <c r="X156" s="2041"/>
      <c r="Y156" s="2041"/>
      <c r="Z156" s="2041"/>
      <c r="AA156" s="2041"/>
      <c r="AB156" s="2041"/>
      <c r="AC156" s="2041"/>
      <c r="AD156" s="2041"/>
      <c r="AE156" s="2041"/>
      <c r="AF156" s="2041"/>
      <c r="AG156" s="2041"/>
      <c r="AH156" s="2041"/>
      <c r="AI156" s="2041"/>
      <c r="AJ156" s="2041"/>
      <c r="AK156" s="2041"/>
      <c r="AL156" s="2041"/>
      <c r="AM156" s="2041"/>
      <c r="AN156" s="2041"/>
      <c r="AO156" s="2041"/>
      <c r="AP156" s="2041"/>
      <c r="AQ156" s="2041"/>
      <c r="AR156" s="2041"/>
      <c r="AS156" s="2041"/>
      <c r="AT156" s="2041"/>
      <c r="AU156" s="2041"/>
      <c r="AV156" s="2041"/>
      <c r="AW156" s="2041"/>
      <c r="AX156" s="2041"/>
      <c r="AY156" s="2041"/>
      <c r="AZ156" s="2041"/>
      <c r="BA156" s="2041"/>
      <c r="BB156" s="2041"/>
      <c r="BC156" s="2041"/>
    </row>
    <row r="157" spans="1:70" ht="16.5" customHeight="1">
      <c r="E157" s="1101"/>
      <c r="F157" s="1101"/>
      <c r="G157" s="1101"/>
      <c r="H157" s="1101"/>
      <c r="I157" s="1101"/>
      <c r="J157" s="1101"/>
      <c r="K157" s="1101"/>
      <c r="L157" s="1101"/>
      <c r="M157" s="1101"/>
      <c r="N157" s="1101"/>
      <c r="O157" s="1101"/>
      <c r="P157" s="1101"/>
      <c r="Q157" s="1101"/>
      <c r="R157" s="1101"/>
      <c r="S157" s="1101"/>
      <c r="T157" s="1101"/>
      <c r="U157" s="1101"/>
      <c r="V157" s="1101"/>
      <c r="W157" s="1101"/>
      <c r="X157" s="1101"/>
      <c r="Y157" s="1101"/>
      <c r="Z157" s="1101"/>
      <c r="AA157" s="1101"/>
      <c r="AB157" s="1101"/>
      <c r="AC157" s="1101"/>
      <c r="AD157" s="1101"/>
      <c r="AE157" s="1101"/>
      <c r="AF157" s="1101"/>
      <c r="AG157" s="1101"/>
      <c r="AH157" s="1101"/>
      <c r="AI157" s="1101"/>
      <c r="AJ157" s="1101"/>
      <c r="AK157" s="1101"/>
      <c r="AL157" s="1101"/>
      <c r="AM157" s="1101"/>
      <c r="AN157" s="1101"/>
      <c r="AO157" s="1101"/>
      <c r="AP157" s="1101"/>
      <c r="AQ157" s="1101"/>
      <c r="AR157" s="1101"/>
      <c r="AS157" s="1101"/>
      <c r="AT157" s="1101"/>
      <c r="AU157" s="1101"/>
      <c r="AV157" s="1101"/>
      <c r="AW157" s="1101"/>
      <c r="AX157" s="1101"/>
      <c r="AY157" s="1101"/>
      <c r="AZ157" s="1101"/>
      <c r="BA157" s="1101"/>
      <c r="BB157" s="1101"/>
    </row>
  </sheetData>
  <mergeCells count="26">
    <mergeCell ref="B156:BC156"/>
    <mergeCell ref="BC67:BC72"/>
    <mergeCell ref="BC58:BC65"/>
    <mergeCell ref="E6:E7"/>
    <mergeCell ref="H6:H7"/>
    <mergeCell ref="I6:V6"/>
    <mergeCell ref="X6:AK6"/>
    <mergeCell ref="BA6:BA7"/>
    <mergeCell ref="BB6:BB7"/>
    <mergeCell ref="W6:W7"/>
    <mergeCell ref="BE5:BE7"/>
    <mergeCell ref="BD5:BD7"/>
    <mergeCell ref="A1:BC1"/>
    <mergeCell ref="A2:BC2"/>
    <mergeCell ref="A3:BC3"/>
    <mergeCell ref="A5:A7"/>
    <mergeCell ref="B5:B7"/>
    <mergeCell ref="C5:C7"/>
    <mergeCell ref="BC5:BC7"/>
    <mergeCell ref="D5:D7"/>
    <mergeCell ref="E5:V5"/>
    <mergeCell ref="F6:F7"/>
    <mergeCell ref="AM6:AZ6"/>
    <mergeCell ref="AL6:AL7"/>
    <mergeCell ref="W5:AZ5"/>
    <mergeCell ref="BA5:BB5"/>
  </mergeCells>
  <printOptions horizontalCentered="1"/>
  <pageMargins left="0.31496062992125984" right="0.31496062992125984" top="0.6692913385826772" bottom="0.55118110236220474" header="0.19685039370078741" footer="0.31496062992125984"/>
  <pageSetup paperSize="9" scale="67" fitToHeight="0" orientation="landscape" r:id="rId1"/>
  <headerFooter scaleWithDoc="0" alignWithMargins="0">
    <oddFooter>&amp;C&amp;"Times New Roman,Regular"&amp;10Page &amp;P</oddFooter>
    <evenFooter>Page &amp;P</evenFooter>
  </headerFooter>
  <legacyDrawing r:id="rId2"/>
</worksheet>
</file>

<file path=xl/worksheets/sheet1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H120"/>
  <sheetViews>
    <sheetView zoomScaleNormal="100" workbookViewId="0">
      <pane xSplit="23" ySplit="8" topLeftCell="AL9" activePane="bottomRight" state="frozen"/>
      <selection activeCell="AP143" sqref="AP143"/>
      <selection pane="topRight" activeCell="AP143" sqref="AP143"/>
      <selection pane="bottomLeft" activeCell="AP143" sqref="AP143"/>
      <selection pane="bottomRight" activeCell="AS9" sqref="AS9"/>
    </sheetView>
  </sheetViews>
  <sheetFormatPr defaultColWidth="9" defaultRowHeight="15.75"/>
  <cols>
    <col min="1" max="1" width="5.25" style="458" customWidth="1"/>
    <col min="2" max="2" width="28.5" style="458" customWidth="1"/>
    <col min="3" max="3" width="6.375" style="458" customWidth="1"/>
    <col min="4" max="4" width="7.625" style="458" hidden="1" customWidth="1"/>
    <col min="5" max="5" width="7.875" style="458" hidden="1" customWidth="1"/>
    <col min="6" max="6" width="7.25" style="458" customWidth="1"/>
    <col min="7" max="7" width="7.25" style="458" hidden="1" customWidth="1"/>
    <col min="8" max="8" width="7.625" style="458" hidden="1" customWidth="1"/>
    <col min="9" max="22" width="5.75" style="458" hidden="1" customWidth="1"/>
    <col min="23" max="23" width="7.25" style="458" customWidth="1"/>
    <col min="24" max="24" width="6.125" style="458" hidden="1" customWidth="1"/>
    <col min="25" max="27" width="6.75" style="458" hidden="1" customWidth="1"/>
    <col min="28" max="28" width="7.625" style="458" hidden="1" customWidth="1"/>
    <col min="29" max="29" width="6.75" style="458" hidden="1" customWidth="1"/>
    <col min="30" max="30" width="7" style="458" hidden="1" customWidth="1"/>
    <col min="31" max="31" width="6.75" style="458" hidden="1" customWidth="1"/>
    <col min="32" max="32" width="6.5" style="458" hidden="1" customWidth="1"/>
    <col min="33" max="33" width="6.375" style="458" hidden="1" customWidth="1"/>
    <col min="34" max="34" width="7" style="458" hidden="1" customWidth="1"/>
    <col min="35" max="36" width="6.5" style="458" hidden="1" customWidth="1"/>
    <col min="37" max="37" width="7" style="458" hidden="1" customWidth="1"/>
    <col min="38" max="38" width="7.5" style="458" customWidth="1"/>
    <col min="39" max="39" width="6.125" style="458" customWidth="1"/>
    <col min="40" max="42" width="6.75" style="458" customWidth="1"/>
    <col min="43" max="43" width="7.625" style="458" customWidth="1"/>
    <col min="44" max="44" width="6.75" style="458" customWidth="1"/>
    <col min="45" max="45" width="7" style="458" customWidth="1"/>
    <col min="46" max="46" width="6.75" style="458" customWidth="1"/>
    <col min="47" max="47" width="6.5" style="458" customWidth="1"/>
    <col min="48" max="48" width="6.375" style="458" customWidth="1"/>
    <col min="49" max="49" width="7" style="458" customWidth="1"/>
    <col min="50" max="51" width="6.5" style="458" customWidth="1"/>
    <col min="52" max="52" width="7" style="458" customWidth="1"/>
    <col min="53" max="53" width="9" style="458" customWidth="1"/>
    <col min="54" max="54" width="8.5" style="458" customWidth="1"/>
    <col min="55" max="55" width="4.625" style="458" customWidth="1"/>
    <col min="56" max="57" width="9" style="353"/>
    <col min="58" max="59" width="9" style="370"/>
    <col min="60" max="60" width="11.875" style="370" bestFit="1" customWidth="1"/>
    <col min="61" max="16384" width="9" style="370"/>
  </cols>
  <sheetData>
    <row r="1" spans="1:60" ht="21.95" customHeight="1">
      <c r="A1" s="2043" t="s">
        <v>776</v>
      </c>
      <c r="B1" s="2043"/>
      <c r="C1" s="2043"/>
      <c r="D1" s="2043"/>
      <c r="E1" s="2043"/>
      <c r="F1" s="2043"/>
      <c r="G1" s="2043"/>
      <c r="H1" s="2043"/>
      <c r="I1" s="2043"/>
      <c r="J1" s="2043"/>
      <c r="K1" s="2043"/>
      <c r="L1" s="2043"/>
      <c r="M1" s="2043"/>
      <c r="N1" s="2043"/>
      <c r="O1" s="2043"/>
      <c r="P1" s="2043"/>
      <c r="Q1" s="2043"/>
      <c r="R1" s="2043"/>
      <c r="S1" s="2043"/>
      <c r="T1" s="2043"/>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c r="AT1" s="2043"/>
      <c r="AU1" s="2043"/>
      <c r="AV1" s="2043"/>
      <c r="AW1" s="2043"/>
      <c r="AX1" s="2043"/>
      <c r="AY1" s="2043"/>
      <c r="AZ1" s="2043"/>
      <c r="BA1" s="2043"/>
      <c r="BB1" s="2043"/>
      <c r="BC1" s="2043"/>
    </row>
    <row r="2" spans="1:60" s="1102" customFormat="1" ht="21.95" customHeight="1">
      <c r="A2" s="2045" t="s">
        <v>769</v>
      </c>
      <c r="B2" s="2045"/>
      <c r="C2" s="2045"/>
      <c r="D2" s="2045"/>
      <c r="E2" s="2045"/>
      <c r="F2" s="2045"/>
      <c r="G2" s="2045"/>
      <c r="H2" s="2045"/>
      <c r="I2" s="2045"/>
      <c r="J2" s="2045"/>
      <c r="K2" s="2045"/>
      <c r="L2" s="2045"/>
      <c r="M2" s="2045"/>
      <c r="N2" s="2045"/>
      <c r="O2" s="2045"/>
      <c r="P2" s="2045"/>
      <c r="Q2" s="2045"/>
      <c r="R2" s="2045"/>
      <c r="S2" s="2045"/>
      <c r="T2" s="2045"/>
      <c r="U2" s="2045"/>
      <c r="V2" s="2045"/>
      <c r="W2" s="2045"/>
      <c r="X2" s="2045"/>
      <c r="Y2" s="2045"/>
      <c r="Z2" s="2045"/>
      <c r="AA2" s="2045"/>
      <c r="AB2" s="2045"/>
      <c r="AC2" s="2045"/>
      <c r="AD2" s="2045"/>
      <c r="AE2" s="2045"/>
      <c r="AF2" s="2045"/>
      <c r="AG2" s="2045"/>
      <c r="AH2" s="2045"/>
      <c r="AI2" s="2045"/>
      <c r="AJ2" s="2045"/>
      <c r="AK2" s="2045"/>
      <c r="AL2" s="2045"/>
      <c r="AM2" s="2045"/>
      <c r="AN2" s="2045"/>
      <c r="AO2" s="2045"/>
      <c r="AP2" s="2045"/>
      <c r="AQ2" s="2045"/>
      <c r="AR2" s="2045"/>
      <c r="AS2" s="2045"/>
      <c r="AT2" s="2045"/>
      <c r="AU2" s="2045"/>
      <c r="AV2" s="2045"/>
      <c r="AW2" s="2045"/>
      <c r="AX2" s="2045"/>
      <c r="AY2" s="2045"/>
      <c r="AZ2" s="2045"/>
      <c r="BA2" s="2045"/>
      <c r="BB2" s="2045"/>
      <c r="BC2" s="2045"/>
      <c r="BD2" s="502"/>
      <c r="BE2" s="502"/>
    </row>
    <row r="3" spans="1:60" s="1102" customFormat="1" ht="21.95" customHeight="1">
      <c r="A3" s="2044" t="str">
        <f>'B2 SXNN'!A3:$BC$3</f>
        <v>(Kèm theo Báo cáo số:  1525 /BC-UBND, ngày   30  tháng 5 năm 2025 của UBND huyện Mường Tè)</v>
      </c>
      <c r="B3" s="2044"/>
      <c r="C3" s="2044"/>
      <c r="D3" s="2044"/>
      <c r="E3" s="2044"/>
      <c r="F3" s="2044"/>
      <c r="G3" s="2044"/>
      <c r="H3" s="2044"/>
      <c r="I3" s="2044"/>
      <c r="J3" s="2044"/>
      <c r="K3" s="2044"/>
      <c r="L3" s="2044"/>
      <c r="M3" s="2044"/>
      <c r="N3" s="2044"/>
      <c r="O3" s="2044"/>
      <c r="P3" s="2044"/>
      <c r="Q3" s="2044"/>
      <c r="R3" s="2044"/>
      <c r="S3" s="2044"/>
      <c r="T3" s="2044"/>
      <c r="U3" s="2044"/>
      <c r="V3" s="2044"/>
      <c r="W3" s="2044"/>
      <c r="X3" s="2044"/>
      <c r="Y3" s="2044"/>
      <c r="Z3" s="2044"/>
      <c r="AA3" s="2044"/>
      <c r="AB3" s="2044"/>
      <c r="AC3" s="2044"/>
      <c r="AD3" s="2044"/>
      <c r="AE3" s="2044"/>
      <c r="AF3" s="2044"/>
      <c r="AG3" s="2044"/>
      <c r="AH3" s="2044"/>
      <c r="AI3" s="2044"/>
      <c r="AJ3" s="2044"/>
      <c r="AK3" s="2044"/>
      <c r="AL3" s="2044"/>
      <c r="AM3" s="2044"/>
      <c r="AN3" s="2044"/>
      <c r="AO3" s="2044"/>
      <c r="AP3" s="2044"/>
      <c r="AQ3" s="2044"/>
      <c r="AR3" s="2044"/>
      <c r="AS3" s="2044"/>
      <c r="AT3" s="2044"/>
      <c r="AU3" s="2044"/>
      <c r="AV3" s="2044"/>
      <c r="AW3" s="2044"/>
      <c r="AX3" s="2044"/>
      <c r="AY3" s="2044"/>
      <c r="AZ3" s="2044"/>
      <c r="BA3" s="2044"/>
      <c r="BB3" s="2044"/>
      <c r="BC3" s="2044"/>
      <c r="BD3" s="502"/>
      <c r="BE3" s="502"/>
    </row>
    <row r="4" spans="1:60">
      <c r="A4" s="2047"/>
      <c r="B4" s="2047"/>
      <c r="C4" s="2047"/>
      <c r="D4" s="2047"/>
      <c r="E4" s="2047"/>
      <c r="F4" s="2047"/>
      <c r="G4" s="2047"/>
      <c r="H4" s="2047"/>
      <c r="I4" s="2047"/>
      <c r="J4" s="2047"/>
      <c r="K4" s="2047"/>
      <c r="L4" s="2047"/>
      <c r="M4" s="2047"/>
      <c r="N4" s="2047"/>
      <c r="O4" s="2047"/>
      <c r="P4" s="2047"/>
      <c r="Q4" s="2047"/>
      <c r="R4" s="2047"/>
      <c r="S4" s="2047"/>
      <c r="T4" s="2047"/>
      <c r="U4" s="2047"/>
      <c r="V4" s="2047"/>
      <c r="W4" s="2047"/>
      <c r="X4" s="2047"/>
      <c r="Y4" s="2047"/>
      <c r="Z4" s="2047"/>
      <c r="AA4" s="2047"/>
      <c r="AB4" s="2047"/>
      <c r="AC4" s="2047"/>
      <c r="AD4" s="2047"/>
      <c r="AE4" s="2047"/>
      <c r="AF4" s="2047"/>
      <c r="AG4" s="2047"/>
      <c r="AH4" s="2047"/>
      <c r="AI4" s="2047"/>
      <c r="AJ4" s="2047"/>
      <c r="AK4" s="2047"/>
      <c r="AL4" s="2047"/>
      <c r="AM4" s="2047"/>
      <c r="AN4" s="2047"/>
      <c r="AO4" s="2047"/>
      <c r="AP4" s="2047"/>
      <c r="AQ4" s="2047"/>
      <c r="AR4" s="2047"/>
      <c r="AS4" s="2047"/>
      <c r="AT4" s="2047"/>
      <c r="AU4" s="2047"/>
      <c r="AV4" s="2047"/>
      <c r="AW4" s="2047"/>
      <c r="AX4" s="2047"/>
      <c r="AY4" s="2047"/>
      <c r="AZ4" s="2047"/>
      <c r="BA4" s="2047"/>
      <c r="BB4" s="2047"/>
      <c r="BC4" s="2047"/>
    </row>
    <row r="5" spans="1:60" ht="36" customHeight="1">
      <c r="A5" s="2046" t="s">
        <v>178</v>
      </c>
      <c r="B5" s="2046" t="s">
        <v>56</v>
      </c>
      <c r="C5" s="2046" t="s">
        <v>57</v>
      </c>
      <c r="D5" s="2048" t="s">
        <v>880</v>
      </c>
      <c r="E5" s="2048" t="s">
        <v>865</v>
      </c>
      <c r="F5" s="2048"/>
      <c r="G5" s="2048"/>
      <c r="H5" s="2048"/>
      <c r="I5" s="2048"/>
      <c r="J5" s="2048"/>
      <c r="K5" s="2048"/>
      <c r="L5" s="2048"/>
      <c r="M5" s="2048"/>
      <c r="N5" s="2048"/>
      <c r="O5" s="2048"/>
      <c r="P5" s="2048"/>
      <c r="Q5" s="2048"/>
      <c r="R5" s="2048"/>
      <c r="S5" s="2048"/>
      <c r="T5" s="2048"/>
      <c r="U5" s="2048"/>
      <c r="V5" s="2048"/>
      <c r="W5" s="2050" t="s">
        <v>952</v>
      </c>
      <c r="X5" s="2051"/>
      <c r="Y5" s="2051"/>
      <c r="Z5" s="2051"/>
      <c r="AA5" s="2051"/>
      <c r="AB5" s="2051"/>
      <c r="AC5" s="2051"/>
      <c r="AD5" s="2051"/>
      <c r="AE5" s="2051"/>
      <c r="AF5" s="2051"/>
      <c r="AG5" s="2051"/>
      <c r="AH5" s="2051"/>
      <c r="AI5" s="2051"/>
      <c r="AJ5" s="2051"/>
      <c r="AK5" s="2051"/>
      <c r="AL5" s="2051"/>
      <c r="AM5" s="2051"/>
      <c r="AN5" s="2051"/>
      <c r="AO5" s="2051"/>
      <c r="AP5" s="2051"/>
      <c r="AQ5" s="2051"/>
      <c r="AR5" s="2051"/>
      <c r="AS5" s="2051"/>
      <c r="AT5" s="2051"/>
      <c r="AU5" s="2051"/>
      <c r="AV5" s="2051"/>
      <c r="AW5" s="2051"/>
      <c r="AX5" s="2051"/>
      <c r="AY5" s="2051"/>
      <c r="AZ5" s="2052"/>
      <c r="BA5" s="2048" t="s">
        <v>866</v>
      </c>
      <c r="BB5" s="2048"/>
      <c r="BC5" s="2049" t="s">
        <v>656</v>
      </c>
    </row>
    <row r="6" spans="1:60" ht="18.75" hidden="1" customHeight="1">
      <c r="A6" s="2046"/>
      <c r="B6" s="2046"/>
      <c r="C6" s="2046"/>
      <c r="D6" s="2048"/>
      <c r="E6" s="1936"/>
      <c r="F6" s="1787"/>
      <c r="G6" s="1787"/>
      <c r="H6" s="1787"/>
      <c r="I6" s="1787"/>
      <c r="J6" s="1787"/>
      <c r="K6" s="1787"/>
      <c r="L6" s="1787"/>
      <c r="M6" s="1787"/>
      <c r="N6" s="1787"/>
      <c r="O6" s="1787"/>
      <c r="P6" s="1787"/>
      <c r="Q6" s="1787"/>
      <c r="R6" s="1787"/>
      <c r="S6" s="1787"/>
      <c r="T6" s="1787"/>
      <c r="U6" s="1787"/>
      <c r="V6" s="1787"/>
      <c r="W6" s="1936"/>
      <c r="X6" s="1787"/>
      <c r="Y6" s="1787"/>
      <c r="Z6" s="1787"/>
      <c r="AA6" s="1787"/>
      <c r="AB6" s="1787"/>
      <c r="AC6" s="1787"/>
      <c r="AD6" s="1787"/>
      <c r="AE6" s="1787"/>
      <c r="AF6" s="1787"/>
      <c r="AG6" s="1787"/>
      <c r="AH6" s="1787"/>
      <c r="AI6" s="1787"/>
      <c r="AJ6" s="1787"/>
      <c r="AK6" s="1787"/>
      <c r="AL6" s="1787"/>
      <c r="AM6" s="1787"/>
      <c r="AN6" s="1787"/>
      <c r="AO6" s="1787"/>
      <c r="AP6" s="1787"/>
      <c r="AQ6" s="1787"/>
      <c r="AR6" s="1787"/>
      <c r="AS6" s="1787"/>
      <c r="AT6" s="1787"/>
      <c r="AU6" s="1787"/>
      <c r="AV6" s="1787"/>
      <c r="AW6" s="1787"/>
      <c r="AX6" s="1787"/>
      <c r="AY6" s="1787"/>
      <c r="AZ6" s="1787"/>
      <c r="BA6" s="1787"/>
      <c r="BB6" s="1787"/>
      <c r="BC6" s="2049"/>
    </row>
    <row r="7" spans="1:60" ht="21.95" customHeight="1">
      <c r="A7" s="2046"/>
      <c r="B7" s="2046"/>
      <c r="C7" s="2046"/>
      <c r="D7" s="2048"/>
      <c r="E7" s="2048" t="s">
        <v>765</v>
      </c>
      <c r="F7" s="2053" t="s">
        <v>566</v>
      </c>
      <c r="G7" s="1787"/>
      <c r="H7" s="2017" t="s">
        <v>797</v>
      </c>
      <c r="I7" s="2048" t="s">
        <v>882</v>
      </c>
      <c r="J7" s="2048"/>
      <c r="K7" s="2048"/>
      <c r="L7" s="2048"/>
      <c r="M7" s="2048"/>
      <c r="N7" s="2048"/>
      <c r="O7" s="2048"/>
      <c r="P7" s="2048"/>
      <c r="Q7" s="2048"/>
      <c r="R7" s="2048"/>
      <c r="S7" s="2048"/>
      <c r="T7" s="2048"/>
      <c r="U7" s="2048"/>
      <c r="V7" s="2048"/>
      <c r="W7" s="2048" t="s">
        <v>765</v>
      </c>
      <c r="X7" s="2048" t="s">
        <v>58</v>
      </c>
      <c r="Y7" s="2048"/>
      <c r="Z7" s="2048"/>
      <c r="AA7" s="2048"/>
      <c r="AB7" s="2048"/>
      <c r="AC7" s="2048"/>
      <c r="AD7" s="2048"/>
      <c r="AE7" s="2048"/>
      <c r="AF7" s="2048"/>
      <c r="AG7" s="2048"/>
      <c r="AH7" s="2048"/>
      <c r="AI7" s="2048"/>
      <c r="AJ7" s="2048"/>
      <c r="AK7" s="2048"/>
      <c r="AL7" s="2055" t="s">
        <v>958</v>
      </c>
      <c r="AM7" s="2048" t="s">
        <v>58</v>
      </c>
      <c r="AN7" s="2048"/>
      <c r="AO7" s="2048"/>
      <c r="AP7" s="2048"/>
      <c r="AQ7" s="2048"/>
      <c r="AR7" s="2048"/>
      <c r="AS7" s="2048"/>
      <c r="AT7" s="2048"/>
      <c r="AU7" s="2048"/>
      <c r="AV7" s="2048"/>
      <c r="AW7" s="2048"/>
      <c r="AX7" s="2048"/>
      <c r="AY7" s="2048"/>
      <c r="AZ7" s="2048"/>
      <c r="BA7" s="2017" t="s">
        <v>959</v>
      </c>
      <c r="BB7" s="2017" t="s">
        <v>960</v>
      </c>
      <c r="BC7" s="2049"/>
    </row>
    <row r="8" spans="1:60" ht="78.75" customHeight="1">
      <c r="A8" s="2021"/>
      <c r="B8" s="2021"/>
      <c r="C8" s="2021"/>
      <c r="D8" s="2048"/>
      <c r="E8" s="2048"/>
      <c r="F8" s="2054"/>
      <c r="G8" s="1781" t="s">
        <v>871</v>
      </c>
      <c r="H8" s="2017"/>
      <c r="I8" s="1780" t="s">
        <v>59</v>
      </c>
      <c r="J8" s="1780" t="s">
        <v>60</v>
      </c>
      <c r="K8" s="1780" t="s">
        <v>61</v>
      </c>
      <c r="L8" s="1780" t="s">
        <v>62</v>
      </c>
      <c r="M8" s="1780" t="s">
        <v>63</v>
      </c>
      <c r="N8" s="1780" t="s">
        <v>64</v>
      </c>
      <c r="O8" s="1780" t="s">
        <v>65</v>
      </c>
      <c r="P8" s="1780" t="s">
        <v>66</v>
      </c>
      <c r="Q8" s="1780" t="s">
        <v>67</v>
      </c>
      <c r="R8" s="1780" t="s">
        <v>68</v>
      </c>
      <c r="S8" s="1780" t="s">
        <v>69</v>
      </c>
      <c r="T8" s="1780" t="s">
        <v>70</v>
      </c>
      <c r="U8" s="1780" t="s">
        <v>71</v>
      </c>
      <c r="V8" s="1780" t="s">
        <v>72</v>
      </c>
      <c r="W8" s="2048"/>
      <c r="X8" s="1780" t="s">
        <v>937</v>
      </c>
      <c r="Y8" s="1780" t="s">
        <v>60</v>
      </c>
      <c r="Z8" s="1780" t="s">
        <v>61</v>
      </c>
      <c r="AA8" s="1780" t="s">
        <v>62</v>
      </c>
      <c r="AB8" s="1780" t="s">
        <v>63</v>
      </c>
      <c r="AC8" s="1780" t="s">
        <v>64</v>
      </c>
      <c r="AD8" s="1780" t="s">
        <v>65</v>
      </c>
      <c r="AE8" s="1780" t="s">
        <v>66</v>
      </c>
      <c r="AF8" s="1780" t="s">
        <v>67</v>
      </c>
      <c r="AG8" s="1780" t="s">
        <v>68</v>
      </c>
      <c r="AH8" s="1780" t="s">
        <v>69</v>
      </c>
      <c r="AI8" s="1780" t="s">
        <v>70</v>
      </c>
      <c r="AJ8" s="1780" t="s">
        <v>71</v>
      </c>
      <c r="AK8" s="1780" t="s">
        <v>72</v>
      </c>
      <c r="AL8" s="2056"/>
      <c r="AM8" s="1780" t="s">
        <v>937</v>
      </c>
      <c r="AN8" s="1780" t="s">
        <v>974</v>
      </c>
      <c r="AO8" s="1780" t="s">
        <v>975</v>
      </c>
      <c r="AP8" s="1780" t="s">
        <v>976</v>
      </c>
      <c r="AQ8" s="1780" t="s">
        <v>977</v>
      </c>
      <c r="AR8" s="1780" t="s">
        <v>978</v>
      </c>
      <c r="AS8" s="1780" t="s">
        <v>979</v>
      </c>
      <c r="AT8" s="1780" t="s">
        <v>980</v>
      </c>
      <c r="AU8" s="1780" t="s">
        <v>981</v>
      </c>
      <c r="AV8" s="1780" t="s">
        <v>982</v>
      </c>
      <c r="AW8" s="1780" t="s">
        <v>983</v>
      </c>
      <c r="AX8" s="1780" t="s">
        <v>984</v>
      </c>
      <c r="AY8" s="1780" t="s">
        <v>985</v>
      </c>
      <c r="AZ8" s="1780" t="s">
        <v>986</v>
      </c>
      <c r="BA8" s="2017"/>
      <c r="BB8" s="2017"/>
      <c r="BC8" s="2049"/>
      <c r="BD8" s="1589"/>
    </row>
    <row r="9" spans="1:60" ht="36" customHeight="1">
      <c r="A9" s="1785">
        <v>1</v>
      </c>
      <c r="B9" s="974" t="s">
        <v>938</v>
      </c>
      <c r="C9" s="1112" t="s">
        <v>33</v>
      </c>
      <c r="D9" s="848">
        <v>13</v>
      </c>
      <c r="E9" s="848" t="e">
        <f>SUM(#REF!)</f>
        <v>#REF!</v>
      </c>
      <c r="F9" s="848">
        <v>13</v>
      </c>
      <c r="G9" s="848">
        <v>13</v>
      </c>
      <c r="H9" s="848">
        <f>SUM(I9:V9)</f>
        <v>13</v>
      </c>
      <c r="I9" s="965"/>
      <c r="J9" s="965">
        <v>1</v>
      </c>
      <c r="K9" s="965">
        <v>1</v>
      </c>
      <c r="L9" s="965">
        <v>1</v>
      </c>
      <c r="M9" s="965">
        <v>1</v>
      </c>
      <c r="N9" s="965">
        <v>1</v>
      </c>
      <c r="O9" s="965">
        <v>1</v>
      </c>
      <c r="P9" s="965">
        <v>1</v>
      </c>
      <c r="Q9" s="965">
        <v>1</v>
      </c>
      <c r="R9" s="965">
        <v>1</v>
      </c>
      <c r="S9" s="965">
        <v>1</v>
      </c>
      <c r="T9" s="965">
        <v>1</v>
      </c>
      <c r="U9" s="965">
        <v>1</v>
      </c>
      <c r="V9" s="965">
        <v>1</v>
      </c>
      <c r="W9" s="848">
        <f>SUM(X9:AK9)</f>
        <v>13</v>
      </c>
      <c r="X9" s="965"/>
      <c r="Y9" s="965">
        <v>1</v>
      </c>
      <c r="Z9" s="965">
        <v>1</v>
      </c>
      <c r="AA9" s="965">
        <v>1</v>
      </c>
      <c r="AB9" s="965">
        <v>1</v>
      </c>
      <c r="AC9" s="965">
        <v>1</v>
      </c>
      <c r="AD9" s="965">
        <v>1</v>
      </c>
      <c r="AE9" s="965">
        <v>1</v>
      </c>
      <c r="AF9" s="965">
        <v>1</v>
      </c>
      <c r="AG9" s="965">
        <v>1</v>
      </c>
      <c r="AH9" s="965">
        <v>1</v>
      </c>
      <c r="AI9" s="965">
        <v>1</v>
      </c>
      <c r="AJ9" s="965">
        <v>1</v>
      </c>
      <c r="AK9" s="965">
        <v>1</v>
      </c>
      <c r="AL9" s="965">
        <f>SUM(AM9:AZ9)</f>
        <v>13</v>
      </c>
      <c r="AM9" s="965"/>
      <c r="AN9" s="965">
        <v>1</v>
      </c>
      <c r="AO9" s="965">
        <v>1</v>
      </c>
      <c r="AP9" s="965">
        <v>1</v>
      </c>
      <c r="AQ9" s="965">
        <v>1</v>
      </c>
      <c r="AR9" s="965">
        <v>1</v>
      </c>
      <c r="AS9" s="965">
        <v>1</v>
      </c>
      <c r="AT9" s="965">
        <v>1</v>
      </c>
      <c r="AU9" s="965">
        <v>1</v>
      </c>
      <c r="AV9" s="965">
        <v>1</v>
      </c>
      <c r="AW9" s="965">
        <v>1</v>
      </c>
      <c r="AX9" s="965">
        <v>1</v>
      </c>
      <c r="AY9" s="965">
        <v>1</v>
      </c>
      <c r="AZ9" s="965">
        <v>1</v>
      </c>
      <c r="BA9" s="864">
        <f>AL9/F9%</f>
        <v>100</v>
      </c>
      <c r="BB9" s="864">
        <f>AL9/W9%</f>
        <v>100</v>
      </c>
      <c r="BC9" s="848"/>
      <c r="BE9" s="1632"/>
    </row>
    <row r="10" spans="1:60" s="404" customFormat="1" ht="21.95" customHeight="1">
      <c r="A10" s="1785">
        <v>2</v>
      </c>
      <c r="B10" s="1234" t="s">
        <v>171</v>
      </c>
      <c r="C10" s="861" t="s">
        <v>26</v>
      </c>
      <c r="D10" s="961">
        <v>23.076923076923077</v>
      </c>
      <c r="E10" s="961">
        <f>3/13%</f>
        <v>23.076923076923077</v>
      </c>
      <c r="F10" s="961">
        <f>3/13%</f>
        <v>23.076923076923077</v>
      </c>
      <c r="G10" s="961">
        <v>23.076923076923102</v>
      </c>
      <c r="H10" s="864">
        <f>SUM(I10:V10)</f>
        <v>23.076923076923077</v>
      </c>
      <c r="I10" s="961"/>
      <c r="J10" s="1778">
        <f>J9/13*100</f>
        <v>7.6923076923076925</v>
      </c>
      <c r="K10" s="961"/>
      <c r="L10" s="961"/>
      <c r="M10" s="1778">
        <f>M9/13*100</f>
        <v>7.6923076923076925</v>
      </c>
      <c r="N10" s="961"/>
      <c r="O10" s="961"/>
      <c r="P10" s="961"/>
      <c r="Q10" s="961"/>
      <c r="R10" s="961"/>
      <c r="S10" s="961"/>
      <c r="T10" s="1778">
        <f>T9/13*100</f>
        <v>7.6923076923076925</v>
      </c>
      <c r="U10" s="961"/>
      <c r="V10" s="961"/>
      <c r="W10" s="864">
        <f>SUM(X10:AK10)</f>
        <v>30.76923076923077</v>
      </c>
      <c r="X10" s="961"/>
      <c r="Y10" s="1778">
        <f>Y9/13*100</f>
        <v>7.6923076923076925</v>
      </c>
      <c r="Z10" s="961"/>
      <c r="AA10" s="961"/>
      <c r="AB10" s="1778">
        <f>AB9/13*100</f>
        <v>7.6923076923076925</v>
      </c>
      <c r="AC10" s="1778">
        <f>AC9/13*100</f>
        <v>7.6923076923076925</v>
      </c>
      <c r="AD10" s="961"/>
      <c r="AE10" s="961"/>
      <c r="AF10" s="961"/>
      <c r="AG10" s="961"/>
      <c r="AH10" s="1778"/>
      <c r="AI10" s="1778">
        <f>AI9/13*100</f>
        <v>7.6923076923076925</v>
      </c>
      <c r="AJ10" s="961"/>
      <c r="AK10" s="961"/>
      <c r="AL10" s="961">
        <f>SUM(AM10:AZ10)</f>
        <v>0</v>
      </c>
      <c r="AM10" s="961"/>
      <c r="AN10" s="1778">
        <v>0</v>
      </c>
      <c r="AO10" s="961"/>
      <c r="AP10" s="961"/>
      <c r="AQ10" s="1778">
        <v>0</v>
      </c>
      <c r="AR10" s="1778"/>
      <c r="AS10" s="961"/>
      <c r="AT10" s="961"/>
      <c r="AU10" s="961"/>
      <c r="AV10" s="961"/>
      <c r="AW10" s="1778"/>
      <c r="AX10" s="1778">
        <v>0</v>
      </c>
      <c r="AY10" s="961"/>
      <c r="AZ10" s="961"/>
      <c r="BA10" s="864">
        <f t="shared" ref="BA10:BA16" si="0">AL10/F10%</f>
        <v>0</v>
      </c>
      <c r="BB10" s="864">
        <f t="shared" ref="BB10:BB14" si="1">AL10/W10%</f>
        <v>0</v>
      </c>
      <c r="BC10" s="961"/>
      <c r="BD10" s="353"/>
      <c r="BE10" s="1632"/>
    </row>
    <row r="11" spans="1:60" ht="36" customHeight="1">
      <c r="A11" s="1937" t="s">
        <v>578</v>
      </c>
      <c r="B11" s="974" t="s">
        <v>770</v>
      </c>
      <c r="C11" s="1112" t="s">
        <v>177</v>
      </c>
      <c r="D11" s="862">
        <v>13.21301775147929</v>
      </c>
      <c r="E11" s="862" t="e">
        <f>SUM(#REF!)/13</f>
        <v>#REF!</v>
      </c>
      <c r="F11" s="862">
        <v>13.692307692307692</v>
      </c>
      <c r="G11" s="862">
        <v>13.69</v>
      </c>
      <c r="H11" s="862">
        <f>AVERAGE(J11:V11)</f>
        <v>14</v>
      </c>
      <c r="I11" s="961"/>
      <c r="J11" s="961">
        <v>19</v>
      </c>
      <c r="K11" s="961">
        <v>13</v>
      </c>
      <c r="L11" s="961">
        <v>13</v>
      </c>
      <c r="M11" s="961">
        <v>19</v>
      </c>
      <c r="N11" s="961">
        <v>16</v>
      </c>
      <c r="O11" s="961">
        <v>12</v>
      </c>
      <c r="P11" s="961">
        <v>11</v>
      </c>
      <c r="Q11" s="961">
        <v>12</v>
      </c>
      <c r="R11" s="961">
        <v>10</v>
      </c>
      <c r="S11" s="961">
        <v>14</v>
      </c>
      <c r="T11" s="961">
        <v>19</v>
      </c>
      <c r="U11" s="961">
        <v>13</v>
      </c>
      <c r="V11" s="961">
        <v>11</v>
      </c>
      <c r="W11" s="864">
        <f>AVERAGE(Y11:AK11)</f>
        <v>16.384615384615383</v>
      </c>
      <c r="X11" s="961"/>
      <c r="Y11" s="961">
        <v>19</v>
      </c>
      <c r="Z11" s="961">
        <v>16</v>
      </c>
      <c r="AA11" s="961">
        <v>15</v>
      </c>
      <c r="AB11" s="961">
        <v>19</v>
      </c>
      <c r="AC11" s="961">
        <v>19</v>
      </c>
      <c r="AD11" s="961">
        <v>15</v>
      </c>
      <c r="AE11" s="961">
        <v>15</v>
      </c>
      <c r="AF11" s="961">
        <v>15</v>
      </c>
      <c r="AG11" s="961">
        <v>15</v>
      </c>
      <c r="AH11" s="961">
        <v>16</v>
      </c>
      <c r="AI11" s="961">
        <v>19</v>
      </c>
      <c r="AJ11" s="961">
        <v>15</v>
      </c>
      <c r="AK11" s="961">
        <v>15</v>
      </c>
      <c r="AL11" s="1778">
        <f>AVERAGE(AN11:AZ11)</f>
        <v>13.076923076923077</v>
      </c>
      <c r="AM11" s="961"/>
      <c r="AN11" s="961">
        <v>16</v>
      </c>
      <c r="AO11" s="961">
        <v>13</v>
      </c>
      <c r="AP11" s="961">
        <v>12</v>
      </c>
      <c r="AQ11" s="961">
        <v>16</v>
      </c>
      <c r="AR11" s="961">
        <v>15</v>
      </c>
      <c r="AS11" s="961">
        <v>12</v>
      </c>
      <c r="AT11" s="961">
        <v>10</v>
      </c>
      <c r="AU11" s="961">
        <v>13</v>
      </c>
      <c r="AV11" s="961">
        <v>10</v>
      </c>
      <c r="AW11" s="961">
        <v>13</v>
      </c>
      <c r="AX11" s="961">
        <v>16</v>
      </c>
      <c r="AY11" s="961">
        <v>13</v>
      </c>
      <c r="AZ11" s="961">
        <v>11</v>
      </c>
      <c r="BA11" s="864">
        <f t="shared" si="0"/>
        <v>95.50561797752809</v>
      </c>
      <c r="BB11" s="864">
        <f t="shared" si="1"/>
        <v>79.812206572769952</v>
      </c>
      <c r="BC11" s="864"/>
      <c r="BD11" s="1779">
        <f>AL11-F11</f>
        <v>-0.61538461538461497</v>
      </c>
      <c r="BE11" s="1632"/>
    </row>
    <row r="12" spans="1:60" ht="21.95" customHeight="1">
      <c r="A12" s="1937" t="s">
        <v>578</v>
      </c>
      <c r="B12" s="1234" t="s">
        <v>939</v>
      </c>
      <c r="C12" s="1112" t="s">
        <v>33</v>
      </c>
      <c r="D12" s="848">
        <v>3</v>
      </c>
      <c r="E12" s="848" t="e">
        <f>SUM(#REF!)</f>
        <v>#REF!</v>
      </c>
      <c r="F12" s="848">
        <v>3</v>
      </c>
      <c r="G12" s="848">
        <v>3</v>
      </c>
      <c r="H12" s="848">
        <f>SUM(I12:V12)</f>
        <v>3</v>
      </c>
      <c r="I12" s="965"/>
      <c r="J12" s="965">
        <v>1</v>
      </c>
      <c r="K12" s="965"/>
      <c r="L12" s="965"/>
      <c r="M12" s="965">
        <v>1</v>
      </c>
      <c r="N12" s="965"/>
      <c r="O12" s="965"/>
      <c r="P12" s="965"/>
      <c r="Q12" s="965"/>
      <c r="R12" s="965"/>
      <c r="S12" s="965"/>
      <c r="T12" s="965">
        <v>1</v>
      </c>
      <c r="U12" s="965"/>
      <c r="V12" s="965"/>
      <c r="W12" s="848">
        <f>SUM(X12:AK12)</f>
        <v>4</v>
      </c>
      <c r="X12" s="965"/>
      <c r="Y12" s="965">
        <v>1</v>
      </c>
      <c r="Z12" s="965"/>
      <c r="AA12" s="965"/>
      <c r="AB12" s="965">
        <v>1</v>
      </c>
      <c r="AC12" s="965">
        <v>1</v>
      </c>
      <c r="AD12" s="965"/>
      <c r="AE12" s="965"/>
      <c r="AF12" s="965"/>
      <c r="AG12" s="965"/>
      <c r="AH12" s="965"/>
      <c r="AI12" s="965">
        <v>1</v>
      </c>
      <c r="AJ12" s="965"/>
      <c r="AK12" s="965"/>
      <c r="AL12" s="965">
        <f>SUM(AM12:AZ12)</f>
        <v>0</v>
      </c>
      <c r="AM12" s="965"/>
      <c r="AN12" s="965">
        <v>0</v>
      </c>
      <c r="AO12" s="965"/>
      <c r="AP12" s="965"/>
      <c r="AQ12" s="965">
        <v>0</v>
      </c>
      <c r="AR12" s="965"/>
      <c r="AS12" s="965"/>
      <c r="AT12" s="965"/>
      <c r="AU12" s="965"/>
      <c r="AV12" s="965"/>
      <c r="AW12" s="965"/>
      <c r="AX12" s="965">
        <v>0</v>
      </c>
      <c r="AY12" s="965"/>
      <c r="AZ12" s="965"/>
      <c r="BA12" s="864">
        <f t="shared" si="0"/>
        <v>0</v>
      </c>
      <c r="BB12" s="864">
        <f t="shared" si="1"/>
        <v>0</v>
      </c>
      <c r="BC12" s="848"/>
      <c r="BE12" s="1632"/>
      <c r="BH12" s="630"/>
    </row>
    <row r="13" spans="1:60" ht="21.95" customHeight="1">
      <c r="A13" s="1937" t="s">
        <v>709</v>
      </c>
      <c r="B13" s="1234" t="s">
        <v>806</v>
      </c>
      <c r="C13" s="1112" t="s">
        <v>33</v>
      </c>
      <c r="D13" s="848">
        <v>0</v>
      </c>
      <c r="E13" s="848" t="e">
        <f>SUM(#REF!)</f>
        <v>#REF!</v>
      </c>
      <c r="F13" s="848"/>
      <c r="G13" s="848"/>
      <c r="H13" s="848">
        <f t="shared" ref="H13:H16" si="2">SUM(I13:V13)</f>
        <v>0</v>
      </c>
      <c r="I13" s="965"/>
      <c r="J13" s="965"/>
      <c r="K13" s="965"/>
      <c r="L13" s="965"/>
      <c r="M13" s="965"/>
      <c r="N13" s="965"/>
      <c r="O13" s="965"/>
      <c r="P13" s="965"/>
      <c r="Q13" s="965"/>
      <c r="R13" s="965"/>
      <c r="S13" s="965"/>
      <c r="T13" s="965"/>
      <c r="U13" s="965"/>
      <c r="V13" s="965"/>
      <c r="W13" s="848">
        <f t="shared" ref="W13:W16" si="3">SUM(X13:AK13)</f>
        <v>1</v>
      </c>
      <c r="X13" s="965"/>
      <c r="Y13" s="965"/>
      <c r="Z13" s="965"/>
      <c r="AA13" s="965"/>
      <c r="AB13" s="965"/>
      <c r="AC13" s="965">
        <v>1</v>
      </c>
      <c r="AD13" s="965"/>
      <c r="AE13" s="965"/>
      <c r="AF13" s="965"/>
      <c r="AG13" s="965"/>
      <c r="AH13" s="965"/>
      <c r="AI13" s="965"/>
      <c r="AJ13" s="965"/>
      <c r="AK13" s="965"/>
      <c r="AL13" s="965">
        <f t="shared" ref="AL13:AL15" si="4">SUM(AM13:AZ13)</f>
        <v>0</v>
      </c>
      <c r="AM13" s="965"/>
      <c r="AN13" s="965"/>
      <c r="AO13" s="965"/>
      <c r="AP13" s="965"/>
      <c r="AQ13" s="965"/>
      <c r="AR13" s="965"/>
      <c r="AS13" s="965"/>
      <c r="AT13" s="965"/>
      <c r="AU13" s="965"/>
      <c r="AV13" s="965"/>
      <c r="AW13" s="965"/>
      <c r="AX13" s="965"/>
      <c r="AY13" s="965"/>
      <c r="AZ13" s="965"/>
      <c r="BA13" s="864"/>
      <c r="BB13" s="864">
        <f t="shared" si="1"/>
        <v>0</v>
      </c>
      <c r="BC13" s="848"/>
      <c r="BE13" s="1632"/>
    </row>
    <row r="14" spans="1:60" ht="21.95" customHeight="1">
      <c r="A14" s="1939" t="s">
        <v>578</v>
      </c>
      <c r="B14" s="889" t="s">
        <v>771</v>
      </c>
      <c r="C14" s="1112" t="s">
        <v>33</v>
      </c>
      <c r="D14" s="848">
        <v>1</v>
      </c>
      <c r="E14" s="848" t="e">
        <f>SUM(#REF!)</f>
        <v>#REF!</v>
      </c>
      <c r="F14" s="848">
        <v>1</v>
      </c>
      <c r="G14" s="848">
        <v>1</v>
      </c>
      <c r="H14" s="848">
        <f t="shared" si="2"/>
        <v>1</v>
      </c>
      <c r="I14" s="965"/>
      <c r="J14" s="965"/>
      <c r="K14" s="1706"/>
      <c r="L14" s="965"/>
      <c r="M14" s="965"/>
      <c r="N14" s="965">
        <v>1</v>
      </c>
      <c r="O14" s="965"/>
      <c r="P14" s="965"/>
      <c r="Q14" s="965"/>
      <c r="R14" s="965"/>
      <c r="S14" s="965"/>
      <c r="T14" s="965"/>
      <c r="U14" s="965"/>
      <c r="V14" s="965"/>
      <c r="W14" s="848">
        <f t="shared" si="3"/>
        <v>9</v>
      </c>
      <c r="X14" s="965"/>
      <c r="Y14" s="965"/>
      <c r="Z14" s="1706">
        <v>1</v>
      </c>
      <c r="AA14" s="965">
        <v>1</v>
      </c>
      <c r="AB14" s="965"/>
      <c r="AC14" s="965"/>
      <c r="AD14" s="965">
        <v>1</v>
      </c>
      <c r="AE14" s="965">
        <v>1</v>
      </c>
      <c r="AF14" s="965">
        <v>1</v>
      </c>
      <c r="AG14" s="965">
        <v>1</v>
      </c>
      <c r="AH14" s="965">
        <v>1</v>
      </c>
      <c r="AI14" s="965"/>
      <c r="AJ14" s="965">
        <v>1</v>
      </c>
      <c r="AK14" s="965">
        <v>1</v>
      </c>
      <c r="AL14" s="965">
        <f t="shared" si="4"/>
        <v>4</v>
      </c>
      <c r="AM14" s="965"/>
      <c r="AN14" s="965">
        <v>1</v>
      </c>
      <c r="AO14" s="1706"/>
      <c r="AP14" s="965"/>
      <c r="AQ14" s="965">
        <v>1</v>
      </c>
      <c r="AR14" s="965">
        <v>1</v>
      </c>
      <c r="AS14" s="965"/>
      <c r="AT14" s="965"/>
      <c r="AU14" s="965"/>
      <c r="AV14" s="965"/>
      <c r="AW14" s="965"/>
      <c r="AX14" s="965">
        <v>1</v>
      </c>
      <c r="AY14" s="965"/>
      <c r="AZ14" s="965"/>
      <c r="BA14" s="864">
        <f t="shared" si="0"/>
        <v>400</v>
      </c>
      <c r="BB14" s="864">
        <f t="shared" si="1"/>
        <v>44.444444444444443</v>
      </c>
      <c r="BC14" s="848"/>
      <c r="BE14" s="1632"/>
    </row>
    <row r="15" spans="1:60" ht="21.95" customHeight="1">
      <c r="A15" s="1939" t="s">
        <v>578</v>
      </c>
      <c r="B15" s="889" t="s">
        <v>772</v>
      </c>
      <c r="C15" s="1112" t="s">
        <v>33</v>
      </c>
      <c r="D15" s="848">
        <v>8</v>
      </c>
      <c r="E15" s="848" t="e">
        <f>SUM(#REF!)</f>
        <v>#REF!</v>
      </c>
      <c r="F15" s="848">
        <v>8</v>
      </c>
      <c r="G15" s="848">
        <v>8</v>
      </c>
      <c r="H15" s="848">
        <f t="shared" si="2"/>
        <v>9</v>
      </c>
      <c r="I15" s="965"/>
      <c r="J15" s="965"/>
      <c r="K15" s="965">
        <v>1</v>
      </c>
      <c r="L15" s="965">
        <v>1</v>
      </c>
      <c r="M15" s="965"/>
      <c r="N15" s="965"/>
      <c r="O15" s="965">
        <v>1</v>
      </c>
      <c r="P15" s="965">
        <v>1</v>
      </c>
      <c r="Q15" s="965">
        <v>1</v>
      </c>
      <c r="R15" s="965">
        <v>1</v>
      </c>
      <c r="S15" s="965">
        <v>1</v>
      </c>
      <c r="T15" s="965"/>
      <c r="U15" s="965">
        <v>1</v>
      </c>
      <c r="V15" s="965">
        <v>1</v>
      </c>
      <c r="W15" s="848">
        <f t="shared" si="3"/>
        <v>0</v>
      </c>
      <c r="X15" s="965"/>
      <c r="Y15" s="965"/>
      <c r="Z15" s="965"/>
      <c r="AA15" s="965"/>
      <c r="AB15" s="965"/>
      <c r="AC15" s="965"/>
      <c r="AD15" s="965"/>
      <c r="AE15" s="965"/>
      <c r="AF15" s="965"/>
      <c r="AG15" s="965"/>
      <c r="AH15" s="965"/>
      <c r="AI15" s="965"/>
      <c r="AJ15" s="965"/>
      <c r="AK15" s="965"/>
      <c r="AL15" s="965">
        <f t="shared" si="4"/>
        <v>9</v>
      </c>
      <c r="AM15" s="965"/>
      <c r="AN15" s="965"/>
      <c r="AO15" s="965">
        <v>1</v>
      </c>
      <c r="AP15" s="965">
        <v>1</v>
      </c>
      <c r="AQ15" s="965"/>
      <c r="AR15" s="965"/>
      <c r="AS15" s="965">
        <v>1</v>
      </c>
      <c r="AT15" s="965">
        <v>1</v>
      </c>
      <c r="AU15" s="965">
        <v>1</v>
      </c>
      <c r="AV15" s="965">
        <v>1</v>
      </c>
      <c r="AW15" s="965">
        <v>1</v>
      </c>
      <c r="AX15" s="965"/>
      <c r="AY15" s="965">
        <v>1</v>
      </c>
      <c r="AZ15" s="965">
        <v>1</v>
      </c>
      <c r="BA15" s="864">
        <f t="shared" si="0"/>
        <v>112.5</v>
      </c>
      <c r="BB15" s="864"/>
      <c r="BC15" s="848"/>
      <c r="BE15" s="1632"/>
    </row>
    <row r="16" spans="1:60" ht="21.95" customHeight="1">
      <c r="A16" s="1939" t="s">
        <v>578</v>
      </c>
      <c r="B16" s="889" t="s">
        <v>773</v>
      </c>
      <c r="C16" s="1112" t="s">
        <v>33</v>
      </c>
      <c r="D16" s="848">
        <v>1</v>
      </c>
      <c r="E16" s="848" t="e">
        <f>SUM(#REF!)</f>
        <v>#REF!</v>
      </c>
      <c r="F16" s="848">
        <v>1</v>
      </c>
      <c r="G16" s="848">
        <v>1</v>
      </c>
      <c r="H16" s="848">
        <f t="shared" si="2"/>
        <v>0</v>
      </c>
      <c r="I16" s="848"/>
      <c r="J16" s="848"/>
      <c r="K16" s="848"/>
      <c r="L16" s="848"/>
      <c r="M16" s="848"/>
      <c r="N16" s="848"/>
      <c r="O16" s="848"/>
      <c r="P16" s="848"/>
      <c r="Q16" s="848"/>
      <c r="R16" s="848"/>
      <c r="S16" s="848"/>
      <c r="T16" s="848"/>
      <c r="U16" s="848"/>
      <c r="V16" s="848"/>
      <c r="W16" s="848">
        <f t="shared" si="3"/>
        <v>0</v>
      </c>
      <c r="X16" s="848"/>
      <c r="Y16" s="848"/>
      <c r="Z16" s="848"/>
      <c r="AA16" s="848"/>
      <c r="AB16" s="848"/>
      <c r="AC16" s="848"/>
      <c r="AD16" s="848"/>
      <c r="AE16" s="848"/>
      <c r="AF16" s="848"/>
      <c r="AG16" s="848"/>
      <c r="AH16" s="848"/>
      <c r="AI16" s="848"/>
      <c r="AJ16" s="848"/>
      <c r="AK16" s="848"/>
      <c r="AL16" s="1118"/>
      <c r="AM16" s="1118"/>
      <c r="AN16" s="1118"/>
      <c r="AO16" s="1118"/>
      <c r="AP16" s="1118"/>
      <c r="AQ16" s="1118"/>
      <c r="AR16" s="1118"/>
      <c r="AS16" s="1118"/>
      <c r="AT16" s="1118"/>
      <c r="AU16" s="1118"/>
      <c r="AV16" s="1118"/>
      <c r="AW16" s="1118"/>
      <c r="AX16" s="1118"/>
      <c r="AY16" s="1118"/>
      <c r="AZ16" s="1118"/>
      <c r="BA16" s="864">
        <f t="shared" si="0"/>
        <v>0</v>
      </c>
      <c r="BB16" s="864"/>
      <c r="BC16" s="848"/>
      <c r="BE16" s="1632"/>
    </row>
    <row r="17" spans="1:55">
      <c r="A17" s="652"/>
      <c r="B17" s="1940"/>
      <c r="C17" s="652"/>
      <c r="D17" s="1935"/>
      <c r="E17" s="1935"/>
      <c r="F17" s="1935"/>
      <c r="G17" s="1935"/>
      <c r="H17" s="1935"/>
      <c r="I17" s="1935"/>
      <c r="J17" s="1935"/>
      <c r="K17" s="1935"/>
      <c r="L17" s="1935"/>
      <c r="M17" s="1935"/>
      <c r="N17" s="1935"/>
      <c r="O17" s="1935"/>
      <c r="P17" s="1935"/>
      <c r="Q17" s="1935"/>
      <c r="R17" s="1935"/>
      <c r="S17" s="1935"/>
      <c r="T17" s="1935"/>
      <c r="U17" s="1935"/>
      <c r="V17" s="1935"/>
      <c r="W17" s="1935"/>
      <c r="X17" s="1935"/>
      <c r="Y17" s="1935"/>
      <c r="Z17" s="1935"/>
      <c r="AA17" s="1935"/>
      <c r="AB17" s="1935"/>
      <c r="AC17" s="1935"/>
      <c r="AD17" s="1935"/>
      <c r="AE17" s="1935"/>
      <c r="AF17" s="1935"/>
      <c r="AG17" s="1935"/>
      <c r="AH17" s="1935"/>
      <c r="AI17" s="1935"/>
      <c r="AJ17" s="1935"/>
      <c r="AK17" s="1935"/>
      <c r="AL17" s="1935"/>
      <c r="AM17" s="1935"/>
      <c r="AN17" s="1935"/>
      <c r="AO17" s="1935"/>
      <c r="AP17" s="1935"/>
      <c r="AQ17" s="1935"/>
      <c r="AR17" s="1935"/>
      <c r="AS17" s="1935"/>
      <c r="AT17" s="1935"/>
      <c r="AU17" s="1935"/>
      <c r="AV17" s="1935"/>
      <c r="AW17" s="1935"/>
      <c r="AX17" s="1935"/>
      <c r="AY17" s="1935"/>
      <c r="AZ17" s="1935"/>
      <c r="BA17" s="1935"/>
      <c r="BB17" s="1935"/>
      <c r="BC17" s="1935"/>
    </row>
    <row r="18" spans="1:55">
      <c r="A18" s="652"/>
      <c r="B18" s="1940"/>
      <c r="C18" s="652"/>
      <c r="D18" s="1935"/>
      <c r="E18" s="1935"/>
      <c r="F18" s="1935"/>
      <c r="G18" s="1935"/>
      <c r="H18" s="1935"/>
      <c r="I18" s="1935"/>
      <c r="J18" s="1935"/>
      <c r="K18" s="1935"/>
      <c r="L18" s="1935"/>
      <c r="M18" s="1935"/>
      <c r="N18" s="1935"/>
      <c r="O18" s="1935"/>
      <c r="P18" s="1935"/>
      <c r="Q18" s="1935"/>
      <c r="R18" s="1935"/>
      <c r="S18" s="1935"/>
      <c r="T18" s="1935"/>
      <c r="U18" s="1935"/>
      <c r="V18" s="1935"/>
      <c r="W18" s="1935"/>
      <c r="X18" s="1935"/>
      <c r="Y18" s="1935"/>
      <c r="Z18" s="1935"/>
      <c r="AA18" s="1935"/>
      <c r="AB18" s="1935"/>
      <c r="AC18" s="1935"/>
      <c r="AD18" s="1935"/>
      <c r="AE18" s="1935"/>
      <c r="AF18" s="1935"/>
      <c r="AG18" s="1935"/>
      <c r="AH18" s="1935"/>
      <c r="AI18" s="1935"/>
      <c r="AJ18" s="1935"/>
      <c r="AK18" s="1935"/>
      <c r="AL18" s="1935"/>
      <c r="AM18" s="1935"/>
      <c r="AN18" s="1935"/>
      <c r="AO18" s="1935"/>
      <c r="AP18" s="1935"/>
      <c r="AQ18" s="1935"/>
      <c r="AR18" s="1935"/>
      <c r="AS18" s="1935"/>
      <c r="AT18" s="1935"/>
      <c r="AU18" s="1935"/>
      <c r="AV18" s="1935"/>
      <c r="AW18" s="1935"/>
      <c r="AX18" s="1935"/>
      <c r="AY18" s="1935"/>
      <c r="AZ18" s="1935"/>
      <c r="BA18" s="1935"/>
      <c r="BB18" s="1935"/>
      <c r="BC18" s="1935"/>
    </row>
    <row r="19" spans="1:55">
      <c r="A19" s="652"/>
      <c r="B19" s="1940"/>
      <c r="C19" s="652"/>
      <c r="D19" s="1935"/>
      <c r="E19" s="1935"/>
      <c r="F19" s="1935"/>
      <c r="G19" s="1935"/>
      <c r="H19" s="1935"/>
      <c r="I19" s="1935"/>
      <c r="J19" s="1935"/>
      <c r="K19" s="1935"/>
      <c r="L19" s="1935"/>
      <c r="M19" s="1935"/>
      <c r="N19" s="1935"/>
      <c r="O19" s="1935"/>
      <c r="P19" s="1935"/>
      <c r="Q19" s="1935"/>
      <c r="R19" s="1935"/>
      <c r="S19" s="1935"/>
      <c r="T19" s="1935"/>
      <c r="U19" s="1935"/>
      <c r="V19" s="1935"/>
      <c r="W19" s="1935"/>
      <c r="X19" s="1935"/>
      <c r="Y19" s="1935"/>
      <c r="Z19" s="1935"/>
      <c r="AA19" s="1935"/>
      <c r="AB19" s="1935"/>
      <c r="AC19" s="1935"/>
      <c r="AD19" s="1935"/>
      <c r="AE19" s="1935"/>
      <c r="AF19" s="1935"/>
      <c r="AG19" s="1935"/>
      <c r="AH19" s="1935"/>
      <c r="AI19" s="1935"/>
      <c r="AJ19" s="1935"/>
      <c r="AK19" s="1935"/>
      <c r="AL19" s="1935"/>
      <c r="AM19" s="1935"/>
      <c r="AN19" s="1935"/>
      <c r="AO19" s="1935"/>
      <c r="AP19" s="1935"/>
      <c r="AQ19" s="1935"/>
      <c r="AR19" s="1935"/>
      <c r="AS19" s="1935"/>
      <c r="AT19" s="1935"/>
      <c r="AU19" s="1935"/>
      <c r="AV19" s="1935"/>
      <c r="AW19" s="1935"/>
      <c r="AX19" s="1935"/>
      <c r="AY19" s="1935"/>
      <c r="AZ19" s="1935"/>
      <c r="BA19" s="1935"/>
      <c r="BB19" s="1935"/>
      <c r="BC19" s="1935"/>
    </row>
    <row r="20" spans="1:55">
      <c r="A20" s="652"/>
      <c r="B20" s="1940"/>
      <c r="C20" s="652"/>
      <c r="D20" s="1935"/>
      <c r="E20" s="1935"/>
      <c r="F20" s="1935"/>
      <c r="G20" s="1935"/>
      <c r="H20" s="1935"/>
      <c r="I20" s="1935"/>
      <c r="J20" s="1935"/>
      <c r="K20" s="1935"/>
      <c r="L20" s="1935"/>
      <c r="M20" s="1935"/>
      <c r="N20" s="1935"/>
      <c r="O20" s="1935"/>
      <c r="P20" s="1935"/>
      <c r="Q20" s="1935"/>
      <c r="R20" s="1935"/>
      <c r="S20" s="1935"/>
      <c r="T20" s="1935"/>
      <c r="U20" s="1935"/>
      <c r="V20" s="1935"/>
      <c r="W20" s="1935"/>
      <c r="X20" s="1935"/>
      <c r="Y20" s="1935"/>
      <c r="Z20" s="1935"/>
      <c r="AA20" s="1935"/>
      <c r="AB20" s="1935"/>
      <c r="AC20" s="1935"/>
      <c r="AD20" s="1935"/>
      <c r="AE20" s="1935"/>
      <c r="AF20" s="1935"/>
      <c r="AG20" s="1935"/>
      <c r="AH20" s="1935"/>
      <c r="AI20" s="1935"/>
      <c r="AJ20" s="1935"/>
      <c r="AK20" s="1935"/>
      <c r="AL20" s="1935"/>
      <c r="AM20" s="1935"/>
      <c r="AN20" s="1935"/>
      <c r="AO20" s="1935"/>
      <c r="AP20" s="1935"/>
      <c r="AQ20" s="1935"/>
      <c r="AR20" s="1935"/>
      <c r="AS20" s="1935"/>
      <c r="AT20" s="1935"/>
      <c r="AU20" s="1935"/>
      <c r="AV20" s="1935"/>
      <c r="AW20" s="1935"/>
      <c r="AX20" s="1935"/>
      <c r="AY20" s="1935"/>
      <c r="AZ20" s="1935"/>
      <c r="BA20" s="1935"/>
      <c r="BB20" s="1935"/>
      <c r="BC20" s="1935"/>
    </row>
    <row r="21" spans="1:55">
      <c r="A21" s="652"/>
      <c r="B21" s="1940"/>
      <c r="C21" s="652"/>
      <c r="D21" s="1935"/>
      <c r="E21" s="1935"/>
      <c r="F21" s="1935"/>
      <c r="G21" s="1935"/>
      <c r="H21" s="1935"/>
      <c r="I21" s="1935"/>
      <c r="J21" s="1935"/>
      <c r="K21" s="1935"/>
      <c r="L21" s="1935"/>
      <c r="M21" s="1935"/>
      <c r="N21" s="1935"/>
      <c r="O21" s="1935"/>
      <c r="P21" s="1935"/>
      <c r="Q21" s="1935"/>
      <c r="R21" s="1935"/>
      <c r="S21" s="1935"/>
      <c r="T21" s="1935"/>
      <c r="U21" s="1935"/>
      <c r="V21" s="1935"/>
      <c r="W21" s="1935"/>
      <c r="X21" s="1935"/>
      <c r="Y21" s="1935"/>
      <c r="Z21" s="1935"/>
      <c r="AA21" s="1935"/>
      <c r="AB21" s="1935"/>
      <c r="AC21" s="1935"/>
      <c r="AD21" s="1935"/>
      <c r="AE21" s="1935"/>
      <c r="AF21" s="1935"/>
      <c r="AG21" s="1935"/>
      <c r="AH21" s="1935"/>
      <c r="AI21" s="1935"/>
      <c r="AJ21" s="1935"/>
      <c r="AK21" s="1935"/>
      <c r="AL21" s="1935"/>
      <c r="AM21" s="1935"/>
      <c r="AN21" s="1935"/>
      <c r="AO21" s="1935"/>
      <c r="AP21" s="1935"/>
      <c r="AQ21" s="1935"/>
      <c r="AR21" s="1935"/>
      <c r="AS21" s="1935"/>
      <c r="AT21" s="1935"/>
      <c r="AU21" s="1935"/>
      <c r="AV21" s="1935"/>
      <c r="AW21" s="1935"/>
      <c r="AX21" s="1935"/>
      <c r="AY21" s="1935"/>
      <c r="AZ21" s="1935"/>
      <c r="BA21" s="1935"/>
      <c r="BB21" s="1935"/>
      <c r="BC21" s="1935"/>
    </row>
    <row r="22" spans="1:55">
      <c r="A22" s="652"/>
      <c r="B22" s="1940"/>
      <c r="C22" s="652"/>
      <c r="D22" s="1935"/>
      <c r="E22" s="1935"/>
      <c r="F22" s="1935"/>
      <c r="G22" s="1935"/>
      <c r="H22" s="1935"/>
      <c r="I22" s="1935"/>
      <c r="J22" s="1935"/>
      <c r="K22" s="1935"/>
      <c r="L22" s="1935"/>
      <c r="M22" s="1935"/>
      <c r="N22" s="1935"/>
      <c r="O22" s="1935"/>
      <c r="P22" s="1935"/>
      <c r="Q22" s="1935"/>
      <c r="R22" s="1935"/>
      <c r="S22" s="1935"/>
      <c r="T22" s="1935"/>
      <c r="U22" s="1935"/>
      <c r="V22" s="1935"/>
      <c r="W22" s="1935"/>
      <c r="X22" s="1935"/>
      <c r="Y22" s="1935"/>
      <c r="Z22" s="1935"/>
      <c r="AA22" s="1935"/>
      <c r="AB22" s="1935"/>
      <c r="AC22" s="1935"/>
      <c r="AD22" s="1935"/>
      <c r="AE22" s="1935"/>
      <c r="AF22" s="1935"/>
      <c r="AG22" s="1935"/>
      <c r="AH22" s="1935"/>
      <c r="AI22" s="1935"/>
      <c r="AJ22" s="1935"/>
      <c r="AK22" s="1935"/>
      <c r="AL22" s="1935"/>
      <c r="AM22" s="1935"/>
      <c r="AN22" s="1935"/>
      <c r="AO22" s="1935"/>
      <c r="AP22" s="1935"/>
      <c r="AQ22" s="1935"/>
      <c r="AR22" s="1935"/>
      <c r="AS22" s="1935"/>
      <c r="AT22" s="1935"/>
      <c r="AU22" s="1935"/>
      <c r="AV22" s="1935"/>
      <c r="AW22" s="1935" t="s">
        <v>197</v>
      </c>
      <c r="AX22" s="1935"/>
      <c r="AY22" s="1935"/>
      <c r="AZ22" s="1935"/>
      <c r="BA22" s="1935"/>
      <c r="BB22" s="1935"/>
      <c r="BC22" s="1935"/>
    </row>
    <row r="23" spans="1:55">
      <c r="A23" s="652"/>
      <c r="B23" s="1940"/>
      <c r="C23" s="652"/>
      <c r="D23" s="1935"/>
      <c r="E23" s="1935"/>
      <c r="F23" s="1935"/>
      <c r="G23" s="1935"/>
      <c r="H23" s="1935"/>
      <c r="I23" s="1935"/>
      <c r="J23" s="1935"/>
      <c r="K23" s="1935"/>
      <c r="L23" s="1935"/>
      <c r="M23" s="1935"/>
      <c r="N23" s="1935"/>
      <c r="O23" s="1935"/>
      <c r="P23" s="1935"/>
      <c r="Q23" s="1935"/>
      <c r="R23" s="1935"/>
      <c r="S23" s="1935"/>
      <c r="T23" s="1935"/>
      <c r="U23" s="1935"/>
      <c r="V23" s="1935"/>
      <c r="W23" s="1935"/>
      <c r="X23" s="1935"/>
      <c r="Y23" s="1935"/>
      <c r="Z23" s="1935"/>
      <c r="AA23" s="1935"/>
      <c r="AB23" s="1935"/>
      <c r="AC23" s="1935"/>
      <c r="AD23" s="1935"/>
      <c r="AE23" s="1935"/>
      <c r="AF23" s="1935"/>
      <c r="AG23" s="1935"/>
      <c r="AH23" s="1935"/>
      <c r="AI23" s="1935"/>
      <c r="AJ23" s="1935"/>
      <c r="AK23" s="1935"/>
      <c r="AL23" s="1935"/>
      <c r="AM23" s="1935"/>
      <c r="AN23" s="1935"/>
      <c r="AO23" s="1935"/>
      <c r="AP23" s="1935"/>
      <c r="AQ23" s="1935"/>
      <c r="AR23" s="1935"/>
      <c r="AS23" s="1935"/>
      <c r="AT23" s="1935"/>
      <c r="AU23" s="1935"/>
      <c r="AV23" s="1935"/>
      <c r="AW23" s="1935"/>
      <c r="AX23" s="1935"/>
      <c r="AY23" s="1935"/>
      <c r="AZ23" s="1935"/>
      <c r="BA23" s="1935"/>
      <c r="BB23" s="1935"/>
      <c r="BC23" s="1935"/>
    </row>
    <row r="24" spans="1:55">
      <c r="A24" s="652"/>
      <c r="B24" s="652"/>
      <c r="C24" s="652"/>
      <c r="D24" s="1935"/>
      <c r="E24" s="1935"/>
      <c r="F24" s="1935"/>
      <c r="G24" s="1935"/>
      <c r="H24" s="1935"/>
      <c r="I24" s="1935"/>
      <c r="J24" s="1935"/>
      <c r="K24" s="1935"/>
      <c r="L24" s="1935"/>
      <c r="M24" s="1935"/>
      <c r="N24" s="1935"/>
      <c r="O24" s="1935"/>
      <c r="P24" s="1935"/>
      <c r="Q24" s="1935"/>
      <c r="R24" s="1935"/>
      <c r="S24" s="1935"/>
      <c r="T24" s="1935"/>
      <c r="U24" s="1935"/>
      <c r="V24" s="1935"/>
      <c r="W24" s="1935"/>
      <c r="X24" s="1935"/>
      <c r="Y24" s="1935"/>
      <c r="Z24" s="1935"/>
      <c r="AA24" s="1935"/>
      <c r="AB24" s="1935"/>
      <c r="AC24" s="1935"/>
      <c r="AD24" s="1935"/>
      <c r="AE24" s="1935"/>
      <c r="AF24" s="1935"/>
      <c r="AG24" s="1935"/>
      <c r="AH24" s="1935"/>
      <c r="AI24" s="1935"/>
      <c r="AJ24" s="1935"/>
      <c r="AK24" s="1935"/>
      <c r="AL24" s="1935"/>
      <c r="AM24" s="1935"/>
      <c r="AN24" s="1935"/>
      <c r="AO24" s="1935"/>
      <c r="AP24" s="1935"/>
      <c r="AQ24" s="1935"/>
      <c r="AR24" s="1935"/>
      <c r="AS24" s="1935"/>
      <c r="AT24" s="1935"/>
      <c r="AU24" s="1935"/>
      <c r="AV24" s="1935"/>
      <c r="AW24" s="1935"/>
      <c r="AX24" s="1935"/>
      <c r="AY24" s="1935"/>
      <c r="AZ24" s="1935"/>
      <c r="BA24" s="1935"/>
      <c r="BB24" s="1935"/>
      <c r="BC24" s="1935"/>
    </row>
    <row r="25" spans="1:55">
      <c r="A25" s="457"/>
      <c r="B25" s="457"/>
      <c r="C25" s="457"/>
    </row>
    <row r="26" spans="1:55">
      <c r="A26" s="457"/>
      <c r="B26" s="457"/>
      <c r="C26" s="457"/>
    </row>
    <row r="27" spans="1:55">
      <c r="A27" s="457"/>
      <c r="B27" s="457"/>
      <c r="C27" s="457"/>
    </row>
    <row r="28" spans="1:55">
      <c r="A28" s="457"/>
      <c r="B28" s="457"/>
      <c r="C28" s="457"/>
    </row>
    <row r="29" spans="1:55">
      <c r="A29" s="457"/>
      <c r="B29" s="457"/>
      <c r="C29" s="457"/>
    </row>
    <row r="30" spans="1:55">
      <c r="A30" s="457"/>
      <c r="B30" s="457"/>
      <c r="C30" s="457"/>
    </row>
    <row r="31" spans="1:55">
      <c r="A31" s="457"/>
      <c r="B31" s="457"/>
      <c r="C31" s="457"/>
    </row>
    <row r="32" spans="1:55">
      <c r="A32" s="457"/>
      <c r="B32" s="457"/>
      <c r="C32" s="457"/>
    </row>
    <row r="33" spans="1:3">
      <c r="A33" s="457"/>
      <c r="B33" s="457"/>
      <c r="C33" s="457"/>
    </row>
    <row r="34" spans="1:3">
      <c r="A34" s="457"/>
      <c r="B34" s="457"/>
      <c r="C34" s="457"/>
    </row>
    <row r="35" spans="1:3">
      <c r="A35" s="457"/>
      <c r="B35" s="457"/>
      <c r="C35" s="457"/>
    </row>
    <row r="36" spans="1:3">
      <c r="A36" s="457"/>
      <c r="B36" s="457"/>
      <c r="C36" s="457"/>
    </row>
    <row r="37" spans="1:3">
      <c r="A37" s="457"/>
      <c r="B37" s="457"/>
      <c r="C37" s="457"/>
    </row>
    <row r="38" spans="1:3">
      <c r="A38" s="457"/>
      <c r="B38" s="457"/>
      <c r="C38" s="457"/>
    </row>
    <row r="39" spans="1:3">
      <c r="A39" s="457"/>
      <c r="B39" s="457"/>
      <c r="C39" s="457"/>
    </row>
    <row r="40" spans="1:3">
      <c r="A40" s="457"/>
      <c r="B40" s="457"/>
      <c r="C40" s="457"/>
    </row>
    <row r="41" spans="1:3">
      <c r="A41" s="457"/>
      <c r="B41" s="457"/>
      <c r="C41" s="457"/>
    </row>
    <row r="42" spans="1:3">
      <c r="A42" s="457"/>
      <c r="B42" s="457"/>
      <c r="C42" s="457"/>
    </row>
    <row r="43" spans="1:3">
      <c r="A43" s="457"/>
      <c r="B43" s="457"/>
      <c r="C43" s="457"/>
    </row>
    <row r="44" spans="1:3">
      <c r="A44" s="457"/>
      <c r="B44" s="457"/>
      <c r="C44" s="457"/>
    </row>
    <row r="45" spans="1:3">
      <c r="A45" s="457"/>
      <c r="B45" s="457"/>
      <c r="C45" s="457"/>
    </row>
    <row r="46" spans="1:3">
      <c r="A46" s="457"/>
      <c r="B46" s="457"/>
      <c r="C46" s="457"/>
    </row>
    <row r="47" spans="1:3">
      <c r="A47" s="457"/>
      <c r="B47" s="457"/>
      <c r="C47" s="457"/>
    </row>
    <row r="48" spans="1:3">
      <c r="A48" s="457"/>
      <c r="B48" s="457"/>
      <c r="C48" s="457"/>
    </row>
    <row r="49" spans="1:3">
      <c r="A49" s="457"/>
      <c r="B49" s="457"/>
      <c r="C49" s="457"/>
    </row>
    <row r="50" spans="1:3">
      <c r="A50" s="457"/>
      <c r="B50" s="457"/>
      <c r="C50" s="457"/>
    </row>
    <row r="51" spans="1:3">
      <c r="A51" s="457"/>
      <c r="B51" s="457"/>
      <c r="C51" s="457"/>
    </row>
    <row r="52" spans="1:3">
      <c r="A52" s="457"/>
      <c r="B52" s="457"/>
      <c r="C52" s="457"/>
    </row>
    <row r="53" spans="1:3">
      <c r="A53" s="457"/>
      <c r="B53" s="457"/>
      <c r="C53" s="457"/>
    </row>
    <row r="54" spans="1:3">
      <c r="A54" s="457"/>
      <c r="B54" s="457"/>
      <c r="C54" s="457"/>
    </row>
    <row r="55" spans="1:3">
      <c r="A55" s="457"/>
      <c r="B55" s="457"/>
      <c r="C55" s="457"/>
    </row>
    <row r="56" spans="1:3">
      <c r="A56" s="457"/>
      <c r="B56" s="457"/>
      <c r="C56" s="457"/>
    </row>
    <row r="57" spans="1:3">
      <c r="A57" s="457"/>
      <c r="B57" s="457"/>
      <c r="C57" s="457"/>
    </row>
    <row r="58" spans="1:3">
      <c r="A58" s="457"/>
      <c r="B58" s="457"/>
      <c r="C58" s="457"/>
    </row>
    <row r="59" spans="1:3">
      <c r="A59" s="457"/>
      <c r="B59" s="457"/>
      <c r="C59" s="457"/>
    </row>
    <row r="60" spans="1:3">
      <c r="A60" s="457"/>
      <c r="B60" s="457"/>
      <c r="C60" s="457"/>
    </row>
    <row r="61" spans="1:3">
      <c r="A61" s="457"/>
      <c r="B61" s="457"/>
      <c r="C61" s="457"/>
    </row>
    <row r="62" spans="1:3">
      <c r="A62" s="457"/>
      <c r="B62" s="457"/>
      <c r="C62" s="457"/>
    </row>
    <row r="63" spans="1:3">
      <c r="A63" s="457"/>
      <c r="B63" s="457"/>
      <c r="C63" s="457"/>
    </row>
    <row r="64" spans="1:3">
      <c r="A64" s="457"/>
      <c r="B64" s="457"/>
      <c r="C64" s="457"/>
    </row>
    <row r="65" spans="1:3">
      <c r="A65" s="457"/>
      <c r="B65" s="457"/>
      <c r="C65" s="457"/>
    </row>
    <row r="66" spans="1:3">
      <c r="A66" s="457"/>
      <c r="B66" s="457"/>
      <c r="C66" s="457"/>
    </row>
    <row r="67" spans="1:3">
      <c r="A67" s="457"/>
      <c r="B67" s="457"/>
      <c r="C67" s="457"/>
    </row>
    <row r="68" spans="1:3">
      <c r="A68" s="457"/>
      <c r="B68" s="457"/>
      <c r="C68" s="457"/>
    </row>
    <row r="69" spans="1:3">
      <c r="A69" s="457"/>
      <c r="B69" s="457"/>
      <c r="C69" s="457"/>
    </row>
    <row r="70" spans="1:3">
      <c r="A70" s="457"/>
      <c r="B70" s="457"/>
      <c r="C70" s="457"/>
    </row>
    <row r="71" spans="1:3">
      <c r="A71" s="457"/>
      <c r="B71" s="457"/>
      <c r="C71" s="457"/>
    </row>
    <row r="72" spans="1:3">
      <c r="A72" s="457"/>
      <c r="B72" s="457"/>
      <c r="C72" s="457"/>
    </row>
    <row r="73" spans="1:3">
      <c r="A73" s="457"/>
      <c r="B73" s="457"/>
      <c r="C73" s="457"/>
    </row>
    <row r="74" spans="1:3">
      <c r="A74" s="457"/>
      <c r="B74" s="457"/>
      <c r="C74" s="457"/>
    </row>
    <row r="75" spans="1:3">
      <c r="A75" s="457"/>
      <c r="B75" s="457"/>
      <c r="C75" s="457"/>
    </row>
    <row r="76" spans="1:3">
      <c r="A76" s="457"/>
      <c r="B76" s="457"/>
      <c r="C76" s="457"/>
    </row>
    <row r="77" spans="1:3">
      <c r="A77" s="457"/>
      <c r="B77" s="457"/>
      <c r="C77" s="457"/>
    </row>
    <row r="78" spans="1:3">
      <c r="A78" s="457"/>
      <c r="B78" s="457"/>
      <c r="C78" s="457"/>
    </row>
    <row r="79" spans="1:3">
      <c r="A79" s="457"/>
      <c r="B79" s="457"/>
      <c r="C79" s="457"/>
    </row>
    <row r="80" spans="1:3">
      <c r="A80" s="457"/>
      <c r="B80" s="457"/>
      <c r="C80" s="457"/>
    </row>
    <row r="81" spans="1:3">
      <c r="A81" s="457"/>
      <c r="B81" s="457"/>
      <c r="C81" s="457"/>
    </row>
    <row r="82" spans="1:3">
      <c r="A82" s="457"/>
      <c r="B82" s="457"/>
      <c r="C82" s="457"/>
    </row>
    <row r="83" spans="1:3">
      <c r="A83" s="457"/>
      <c r="B83" s="457"/>
      <c r="C83" s="457"/>
    </row>
    <row r="84" spans="1:3">
      <c r="A84" s="457"/>
      <c r="B84" s="457"/>
      <c r="C84" s="457"/>
    </row>
    <row r="85" spans="1:3">
      <c r="A85" s="457"/>
      <c r="B85" s="457"/>
      <c r="C85" s="457"/>
    </row>
    <row r="86" spans="1:3">
      <c r="A86" s="457"/>
      <c r="B86" s="457"/>
      <c r="C86" s="457"/>
    </row>
    <row r="87" spans="1:3">
      <c r="A87" s="457"/>
      <c r="B87" s="457"/>
      <c r="C87" s="457"/>
    </row>
    <row r="88" spans="1:3">
      <c r="A88" s="457"/>
      <c r="B88" s="457"/>
      <c r="C88" s="457"/>
    </row>
    <row r="89" spans="1:3">
      <c r="A89" s="457"/>
      <c r="B89" s="457"/>
      <c r="C89" s="457"/>
    </row>
    <row r="90" spans="1:3">
      <c r="A90" s="457"/>
      <c r="B90" s="457"/>
      <c r="C90" s="457"/>
    </row>
    <row r="91" spans="1:3">
      <c r="A91" s="457"/>
      <c r="B91" s="457"/>
      <c r="C91" s="457"/>
    </row>
    <row r="92" spans="1:3">
      <c r="A92" s="457"/>
      <c r="B92" s="457"/>
      <c r="C92" s="457"/>
    </row>
    <row r="93" spans="1:3">
      <c r="A93" s="457"/>
      <c r="B93" s="457"/>
      <c r="C93" s="457"/>
    </row>
    <row r="94" spans="1:3">
      <c r="A94" s="457"/>
      <c r="B94" s="457"/>
      <c r="C94" s="457"/>
    </row>
    <row r="95" spans="1:3">
      <c r="A95" s="457"/>
      <c r="B95" s="457"/>
      <c r="C95" s="457"/>
    </row>
    <row r="96" spans="1:3">
      <c r="A96" s="457"/>
      <c r="B96" s="457"/>
      <c r="C96" s="457"/>
    </row>
    <row r="97" spans="1:3">
      <c r="A97" s="457"/>
      <c r="B97" s="457"/>
      <c r="C97" s="457"/>
    </row>
    <row r="98" spans="1:3">
      <c r="A98" s="457"/>
      <c r="B98" s="457"/>
      <c r="C98" s="457"/>
    </row>
    <row r="99" spans="1:3">
      <c r="A99" s="457"/>
      <c r="B99" s="457"/>
      <c r="C99" s="457"/>
    </row>
    <row r="100" spans="1:3">
      <c r="A100" s="457"/>
      <c r="B100" s="457"/>
      <c r="C100" s="457"/>
    </row>
    <row r="101" spans="1:3">
      <c r="A101" s="457"/>
      <c r="B101" s="457"/>
      <c r="C101" s="457"/>
    </row>
    <row r="102" spans="1:3">
      <c r="A102" s="457"/>
      <c r="B102" s="457"/>
      <c r="C102" s="457"/>
    </row>
    <row r="103" spans="1:3">
      <c r="A103" s="457"/>
      <c r="B103" s="457"/>
      <c r="C103" s="457"/>
    </row>
    <row r="104" spans="1:3">
      <c r="A104" s="457"/>
      <c r="B104" s="457"/>
      <c r="C104" s="457"/>
    </row>
    <row r="105" spans="1:3">
      <c r="A105" s="457"/>
      <c r="B105" s="457"/>
      <c r="C105" s="457"/>
    </row>
    <row r="106" spans="1:3">
      <c r="A106" s="457"/>
      <c r="B106" s="457"/>
      <c r="C106" s="457"/>
    </row>
    <row r="107" spans="1:3">
      <c r="A107" s="457"/>
      <c r="B107" s="457"/>
      <c r="C107" s="457"/>
    </row>
    <row r="108" spans="1:3">
      <c r="A108" s="457"/>
      <c r="B108" s="457"/>
      <c r="C108" s="457"/>
    </row>
    <row r="109" spans="1:3">
      <c r="A109" s="457"/>
      <c r="B109" s="457"/>
      <c r="C109" s="457"/>
    </row>
    <row r="110" spans="1:3">
      <c r="A110" s="457"/>
      <c r="B110" s="457"/>
      <c r="C110" s="457"/>
    </row>
    <row r="111" spans="1:3">
      <c r="A111" s="457"/>
      <c r="B111" s="457"/>
      <c r="C111" s="457"/>
    </row>
    <row r="112" spans="1:3">
      <c r="A112" s="457"/>
      <c r="B112" s="457"/>
      <c r="C112" s="457"/>
    </row>
    <row r="113" spans="1:3">
      <c r="A113" s="457"/>
      <c r="B113" s="457"/>
      <c r="C113" s="457"/>
    </row>
    <row r="114" spans="1:3">
      <c r="A114" s="457"/>
      <c r="B114" s="457"/>
      <c r="C114" s="457"/>
    </row>
    <row r="115" spans="1:3">
      <c r="A115" s="457"/>
      <c r="B115" s="457"/>
      <c r="C115" s="457"/>
    </row>
    <row r="116" spans="1:3">
      <c r="A116" s="457"/>
      <c r="B116" s="457"/>
      <c r="C116" s="457"/>
    </row>
    <row r="117" spans="1:3">
      <c r="A117" s="457"/>
      <c r="B117" s="457"/>
      <c r="C117" s="457"/>
    </row>
    <row r="118" spans="1:3">
      <c r="A118" s="457"/>
      <c r="B118" s="457"/>
      <c r="C118" s="457"/>
    </row>
    <row r="119" spans="1:3">
      <c r="A119" s="457"/>
      <c r="B119" s="457"/>
      <c r="C119" s="457"/>
    </row>
    <row r="120" spans="1:3">
      <c r="A120" s="457"/>
      <c r="B120" s="457"/>
      <c r="C120" s="457"/>
    </row>
  </sheetData>
  <mergeCells count="22">
    <mergeCell ref="W5:AZ5"/>
    <mergeCell ref="I7:V7"/>
    <mergeCell ref="X7:AK7"/>
    <mergeCell ref="F7:F8"/>
    <mergeCell ref="AM7:AZ7"/>
    <mergeCell ref="AL7:AL8"/>
    <mergeCell ref="A1:BC1"/>
    <mergeCell ref="A3:BC3"/>
    <mergeCell ref="A2:BC2"/>
    <mergeCell ref="A5:A8"/>
    <mergeCell ref="B5:B8"/>
    <mergeCell ref="A4:BC4"/>
    <mergeCell ref="C5:C8"/>
    <mergeCell ref="BA5:BB5"/>
    <mergeCell ref="D5:D8"/>
    <mergeCell ref="BA7:BA8"/>
    <mergeCell ref="BB7:BB8"/>
    <mergeCell ref="E5:V5"/>
    <mergeCell ref="W7:W8"/>
    <mergeCell ref="BC5:BC8"/>
    <mergeCell ref="E7:E8"/>
    <mergeCell ref="H7:H8"/>
  </mergeCells>
  <printOptions horizontalCentered="1"/>
  <pageMargins left="0.39370078740157483" right="0.39370078740157483" top="0.62992125984251968" bottom="0.51181102362204722" header="0.31496062992125984" footer="0.31496062992125984"/>
  <pageSetup paperSize="9" scale="73" fitToHeight="0"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R41"/>
  <sheetViews>
    <sheetView zoomScaleNormal="100" workbookViewId="0">
      <pane ySplit="5" topLeftCell="A30" activePane="bottomLeft" state="frozen"/>
      <selection activeCell="EH6" sqref="EH6:EJ8"/>
      <selection pane="bottomLeft" activeCell="C42" sqref="C42"/>
    </sheetView>
  </sheetViews>
  <sheetFormatPr defaultColWidth="8.875" defaultRowHeight="15.75"/>
  <cols>
    <col min="1" max="1" width="4.75" style="13" customWidth="1"/>
    <col min="2" max="2" width="55.25" style="13" customWidth="1"/>
    <col min="3" max="3" width="8.875" style="13" customWidth="1"/>
    <col min="4" max="5" width="0" style="13" hidden="1" customWidth="1"/>
    <col min="6" max="6" width="7.875" style="13" customWidth="1"/>
    <col min="7" max="7" width="10" style="13" hidden="1" customWidth="1"/>
    <col min="8" max="8" width="8.125" style="13" hidden="1" customWidth="1"/>
    <col min="9" max="10" width="8.125" style="13" customWidth="1"/>
    <col min="11" max="12" width="8.25" style="13" customWidth="1"/>
    <col min="13" max="13" width="5" style="13" customWidth="1"/>
    <col min="14" max="15" width="0" style="13" hidden="1" customWidth="1"/>
    <col min="16" max="16" width="0.75" style="13" hidden="1" customWidth="1"/>
    <col min="17" max="17" width="8.875" style="15"/>
    <col min="18" max="16384" width="8.875" style="13"/>
  </cols>
  <sheetData>
    <row r="1" spans="1:17">
      <c r="A1" s="17" t="s">
        <v>716</v>
      </c>
    </row>
    <row r="2" spans="1:17">
      <c r="A2" s="2061" t="s">
        <v>691</v>
      </c>
      <c r="B2" s="2061"/>
      <c r="C2" s="2061"/>
      <c r="D2" s="2061"/>
      <c r="E2" s="2061"/>
      <c r="F2" s="2061"/>
      <c r="G2" s="2061"/>
      <c r="H2" s="2061"/>
      <c r="I2" s="2061"/>
      <c r="J2" s="2061"/>
      <c r="K2" s="2061"/>
      <c r="L2" s="2061"/>
      <c r="M2" s="2061"/>
      <c r="N2" s="2061"/>
      <c r="O2" s="2061"/>
      <c r="P2" s="2061"/>
    </row>
    <row r="3" spans="1:17" ht="24.75" customHeight="1">
      <c r="A3" s="2062" t="str">
        <f>'B2 SXNN'!A3:BC3</f>
        <v>(Kèm theo Báo cáo số:  1525 /BC-UBND, ngày   30  tháng 5 năm 2025 của UBND huyện Mường Tè)</v>
      </c>
      <c r="B3" s="2062"/>
      <c r="C3" s="2062"/>
      <c r="D3" s="2062"/>
      <c r="E3" s="2062"/>
      <c r="F3" s="2062"/>
      <c r="G3" s="2062"/>
      <c r="H3" s="2062"/>
      <c r="I3" s="2062"/>
      <c r="J3" s="2062"/>
      <c r="K3" s="2062"/>
      <c r="L3" s="2062"/>
      <c r="M3" s="2062"/>
      <c r="N3" s="2062"/>
      <c r="O3" s="2062"/>
      <c r="P3" s="2062"/>
    </row>
    <row r="4" spans="1:17" ht="14.25" customHeight="1">
      <c r="A4" s="2066" t="s">
        <v>178</v>
      </c>
      <c r="B4" s="2067" t="s">
        <v>713</v>
      </c>
      <c r="C4" s="2067" t="s">
        <v>57</v>
      </c>
      <c r="D4" s="2065" t="s">
        <v>651</v>
      </c>
      <c r="E4" s="2065"/>
      <c r="F4" s="2067" t="s">
        <v>730</v>
      </c>
      <c r="G4" s="2067"/>
      <c r="H4" s="2067"/>
      <c r="I4" s="2067"/>
      <c r="J4" s="2063" t="s">
        <v>742</v>
      </c>
      <c r="K4" s="2070" t="s">
        <v>9</v>
      </c>
      <c r="L4" s="2071"/>
      <c r="M4" s="2067" t="s">
        <v>10</v>
      </c>
      <c r="N4" s="2068" t="s">
        <v>9</v>
      </c>
      <c r="O4" s="2069"/>
      <c r="P4" s="2063" t="s">
        <v>10</v>
      </c>
    </row>
    <row r="5" spans="1:17" ht="51" customHeight="1">
      <c r="A5" s="2066"/>
      <c r="B5" s="2067"/>
      <c r="C5" s="2067"/>
      <c r="D5" s="200" t="s">
        <v>11</v>
      </c>
      <c r="E5" s="200" t="s">
        <v>13</v>
      </c>
      <c r="F5" s="200" t="s">
        <v>11</v>
      </c>
      <c r="G5" s="200" t="s">
        <v>733</v>
      </c>
      <c r="H5" s="201" t="s">
        <v>658</v>
      </c>
      <c r="I5" s="200" t="s">
        <v>740</v>
      </c>
      <c r="J5" s="2064"/>
      <c r="K5" s="200" t="s">
        <v>744</v>
      </c>
      <c r="L5" s="200" t="s">
        <v>743</v>
      </c>
      <c r="M5" s="2067"/>
      <c r="N5" s="190" t="s">
        <v>714</v>
      </c>
      <c r="O5" s="190" t="s">
        <v>715</v>
      </c>
      <c r="P5" s="2064"/>
      <c r="Q5" s="15" t="s">
        <v>179</v>
      </c>
    </row>
    <row r="6" spans="1:17">
      <c r="A6" s="204" t="s">
        <v>83</v>
      </c>
      <c r="B6" s="205" t="s">
        <v>695</v>
      </c>
      <c r="C6" s="204"/>
      <c r="D6" s="206"/>
      <c r="E6" s="206"/>
      <c r="F6" s="206"/>
      <c r="G6" s="206"/>
      <c r="H6" s="206"/>
      <c r="I6" s="206"/>
      <c r="J6" s="206"/>
      <c r="K6" s="206"/>
      <c r="L6" s="206"/>
      <c r="M6" s="206"/>
      <c r="N6" s="191"/>
      <c r="O6" s="191"/>
      <c r="P6" s="191"/>
    </row>
    <row r="7" spans="1:17">
      <c r="A7" s="207">
        <v>1</v>
      </c>
      <c r="B7" s="208" t="s">
        <v>717</v>
      </c>
      <c r="C7" s="207"/>
      <c r="D7" s="192"/>
      <c r="E7" s="192"/>
      <c r="F7" s="192"/>
      <c r="G7" s="192"/>
      <c r="H7" s="192"/>
      <c r="I7" s="192"/>
      <c r="J7" s="192"/>
      <c r="K7" s="192"/>
      <c r="L7" s="192"/>
      <c r="M7" s="192"/>
      <c r="N7" s="191"/>
      <c r="O7" s="191"/>
      <c r="P7" s="2058" t="s">
        <v>729</v>
      </c>
    </row>
    <row r="8" spans="1:17" s="195" customFormat="1">
      <c r="A8" s="209" t="s">
        <v>14</v>
      </c>
      <c r="B8" s="210" t="s">
        <v>692</v>
      </c>
      <c r="C8" s="211"/>
      <c r="D8" s="194"/>
      <c r="E8" s="194"/>
      <c r="F8" s="194"/>
      <c r="G8" s="194"/>
      <c r="H8" s="194"/>
      <c r="I8" s="194"/>
      <c r="J8" s="194"/>
      <c r="K8" s="194"/>
      <c r="L8" s="194"/>
      <c r="M8" s="194"/>
      <c r="N8" s="194"/>
      <c r="O8" s="194"/>
      <c r="P8" s="2059"/>
      <c r="Q8" s="291"/>
    </row>
    <row r="9" spans="1:17">
      <c r="A9" s="212" t="s">
        <v>578</v>
      </c>
      <c r="B9" s="213" t="s">
        <v>693</v>
      </c>
      <c r="C9" s="214" t="s">
        <v>93</v>
      </c>
      <c r="D9" s="192"/>
      <c r="E9" s="192"/>
      <c r="F9" s="192">
        <v>140</v>
      </c>
      <c r="G9" s="215">
        <v>140</v>
      </c>
      <c r="H9" s="216">
        <v>140</v>
      </c>
      <c r="I9" s="280">
        <v>180.3</v>
      </c>
      <c r="J9" s="280">
        <v>180</v>
      </c>
      <c r="K9" s="199">
        <f>I9/F9%</f>
        <v>128.78571428571431</v>
      </c>
      <c r="L9" s="217">
        <f>J9/I9%</f>
        <v>99.833610648918466</v>
      </c>
      <c r="M9" s="192"/>
      <c r="N9" s="193"/>
      <c r="O9" s="193"/>
      <c r="P9" s="2059"/>
      <c r="Q9" s="15">
        <v>180</v>
      </c>
    </row>
    <row r="10" spans="1:17">
      <c r="A10" s="207" t="s">
        <v>578</v>
      </c>
      <c r="B10" s="213" t="s">
        <v>694</v>
      </c>
      <c r="C10" s="214" t="s">
        <v>32</v>
      </c>
      <c r="D10" s="192"/>
      <c r="E10" s="192"/>
      <c r="F10" s="192">
        <v>9.8000000000000007</v>
      </c>
      <c r="G10" s="215">
        <f>8400/1000</f>
        <v>8.4</v>
      </c>
      <c r="H10" s="216">
        <v>8.4</v>
      </c>
      <c r="I10" s="280">
        <v>10.818</v>
      </c>
      <c r="J10" s="280">
        <v>10.8</v>
      </c>
      <c r="K10" s="199">
        <f t="shared" ref="K10:K11" si="0">I10/F10%</f>
        <v>110.38775510204081</v>
      </c>
      <c r="L10" s="217">
        <f t="shared" ref="L10" si="1">J10/I10%</f>
        <v>99.83361064891848</v>
      </c>
      <c r="M10" s="192"/>
      <c r="N10" s="193"/>
      <c r="O10" s="193"/>
      <c r="P10" s="2059"/>
      <c r="Q10" s="15">
        <v>10.8</v>
      </c>
    </row>
    <row r="11" spans="1:17" s="195" customFormat="1">
      <c r="A11" s="209" t="s">
        <v>19</v>
      </c>
      <c r="B11" s="210" t="s">
        <v>718</v>
      </c>
      <c r="C11" s="211" t="s">
        <v>93</v>
      </c>
      <c r="D11" s="194"/>
      <c r="E11" s="194"/>
      <c r="F11" s="194">
        <v>140</v>
      </c>
      <c r="G11" s="218"/>
      <c r="H11" s="219">
        <v>0</v>
      </c>
      <c r="I11" s="222">
        <v>0</v>
      </c>
      <c r="J11" s="222">
        <v>180</v>
      </c>
      <c r="K11" s="199">
        <f t="shared" si="0"/>
        <v>0</v>
      </c>
      <c r="L11" s="217"/>
      <c r="M11" s="194"/>
      <c r="N11" s="194"/>
      <c r="O11" s="193"/>
      <c r="P11" s="2059"/>
      <c r="Q11" s="291">
        <v>180</v>
      </c>
    </row>
    <row r="12" spans="1:17" s="195" customFormat="1">
      <c r="A12" s="220">
        <v>2</v>
      </c>
      <c r="B12" s="221" t="s">
        <v>719</v>
      </c>
      <c r="C12" s="211"/>
      <c r="D12" s="194"/>
      <c r="E12" s="194"/>
      <c r="F12" s="194"/>
      <c r="G12" s="194"/>
      <c r="H12" s="194"/>
      <c r="I12" s="222"/>
      <c r="J12" s="222"/>
      <c r="K12" s="194"/>
      <c r="L12" s="194"/>
      <c r="M12" s="194"/>
      <c r="N12" s="194"/>
      <c r="O12" s="193"/>
      <c r="P12" s="2059"/>
      <c r="Q12" s="291"/>
    </row>
    <row r="13" spans="1:17" s="195" customFormat="1">
      <c r="A13" s="209" t="s">
        <v>578</v>
      </c>
      <c r="B13" s="210" t="s">
        <v>720</v>
      </c>
      <c r="C13" s="211" t="s">
        <v>710</v>
      </c>
      <c r="D13" s="194"/>
      <c r="E13" s="194"/>
      <c r="F13" s="222">
        <v>200</v>
      </c>
      <c r="G13" s="222">
        <v>100</v>
      </c>
      <c r="H13" s="222">
        <v>100</v>
      </c>
      <c r="I13" s="222">
        <v>100</v>
      </c>
      <c r="J13" s="222">
        <v>200</v>
      </c>
      <c r="K13" s="199">
        <f t="shared" ref="K13" si="2">I13/F13%</f>
        <v>50</v>
      </c>
      <c r="L13" s="217">
        <f t="shared" ref="L13" si="3">J13/I13%</f>
        <v>200</v>
      </c>
      <c r="M13" s="194"/>
      <c r="N13" s="194"/>
      <c r="O13" s="197"/>
      <c r="P13" s="2059"/>
      <c r="Q13" s="291"/>
    </row>
    <row r="14" spans="1:17" s="11" customFormat="1">
      <c r="A14" s="207">
        <v>3</v>
      </c>
      <c r="B14" s="223" t="s">
        <v>721</v>
      </c>
      <c r="C14" s="224" t="s">
        <v>93</v>
      </c>
      <c r="D14" s="196"/>
      <c r="E14" s="196"/>
      <c r="F14" s="196">
        <v>30</v>
      </c>
      <c r="G14" s="225">
        <v>10</v>
      </c>
      <c r="H14" s="226">
        <v>10</v>
      </c>
      <c r="I14" s="276">
        <v>30</v>
      </c>
      <c r="J14" s="276">
        <v>10</v>
      </c>
      <c r="K14" s="199">
        <f t="shared" ref="K14:K36" si="4">I14/F14%</f>
        <v>100</v>
      </c>
      <c r="L14" s="217">
        <f t="shared" ref="L14:L36" si="5">J14/I14%</f>
        <v>33.333333333333336</v>
      </c>
      <c r="M14" s="196"/>
      <c r="N14" s="196"/>
      <c r="O14" s="198"/>
      <c r="P14" s="2059"/>
      <c r="Q14" s="292">
        <v>0</v>
      </c>
    </row>
    <row r="15" spans="1:17" s="11" customFormat="1">
      <c r="A15" s="207">
        <v>4</v>
      </c>
      <c r="B15" s="223" t="s">
        <v>696</v>
      </c>
      <c r="C15" s="224" t="s">
        <v>739</v>
      </c>
      <c r="D15" s="196"/>
      <c r="E15" s="196"/>
      <c r="F15" s="227">
        <v>1800</v>
      </c>
      <c r="G15" s="228">
        <v>1656</v>
      </c>
      <c r="H15" s="229">
        <v>1656</v>
      </c>
      <c r="I15" s="277">
        <v>1800</v>
      </c>
      <c r="J15" s="277">
        <v>1200</v>
      </c>
      <c r="K15" s="199">
        <f t="shared" si="4"/>
        <v>100</v>
      </c>
      <c r="L15" s="217">
        <f t="shared" si="5"/>
        <v>66.666666666666671</v>
      </c>
      <c r="M15" s="230"/>
      <c r="N15" s="196"/>
      <c r="O15" s="198"/>
      <c r="P15" s="2059"/>
      <c r="Q15" s="292">
        <v>1200</v>
      </c>
    </row>
    <row r="16" spans="1:17" s="11" customFormat="1">
      <c r="A16" s="220">
        <v>5</v>
      </c>
      <c r="B16" s="231" t="s">
        <v>697</v>
      </c>
      <c r="C16" s="224" t="s">
        <v>93</v>
      </c>
      <c r="D16" s="196"/>
      <c r="E16" s="196"/>
      <c r="F16" s="234">
        <v>5</v>
      </c>
      <c r="G16" s="333">
        <v>0.45</v>
      </c>
      <c r="H16" s="334">
        <v>0.45</v>
      </c>
      <c r="I16" s="335">
        <v>5</v>
      </c>
      <c r="J16" s="277">
        <v>10</v>
      </c>
      <c r="K16" s="199">
        <f t="shared" si="4"/>
        <v>100</v>
      </c>
      <c r="L16" s="217">
        <f t="shared" si="5"/>
        <v>200</v>
      </c>
      <c r="M16" s="230"/>
      <c r="N16" s="198"/>
      <c r="O16" s="198"/>
      <c r="P16" s="2059"/>
      <c r="Q16" s="336">
        <v>10</v>
      </c>
    </row>
    <row r="17" spans="1:18" s="11" customFormat="1">
      <c r="A17" s="220">
        <v>6</v>
      </c>
      <c r="B17" s="231" t="s">
        <v>762</v>
      </c>
      <c r="C17" s="224"/>
      <c r="D17" s="196"/>
      <c r="E17" s="196"/>
      <c r="F17" s="230"/>
      <c r="G17" s="232"/>
      <c r="H17" s="233"/>
      <c r="I17" s="278"/>
      <c r="J17" s="279"/>
      <c r="K17" s="199"/>
      <c r="L17" s="217"/>
      <c r="M17" s="230"/>
      <c r="N17" s="198"/>
      <c r="O17" s="198"/>
      <c r="P17" s="2059"/>
      <c r="Q17" s="336"/>
    </row>
    <row r="18" spans="1:18">
      <c r="A18" s="212"/>
      <c r="B18" s="235" t="s">
        <v>763</v>
      </c>
      <c r="C18" s="214" t="s">
        <v>141</v>
      </c>
      <c r="D18" s="192"/>
      <c r="E18" s="192"/>
      <c r="F18" s="199"/>
      <c r="G18" s="323"/>
      <c r="H18" s="324"/>
      <c r="I18" s="282">
        <v>168</v>
      </c>
      <c r="J18" s="282">
        <v>65</v>
      </c>
      <c r="K18" s="199"/>
      <c r="L18" s="217">
        <f t="shared" si="5"/>
        <v>38.69047619047619</v>
      </c>
      <c r="M18" s="199"/>
      <c r="N18" s="193"/>
      <c r="O18" s="193"/>
      <c r="P18" s="2059"/>
      <c r="Q18" s="331">
        <v>65</v>
      </c>
    </row>
    <row r="19" spans="1:18" s="11" customFormat="1">
      <c r="A19" s="220">
        <v>7</v>
      </c>
      <c r="B19" s="221" t="s">
        <v>698</v>
      </c>
      <c r="C19" s="224" t="s">
        <v>711</v>
      </c>
      <c r="D19" s="196"/>
      <c r="E19" s="196"/>
      <c r="F19" s="234">
        <v>100</v>
      </c>
      <c r="G19" s="228">
        <v>163</v>
      </c>
      <c r="H19" s="229">
        <v>163</v>
      </c>
      <c r="I19" s="277">
        <v>100</v>
      </c>
      <c r="J19" s="277">
        <v>200</v>
      </c>
      <c r="K19" s="199">
        <f t="shared" si="4"/>
        <v>100</v>
      </c>
      <c r="L19" s="217">
        <f t="shared" si="5"/>
        <v>200</v>
      </c>
      <c r="M19" s="230"/>
      <c r="N19" s="196"/>
      <c r="O19" s="198"/>
      <c r="P19" s="2059"/>
      <c r="Q19" s="292"/>
    </row>
    <row r="20" spans="1:18">
      <c r="A20" s="220">
        <v>8</v>
      </c>
      <c r="B20" s="231" t="s">
        <v>699</v>
      </c>
      <c r="C20" s="214"/>
      <c r="D20" s="192"/>
      <c r="E20" s="192"/>
      <c r="F20" s="199"/>
      <c r="G20" s="199"/>
      <c r="H20" s="199"/>
      <c r="I20" s="281"/>
      <c r="J20" s="281"/>
      <c r="K20" s="199"/>
      <c r="L20" s="217"/>
      <c r="M20" s="199"/>
      <c r="N20" s="192"/>
      <c r="O20" s="193"/>
      <c r="P20" s="2059"/>
    </row>
    <row r="21" spans="1:18">
      <c r="A21" s="212"/>
      <c r="B21" s="235" t="s">
        <v>753</v>
      </c>
      <c r="C21" s="214" t="s">
        <v>722</v>
      </c>
      <c r="D21" s="192"/>
      <c r="E21" s="192"/>
      <c r="F21" s="236">
        <v>3</v>
      </c>
      <c r="G21" s="236"/>
      <c r="H21" s="236"/>
      <c r="I21" s="282">
        <v>5</v>
      </c>
      <c r="J21" s="282">
        <v>2</v>
      </c>
      <c r="K21" s="199">
        <f t="shared" si="4"/>
        <v>166.66666666666669</v>
      </c>
      <c r="L21" s="217">
        <f t="shared" si="5"/>
        <v>40</v>
      </c>
      <c r="M21" s="199"/>
      <c r="N21" s="192"/>
      <c r="O21" s="193"/>
      <c r="P21" s="2059"/>
      <c r="Q21" s="15">
        <v>2</v>
      </c>
    </row>
    <row r="22" spans="1:18">
      <c r="A22" s="212"/>
      <c r="B22" s="235" t="s">
        <v>754</v>
      </c>
      <c r="C22" s="214" t="s">
        <v>712</v>
      </c>
      <c r="D22" s="192"/>
      <c r="E22" s="192"/>
      <c r="F22" s="236">
        <v>1</v>
      </c>
      <c r="G22" s="236"/>
      <c r="H22" s="236"/>
      <c r="I22" s="282">
        <v>1</v>
      </c>
      <c r="J22" s="282">
        <v>0</v>
      </c>
      <c r="K22" s="199">
        <f t="shared" si="4"/>
        <v>100</v>
      </c>
      <c r="L22" s="217">
        <f t="shared" si="5"/>
        <v>0</v>
      </c>
      <c r="M22" s="199"/>
      <c r="N22" s="192"/>
      <c r="O22" s="193"/>
      <c r="P22" s="2059"/>
      <c r="Q22" s="322">
        <v>0</v>
      </c>
    </row>
    <row r="23" spans="1:18">
      <c r="A23" s="220"/>
      <c r="B23" s="235" t="s">
        <v>723</v>
      </c>
      <c r="C23" s="214" t="s">
        <v>139</v>
      </c>
      <c r="D23" s="192"/>
      <c r="E23" s="192"/>
      <c r="F23" s="236">
        <v>1</v>
      </c>
      <c r="G23" s="236"/>
      <c r="H23" s="236"/>
      <c r="I23" s="282">
        <v>1</v>
      </c>
      <c r="J23" s="326">
        <v>1</v>
      </c>
      <c r="K23" s="199">
        <f t="shared" si="4"/>
        <v>100</v>
      </c>
      <c r="L23" s="217">
        <f t="shared" si="5"/>
        <v>100</v>
      </c>
      <c r="M23" s="199"/>
      <c r="N23" s="192"/>
      <c r="O23" s="193"/>
      <c r="P23" s="2060"/>
      <c r="Q23" s="331">
        <v>1</v>
      </c>
    </row>
    <row r="24" spans="1:18" s="332" customFormat="1" ht="25.5">
      <c r="A24" s="220"/>
      <c r="B24" s="235" t="s">
        <v>755</v>
      </c>
      <c r="C24" s="214" t="s">
        <v>722</v>
      </c>
      <c r="D24" s="318"/>
      <c r="E24" s="318"/>
      <c r="F24" s="325"/>
      <c r="G24" s="325"/>
      <c r="H24" s="325"/>
      <c r="I24" s="326">
        <v>3</v>
      </c>
      <c r="J24" s="326">
        <v>2</v>
      </c>
      <c r="K24" s="327"/>
      <c r="L24" s="328">
        <f t="shared" si="5"/>
        <v>66.666666666666671</v>
      </c>
      <c r="M24" s="327"/>
      <c r="N24" s="318"/>
      <c r="O24" s="329"/>
      <c r="P24" s="330"/>
      <c r="Q24" s="331">
        <v>2</v>
      </c>
    </row>
    <row r="25" spans="1:18" s="332" customFormat="1" ht="25.5">
      <c r="A25" s="220"/>
      <c r="B25" s="235" t="s">
        <v>756</v>
      </c>
      <c r="C25" s="214" t="s">
        <v>722</v>
      </c>
      <c r="D25" s="318"/>
      <c r="E25" s="318"/>
      <c r="F25" s="325"/>
      <c r="G25" s="325"/>
      <c r="H25" s="325"/>
      <c r="I25" s="326">
        <v>3</v>
      </c>
      <c r="J25" s="326">
        <v>2</v>
      </c>
      <c r="K25" s="327"/>
      <c r="L25" s="328">
        <f t="shared" si="5"/>
        <v>66.666666666666671</v>
      </c>
      <c r="M25" s="327"/>
      <c r="N25" s="318"/>
      <c r="O25" s="329"/>
      <c r="P25" s="330"/>
      <c r="Q25" s="331">
        <v>2</v>
      </c>
    </row>
    <row r="26" spans="1:18" ht="25.5">
      <c r="A26" s="237" t="s">
        <v>100</v>
      </c>
      <c r="B26" s="208" t="s">
        <v>700</v>
      </c>
      <c r="C26" s="238"/>
      <c r="D26" s="192"/>
      <c r="E26" s="192"/>
      <c r="F26" s="199"/>
      <c r="G26" s="199"/>
      <c r="H26" s="199"/>
      <c r="I26" s="199"/>
      <c r="J26" s="199"/>
      <c r="K26" s="199"/>
      <c r="L26" s="217"/>
      <c r="M26" s="199"/>
      <c r="N26" s="192"/>
      <c r="O26" s="193"/>
      <c r="P26" s="192"/>
    </row>
    <row r="27" spans="1:18" s="11" customFormat="1">
      <c r="A27" s="239">
        <v>1</v>
      </c>
      <c r="B27" s="240" t="s">
        <v>655</v>
      </c>
      <c r="C27" s="241" t="s">
        <v>93</v>
      </c>
      <c r="D27" s="196"/>
      <c r="E27" s="242"/>
      <c r="F27" s="243">
        <f>+F28+F29+F30</f>
        <v>550</v>
      </c>
      <c r="G27" s="243">
        <f>+G28+G29+G30</f>
        <v>608.72</v>
      </c>
      <c r="H27" s="243">
        <f>+H28+H29+H30</f>
        <v>842.6</v>
      </c>
      <c r="I27" s="243" t="e">
        <f>+I28+I29+I30</f>
        <v>#REF!</v>
      </c>
      <c r="J27" s="286" t="e">
        <f>+J28+J29+J30</f>
        <v>#REF!</v>
      </c>
      <c r="K27" s="199" t="e">
        <f t="shared" si="4"/>
        <v>#REF!</v>
      </c>
      <c r="L27" s="217" t="e">
        <f t="shared" si="5"/>
        <v>#REF!</v>
      </c>
      <c r="M27" s="230"/>
      <c r="N27" s="196"/>
      <c r="O27" s="198"/>
      <c r="P27" s="196"/>
      <c r="Q27" s="292">
        <v>500</v>
      </c>
    </row>
    <row r="28" spans="1:18">
      <c r="A28" s="244" t="s">
        <v>578</v>
      </c>
      <c r="B28" s="245" t="s">
        <v>701</v>
      </c>
      <c r="C28" s="246" t="s">
        <v>93</v>
      </c>
      <c r="D28" s="247">
        <v>350</v>
      </c>
      <c r="E28" s="247">
        <v>361.54</v>
      </c>
      <c r="F28" s="248">
        <v>300</v>
      </c>
      <c r="G28" s="249">
        <v>580.73</v>
      </c>
      <c r="H28" s="283">
        <v>577.70000000000005</v>
      </c>
      <c r="I28" s="284" t="e">
        <f>'B2 SXNN'!#REF!</f>
        <v>#REF!</v>
      </c>
      <c r="J28" s="287" t="e">
        <f>'B2 SXNN'!#REF!</f>
        <v>#REF!</v>
      </c>
      <c r="K28" s="199" t="e">
        <f t="shared" si="4"/>
        <v>#REF!</v>
      </c>
      <c r="L28" s="217" t="e">
        <f t="shared" si="5"/>
        <v>#REF!</v>
      </c>
      <c r="M28" s="199"/>
      <c r="N28" s="199">
        <f>E28/D28%</f>
        <v>103.29714285714286</v>
      </c>
      <c r="O28" s="199">
        <f>F28/E28%</f>
        <v>82.978370304807214</v>
      </c>
      <c r="P28" s="192"/>
      <c r="Q28" s="307">
        <v>450</v>
      </c>
    </row>
    <row r="29" spans="1:18">
      <c r="A29" s="244" t="s">
        <v>578</v>
      </c>
      <c r="B29" s="245" t="s">
        <v>757</v>
      </c>
      <c r="C29" s="246" t="s">
        <v>93</v>
      </c>
      <c r="D29" s="247">
        <v>0</v>
      </c>
      <c r="E29" s="247">
        <v>0</v>
      </c>
      <c r="F29" s="248">
        <v>200</v>
      </c>
      <c r="G29" s="249">
        <v>4.1100000000000003</v>
      </c>
      <c r="H29" s="283">
        <v>214.9</v>
      </c>
      <c r="I29" s="284" t="e">
        <f>'B2 SXNN'!#REF!</f>
        <v>#REF!</v>
      </c>
      <c r="J29" s="287" t="e">
        <f>'B2 SXNN'!#REF!</f>
        <v>#REF!</v>
      </c>
      <c r="K29" s="199" t="e">
        <f t="shared" si="4"/>
        <v>#REF!</v>
      </c>
      <c r="L29" s="217" t="e">
        <f t="shared" si="5"/>
        <v>#REF!</v>
      </c>
      <c r="M29" s="199"/>
      <c r="N29" s="199"/>
      <c r="O29" s="199"/>
      <c r="P29" s="192"/>
      <c r="Q29" s="15">
        <v>0</v>
      </c>
    </row>
    <row r="30" spans="1:18">
      <c r="A30" s="250" t="s">
        <v>578</v>
      </c>
      <c r="B30" s="245" t="s">
        <v>702</v>
      </c>
      <c r="C30" s="246" t="s">
        <v>93</v>
      </c>
      <c r="D30" s="247">
        <v>50</v>
      </c>
      <c r="E30" s="247">
        <v>49.13</v>
      </c>
      <c r="F30" s="248">
        <v>50</v>
      </c>
      <c r="G30" s="249">
        <v>23.88</v>
      </c>
      <c r="H30" s="283">
        <v>50</v>
      </c>
      <c r="I30" s="285" t="e">
        <f>'B2 SXNN'!#REF!</f>
        <v>#REF!</v>
      </c>
      <c r="J30" s="287" t="e">
        <f>'B2 SXNN'!#REF!</f>
        <v>#REF!</v>
      </c>
      <c r="K30" s="199" t="e">
        <f t="shared" si="4"/>
        <v>#REF!</v>
      </c>
      <c r="L30" s="217" t="e">
        <f t="shared" si="5"/>
        <v>#REF!</v>
      </c>
      <c r="M30" s="199"/>
      <c r="N30" s="199">
        <f>E30/D30%</f>
        <v>98.26</v>
      </c>
      <c r="O30" s="199">
        <f>F30/E30%</f>
        <v>101.7708121310808</v>
      </c>
      <c r="P30" s="192"/>
      <c r="Q30" s="15">
        <v>50</v>
      </c>
      <c r="R30" s="25"/>
    </row>
    <row r="31" spans="1:18" s="11" customFormat="1">
      <c r="A31" s="250">
        <v>2</v>
      </c>
      <c r="B31" s="240" t="s">
        <v>703</v>
      </c>
      <c r="C31" s="241" t="s">
        <v>93</v>
      </c>
      <c r="D31" s="225"/>
      <c r="E31" s="225"/>
      <c r="F31" s="230">
        <v>840</v>
      </c>
      <c r="G31" s="243">
        <v>821.95</v>
      </c>
      <c r="H31" s="243">
        <f>H32</f>
        <v>821.2</v>
      </c>
      <c r="I31" s="243">
        <f t="shared" ref="I31:J31" si="6">I32</f>
        <v>821.2</v>
      </c>
      <c r="J31" s="286">
        <f t="shared" si="6"/>
        <v>536.91999999999996</v>
      </c>
      <c r="K31" s="199">
        <f t="shared" si="4"/>
        <v>97.761904761904759</v>
      </c>
      <c r="L31" s="217">
        <f t="shared" si="5"/>
        <v>65.382367267413542</v>
      </c>
      <c r="M31" s="230"/>
      <c r="N31" s="196"/>
      <c r="O31" s="198"/>
      <c r="P31" s="2058" t="s">
        <v>729</v>
      </c>
      <c r="Q31" s="308">
        <v>1120</v>
      </c>
      <c r="R31" s="2057" t="s">
        <v>761</v>
      </c>
    </row>
    <row r="32" spans="1:18" s="11" customFormat="1">
      <c r="A32" s="251" t="s">
        <v>150</v>
      </c>
      <c r="B32" s="252" t="s">
        <v>704</v>
      </c>
      <c r="C32" s="253" t="s">
        <v>93</v>
      </c>
      <c r="D32" s="225"/>
      <c r="E32" s="225"/>
      <c r="F32" s="254">
        <v>840</v>
      </c>
      <c r="G32" s="255">
        <f>+G33+G34+G35</f>
        <v>821.95</v>
      </c>
      <c r="H32" s="255">
        <f>+H33+H34+H35</f>
        <v>821.2</v>
      </c>
      <c r="I32" s="288">
        <f>+I33+I34+I35</f>
        <v>821.2</v>
      </c>
      <c r="J32" s="313">
        <f>+J33+J34+J35</f>
        <v>536.91999999999996</v>
      </c>
      <c r="K32" s="199">
        <f t="shared" si="4"/>
        <v>97.761904761904759</v>
      </c>
      <c r="L32" s="217">
        <f t="shared" si="5"/>
        <v>65.382367267413542</v>
      </c>
      <c r="M32" s="254"/>
      <c r="N32" s="196"/>
      <c r="O32" s="198"/>
      <c r="P32" s="2059"/>
      <c r="Q32" s="309">
        <v>1093.49</v>
      </c>
      <c r="R32" s="2057"/>
    </row>
    <row r="33" spans="1:18">
      <c r="A33" s="244" t="s">
        <v>578</v>
      </c>
      <c r="B33" s="256" t="s">
        <v>705</v>
      </c>
      <c r="C33" s="246" t="s">
        <v>93</v>
      </c>
      <c r="D33" s="257"/>
      <c r="E33" s="257"/>
      <c r="F33" s="199">
        <v>380</v>
      </c>
      <c r="G33" s="249">
        <v>362.25</v>
      </c>
      <c r="H33" s="258">
        <v>361.54</v>
      </c>
      <c r="I33" s="258">
        <v>361.54</v>
      </c>
      <c r="J33" s="314">
        <v>536.91999999999996</v>
      </c>
      <c r="K33" s="199">
        <f t="shared" si="4"/>
        <v>95.142105263157902</v>
      </c>
      <c r="L33" s="217">
        <f t="shared" si="5"/>
        <v>148.50915528019027</v>
      </c>
      <c r="M33" s="199"/>
      <c r="N33" s="192"/>
      <c r="O33" s="193"/>
      <c r="P33" s="2059"/>
      <c r="Q33" s="310">
        <v>536.91999999999996</v>
      </c>
      <c r="R33" s="2057"/>
    </row>
    <row r="34" spans="1:18">
      <c r="A34" s="244" t="s">
        <v>578</v>
      </c>
      <c r="B34" s="256" t="s">
        <v>706</v>
      </c>
      <c r="C34" s="246" t="s">
        <v>93</v>
      </c>
      <c r="D34" s="257"/>
      <c r="E34" s="257"/>
      <c r="F34" s="199">
        <v>224</v>
      </c>
      <c r="G34" s="249">
        <v>224</v>
      </c>
      <c r="H34" s="258">
        <v>223.97</v>
      </c>
      <c r="I34" s="258">
        <v>223.97</v>
      </c>
      <c r="J34" s="258"/>
      <c r="K34" s="199">
        <f t="shared" si="4"/>
        <v>99.986607142857139</v>
      </c>
      <c r="L34" s="217">
        <f t="shared" si="5"/>
        <v>0</v>
      </c>
      <c r="M34" s="199"/>
      <c r="N34" s="192"/>
      <c r="O34" s="193"/>
      <c r="P34" s="2059"/>
      <c r="Q34" s="310">
        <v>361.54</v>
      </c>
      <c r="R34" s="2057"/>
    </row>
    <row r="35" spans="1:18">
      <c r="A35" s="259" t="s">
        <v>578</v>
      </c>
      <c r="B35" s="256" t="s">
        <v>707</v>
      </c>
      <c r="C35" s="246" t="s">
        <v>93</v>
      </c>
      <c r="D35" s="257"/>
      <c r="E35" s="257"/>
      <c r="F35" s="199">
        <v>235.7</v>
      </c>
      <c r="G35" s="249">
        <v>235.7</v>
      </c>
      <c r="H35" s="258">
        <v>235.69</v>
      </c>
      <c r="I35" s="258">
        <v>235.69</v>
      </c>
      <c r="J35" s="258"/>
      <c r="K35" s="199">
        <f t="shared" si="4"/>
        <v>99.99575731862538</v>
      </c>
      <c r="L35" s="217">
        <f t="shared" si="5"/>
        <v>0</v>
      </c>
      <c r="M35" s="199"/>
      <c r="N35" s="192"/>
      <c r="O35" s="193"/>
      <c r="P35" s="2059"/>
      <c r="Q35" s="310">
        <v>195.03</v>
      </c>
      <c r="R35" s="2057"/>
    </row>
    <row r="36" spans="1:18">
      <c r="A36" s="259" t="s">
        <v>709</v>
      </c>
      <c r="B36" s="256" t="s">
        <v>708</v>
      </c>
      <c r="C36" s="246" t="s">
        <v>93</v>
      </c>
      <c r="D36" s="257"/>
      <c r="E36" s="257"/>
      <c r="F36" s="199">
        <v>186.5</v>
      </c>
      <c r="G36" s="249">
        <v>186.5</v>
      </c>
      <c r="H36" s="258">
        <v>339.5</v>
      </c>
      <c r="I36" s="258">
        <v>339.85</v>
      </c>
      <c r="J36" s="258"/>
      <c r="K36" s="258">
        <f t="shared" si="4"/>
        <v>182.22520107238608</v>
      </c>
      <c r="L36" s="258">
        <f t="shared" si="5"/>
        <v>0</v>
      </c>
      <c r="M36" s="199"/>
      <c r="N36" s="295"/>
      <c r="O36" s="193"/>
      <c r="P36" s="2060"/>
      <c r="R36" s="2057"/>
    </row>
    <row r="37" spans="1:18" s="296" customFormat="1" ht="18" customHeight="1">
      <c r="A37" s="315" t="s">
        <v>157</v>
      </c>
      <c r="B37" s="252" t="s">
        <v>758</v>
      </c>
      <c r="C37" s="316" t="s">
        <v>93</v>
      </c>
      <c r="D37" s="297"/>
      <c r="E37" s="297"/>
      <c r="F37" s="298"/>
      <c r="G37" s="298"/>
      <c r="H37" s="298"/>
      <c r="I37" s="298"/>
      <c r="J37" s="319">
        <v>3.06</v>
      </c>
      <c r="K37" s="299"/>
      <c r="L37" s="300"/>
      <c r="M37" s="298"/>
      <c r="N37" s="301"/>
      <c r="O37" s="302"/>
      <c r="P37" s="302"/>
      <c r="Q37" s="311">
        <v>4.1100000000000003</v>
      </c>
      <c r="R37" s="2057"/>
    </row>
    <row r="38" spans="1:18" s="293" customFormat="1">
      <c r="A38" s="317"/>
      <c r="B38" s="318" t="s">
        <v>705</v>
      </c>
      <c r="C38" s="317" t="s">
        <v>93</v>
      </c>
      <c r="D38" s="303"/>
      <c r="E38" s="303"/>
      <c r="F38" s="303"/>
      <c r="G38" s="303"/>
      <c r="H38" s="303"/>
      <c r="I38" s="303"/>
      <c r="J38" s="318">
        <v>3.06</v>
      </c>
      <c r="K38" s="303"/>
      <c r="L38" s="303"/>
      <c r="M38" s="303"/>
      <c r="Q38" s="306">
        <v>4.1100000000000003</v>
      </c>
      <c r="R38" s="2057"/>
    </row>
    <row r="39" spans="1:18" s="296" customFormat="1">
      <c r="A39" s="315" t="s">
        <v>159</v>
      </c>
      <c r="B39" s="319" t="s">
        <v>759</v>
      </c>
      <c r="C39" s="315" t="s">
        <v>93</v>
      </c>
      <c r="D39" s="304"/>
      <c r="E39" s="304"/>
      <c r="F39" s="304"/>
      <c r="G39" s="304"/>
      <c r="H39" s="304"/>
      <c r="I39" s="304"/>
      <c r="J39" s="319">
        <v>21.38</v>
      </c>
      <c r="K39" s="304"/>
      <c r="L39" s="304"/>
      <c r="M39" s="304"/>
      <c r="Q39" s="311">
        <v>22.56</v>
      </c>
      <c r="R39" s="2057"/>
    </row>
    <row r="40" spans="1:18" s="294" customFormat="1">
      <c r="A40" s="320">
        <v>3</v>
      </c>
      <c r="B40" s="321" t="s">
        <v>760</v>
      </c>
      <c r="C40" s="320" t="s">
        <v>93</v>
      </c>
      <c r="D40" s="305"/>
      <c r="E40" s="305"/>
      <c r="F40" s="305"/>
      <c r="G40" s="305"/>
      <c r="H40" s="305"/>
      <c r="I40" s="305"/>
      <c r="J40" s="321">
        <v>14</v>
      </c>
      <c r="K40" s="305"/>
      <c r="L40" s="305"/>
      <c r="M40" s="305"/>
      <c r="Q40" s="308">
        <v>14</v>
      </c>
      <c r="R40" s="2057"/>
    </row>
    <row r="41" spans="1:18" ht="7.5" customHeight="1">
      <c r="A41" s="56"/>
      <c r="B41" s="56"/>
      <c r="C41" s="56"/>
      <c r="D41" s="56"/>
      <c r="E41" s="56"/>
      <c r="F41" s="56"/>
      <c r="G41" s="56"/>
      <c r="H41" s="56"/>
      <c r="I41" s="56"/>
      <c r="J41" s="56"/>
      <c r="K41" s="56"/>
      <c r="L41" s="56"/>
      <c r="M41" s="56"/>
    </row>
  </sheetData>
  <mergeCells count="15">
    <mergeCell ref="R31:R40"/>
    <mergeCell ref="P7:P23"/>
    <mergeCell ref="P31:P36"/>
    <mergeCell ref="A2:P2"/>
    <mergeCell ref="A3:P3"/>
    <mergeCell ref="P4:P5"/>
    <mergeCell ref="D4:E4"/>
    <mergeCell ref="A4:A5"/>
    <mergeCell ref="B4:B5"/>
    <mergeCell ref="C4:C5"/>
    <mergeCell ref="N4:O4"/>
    <mergeCell ref="F4:I4"/>
    <mergeCell ref="K4:L4"/>
    <mergeCell ref="M4:M5"/>
    <mergeCell ref="J4:J5"/>
  </mergeCells>
  <printOptions horizontalCentered="1"/>
  <pageMargins left="0.44685039399999998" right="0.44685039399999998" top="0.196850393700787" bottom="0.196850393700787" header="0.27559055118110198" footer="0.27559055118110198"/>
  <pageSetup paperSize="9" orientation="landscape" r:id="rId1"/>
  <legacyDrawing r:id="rId2"/>
</worksheet>
</file>

<file path=xl/worksheets/sheet1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T117"/>
  <sheetViews>
    <sheetView zoomScaleNormal="100" zoomScaleSheetLayoutView="85" workbookViewId="0">
      <selection activeCell="Q18" sqref="Q18"/>
    </sheetView>
  </sheetViews>
  <sheetFormatPr defaultColWidth="9" defaultRowHeight="15.75" customHeight="1"/>
  <cols>
    <col min="1" max="1" width="4.875" style="341" customWidth="1"/>
    <col min="2" max="2" width="29.75" style="370" customWidth="1"/>
    <col min="3" max="3" width="8" style="495" customWidth="1"/>
    <col min="4" max="4" width="8.75" style="467" hidden="1" customWidth="1"/>
    <col min="5" max="5" width="7.875" style="467" hidden="1" customWidth="1"/>
    <col min="6" max="6" width="8.75" style="467" customWidth="1"/>
    <col min="7" max="7" width="7.625" style="467" hidden="1" customWidth="1"/>
    <col min="8" max="8" width="8" style="467" hidden="1" customWidth="1"/>
    <col min="9" max="10" width="7.875" style="467" customWidth="1"/>
    <col min="11" max="11" width="9.125" style="467" customWidth="1"/>
    <col min="12" max="12" width="8.5" style="467" customWidth="1"/>
    <col min="13" max="13" width="5.875" style="467" customWidth="1"/>
    <col min="14" max="14" width="13" style="353" hidden="1" customWidth="1"/>
    <col min="15" max="15" width="11.625" style="353" hidden="1" customWidth="1"/>
    <col min="16" max="16" width="12.25" style="12" customWidth="1"/>
    <col min="17" max="17" width="12.25" style="459" customWidth="1"/>
    <col min="18" max="16384" width="9" style="370"/>
  </cols>
  <sheetData>
    <row r="1" spans="1:26" s="400" customFormat="1" ht="21.95" customHeight="1">
      <c r="A1" s="2043" t="s">
        <v>777</v>
      </c>
      <c r="B1" s="2043"/>
      <c r="C1" s="2043"/>
      <c r="D1" s="2043"/>
      <c r="E1" s="2043"/>
      <c r="F1" s="2043"/>
      <c r="G1" s="2043"/>
      <c r="H1" s="2043"/>
      <c r="I1" s="2043"/>
      <c r="J1" s="2043"/>
      <c r="K1" s="2043"/>
      <c r="L1" s="2043"/>
      <c r="M1" s="2043"/>
      <c r="N1" s="353"/>
      <c r="O1" s="353"/>
      <c r="P1" s="12"/>
      <c r="Q1" s="459"/>
    </row>
    <row r="2" spans="1:26" s="462" customFormat="1" ht="21.95" customHeight="1">
      <c r="A2" s="2045" t="s">
        <v>778</v>
      </c>
      <c r="B2" s="2045"/>
      <c r="C2" s="2045"/>
      <c r="D2" s="2045"/>
      <c r="E2" s="2045"/>
      <c r="F2" s="2045"/>
      <c r="G2" s="2045"/>
      <c r="H2" s="2045"/>
      <c r="I2" s="2045"/>
      <c r="J2" s="2045"/>
      <c r="K2" s="2045"/>
      <c r="L2" s="2045"/>
      <c r="M2" s="2045"/>
      <c r="N2" s="353"/>
      <c r="O2" s="353"/>
      <c r="P2" s="460"/>
      <c r="Q2" s="461"/>
    </row>
    <row r="3" spans="1:26" s="462" customFormat="1" ht="21.95" customHeight="1">
      <c r="A3" s="2076" t="str">
        <f>'B1 Bieu TH '!A3:Q3</f>
        <v>(Kèm theo Báo cáo số:  1525 /BC-UBND, ngày   30  tháng 5 năm 2025 của UBND huyện Mường Tè)</v>
      </c>
      <c r="B3" s="2076"/>
      <c r="C3" s="2076"/>
      <c r="D3" s="2076"/>
      <c r="E3" s="2076"/>
      <c r="F3" s="2076"/>
      <c r="G3" s="2076"/>
      <c r="H3" s="2076"/>
      <c r="I3" s="2076"/>
      <c r="J3" s="2076"/>
      <c r="K3" s="2076"/>
      <c r="L3" s="2076"/>
      <c r="M3" s="2076"/>
      <c r="N3" s="353"/>
      <c r="O3" s="353"/>
      <c r="P3" s="460"/>
      <c r="Q3" s="461"/>
    </row>
    <row r="4" spans="1:26" ht="15" customHeight="1">
      <c r="A4" s="463"/>
      <c r="B4" s="464"/>
      <c r="C4" s="465"/>
    </row>
    <row r="5" spans="1:26" s="460" customFormat="1" ht="33.75" customHeight="1">
      <c r="A5" s="2046" t="s">
        <v>178</v>
      </c>
      <c r="B5" s="2046" t="s">
        <v>56</v>
      </c>
      <c r="C5" s="2046" t="s">
        <v>57</v>
      </c>
      <c r="D5" s="2073" t="s">
        <v>880</v>
      </c>
      <c r="E5" s="2073" t="s">
        <v>865</v>
      </c>
      <c r="F5" s="2073"/>
      <c r="G5" s="2073"/>
      <c r="H5" s="2073"/>
      <c r="I5" s="2074" t="s">
        <v>952</v>
      </c>
      <c r="J5" s="2075"/>
      <c r="K5" s="2048" t="s">
        <v>866</v>
      </c>
      <c r="L5" s="2048"/>
      <c r="M5" s="2049" t="s">
        <v>656</v>
      </c>
      <c r="N5" s="2072"/>
      <c r="O5" s="2072"/>
      <c r="P5" s="2072"/>
      <c r="Q5" s="468"/>
    </row>
    <row r="6" spans="1:26" s="460" customFormat="1" ht="99" customHeight="1">
      <c r="A6" s="2021"/>
      <c r="B6" s="2021"/>
      <c r="C6" s="2021"/>
      <c r="D6" s="2073"/>
      <c r="E6" s="639" t="s">
        <v>765</v>
      </c>
      <c r="F6" s="830" t="s">
        <v>972</v>
      </c>
      <c r="G6" s="830" t="s">
        <v>871</v>
      </c>
      <c r="H6" s="830" t="s">
        <v>797</v>
      </c>
      <c r="I6" s="1786" t="s">
        <v>11</v>
      </c>
      <c r="J6" s="1677" t="s">
        <v>958</v>
      </c>
      <c r="K6" s="1676" t="s">
        <v>959</v>
      </c>
      <c r="L6" s="1676" t="s">
        <v>964</v>
      </c>
      <c r="M6" s="2011"/>
      <c r="N6" s="1589" t="s">
        <v>923</v>
      </c>
      <c r="O6" s="353" t="s">
        <v>924</v>
      </c>
      <c r="P6" s="345"/>
      <c r="Q6" s="461"/>
      <c r="R6" s="469"/>
      <c r="S6" s="469"/>
      <c r="T6" s="469"/>
      <c r="U6" s="469"/>
      <c r="V6" s="469"/>
      <c r="W6" s="469"/>
      <c r="X6" s="469"/>
      <c r="Y6" s="469"/>
      <c r="Z6" s="469"/>
    </row>
    <row r="7" spans="1:26" s="455" customFormat="1" ht="18.75" hidden="1" customHeight="1">
      <c r="A7" s="830" t="s">
        <v>83</v>
      </c>
      <c r="B7" s="1048" t="s">
        <v>180</v>
      </c>
      <c r="C7" s="837" t="s">
        <v>15</v>
      </c>
      <c r="D7" s="639"/>
      <c r="E7" s="639"/>
      <c r="F7" s="639"/>
      <c r="G7" s="639"/>
      <c r="H7" s="639"/>
      <c r="I7" s="639"/>
      <c r="J7" s="1677"/>
      <c r="K7" s="639"/>
      <c r="L7" s="639"/>
      <c r="M7" s="639"/>
      <c r="N7" s="466"/>
      <c r="O7" s="466"/>
      <c r="P7" s="466"/>
      <c r="Q7" s="459"/>
      <c r="R7" s="470"/>
      <c r="S7" s="470"/>
      <c r="T7" s="470"/>
      <c r="U7" s="470"/>
      <c r="V7" s="470"/>
      <c r="W7" s="470"/>
      <c r="X7" s="470"/>
      <c r="Y7" s="470"/>
      <c r="Z7" s="470"/>
    </row>
    <row r="8" spans="1:26" s="455" customFormat="1" ht="28.5" hidden="1" customHeight="1">
      <c r="A8" s="830" t="s">
        <v>100</v>
      </c>
      <c r="B8" s="1048" t="s">
        <v>181</v>
      </c>
      <c r="C8" s="837" t="s">
        <v>15</v>
      </c>
      <c r="D8" s="857"/>
      <c r="E8" s="857"/>
      <c r="F8" s="857"/>
      <c r="G8" s="857"/>
      <c r="H8" s="857"/>
      <c r="I8" s="857"/>
      <c r="J8" s="857"/>
      <c r="K8" s="857"/>
      <c r="L8" s="857"/>
      <c r="M8" s="857"/>
      <c r="N8" s="466"/>
      <c r="O8" s="466"/>
      <c r="P8" s="466"/>
      <c r="Q8" s="459"/>
      <c r="R8" s="470"/>
      <c r="S8" s="470"/>
      <c r="T8" s="470"/>
      <c r="U8" s="470"/>
      <c r="V8" s="470"/>
      <c r="W8" s="470"/>
      <c r="X8" s="470"/>
      <c r="Y8" s="470"/>
      <c r="Z8" s="470"/>
    </row>
    <row r="9" spans="1:26" ht="15.75" hidden="1" customHeight="1">
      <c r="A9" s="837"/>
      <c r="B9" s="839" t="s">
        <v>27</v>
      </c>
      <c r="C9" s="837" t="s">
        <v>15</v>
      </c>
      <c r="D9" s="1114"/>
      <c r="E9" s="1114"/>
      <c r="F9" s="1114"/>
      <c r="G9" s="1114"/>
      <c r="H9" s="1114"/>
      <c r="I9" s="1114"/>
      <c r="J9" s="1114"/>
      <c r="K9" s="1114"/>
      <c r="L9" s="1114"/>
      <c r="M9" s="1114"/>
      <c r="P9" s="353"/>
      <c r="R9" s="404"/>
      <c r="S9" s="404"/>
      <c r="T9" s="404"/>
      <c r="U9" s="404"/>
      <c r="V9" s="404"/>
      <c r="W9" s="404"/>
      <c r="X9" s="404"/>
      <c r="Y9" s="404"/>
      <c r="Z9" s="404"/>
    </row>
    <row r="10" spans="1:26" ht="15.75" hidden="1" customHeight="1">
      <c r="A10" s="837"/>
      <c r="B10" s="839" t="s">
        <v>28</v>
      </c>
      <c r="C10" s="837" t="s">
        <v>15</v>
      </c>
      <c r="D10" s="1114"/>
      <c r="E10" s="1114"/>
      <c r="F10" s="1114"/>
      <c r="G10" s="1114"/>
      <c r="H10" s="1114"/>
      <c r="I10" s="1114"/>
      <c r="J10" s="1114"/>
      <c r="K10" s="1114"/>
      <c r="L10" s="1114"/>
      <c r="M10" s="1114"/>
      <c r="P10" s="353"/>
      <c r="R10" s="404"/>
      <c r="S10" s="404"/>
      <c r="T10" s="404"/>
      <c r="U10" s="404"/>
      <c r="V10" s="404"/>
      <c r="W10" s="404"/>
      <c r="X10" s="404"/>
      <c r="Y10" s="404"/>
      <c r="Z10" s="404"/>
    </row>
    <row r="11" spans="1:26" ht="15.75" hidden="1" customHeight="1">
      <c r="A11" s="837"/>
      <c r="B11" s="839" t="s">
        <v>29</v>
      </c>
      <c r="C11" s="837" t="s">
        <v>15</v>
      </c>
      <c r="D11" s="1114"/>
      <c r="E11" s="1114"/>
      <c r="F11" s="1114"/>
      <c r="G11" s="1114"/>
      <c r="H11" s="1114"/>
      <c r="I11" s="1114"/>
      <c r="J11" s="1114"/>
      <c r="K11" s="1114"/>
      <c r="L11" s="1114"/>
      <c r="M11" s="1114"/>
      <c r="P11" s="353"/>
      <c r="R11" s="404"/>
      <c r="S11" s="404"/>
      <c r="T11" s="404"/>
      <c r="U11" s="404"/>
      <c r="V11" s="404"/>
      <c r="W11" s="404"/>
      <c r="X11" s="404"/>
      <c r="Y11" s="404"/>
      <c r="Z11" s="404"/>
    </row>
    <row r="12" spans="1:26" ht="15.75" hidden="1" customHeight="1">
      <c r="A12" s="837"/>
      <c r="B12" s="839" t="s">
        <v>30</v>
      </c>
      <c r="C12" s="837" t="s">
        <v>15</v>
      </c>
      <c r="D12" s="1114"/>
      <c r="E12" s="1114"/>
      <c r="F12" s="1114"/>
      <c r="G12" s="1114"/>
      <c r="H12" s="1114"/>
      <c r="I12" s="1114"/>
      <c r="J12" s="1114"/>
      <c r="K12" s="1114"/>
      <c r="L12" s="1114"/>
      <c r="M12" s="1114"/>
      <c r="P12" s="353"/>
      <c r="R12" s="404"/>
      <c r="S12" s="404"/>
      <c r="T12" s="404"/>
      <c r="U12" s="404"/>
      <c r="V12" s="404"/>
      <c r="W12" s="404"/>
      <c r="X12" s="404"/>
      <c r="Y12" s="404"/>
      <c r="Z12" s="404"/>
    </row>
    <row r="13" spans="1:26" s="475" customFormat="1" ht="21.95" customHeight="1">
      <c r="A13" s="830" t="s">
        <v>83</v>
      </c>
      <c r="B13" s="1104" t="s">
        <v>798</v>
      </c>
      <c r="C13" s="834" t="s">
        <v>15</v>
      </c>
      <c r="D13" s="1105">
        <v>919.7</v>
      </c>
      <c r="E13" s="1105">
        <f>E14</f>
        <v>1519.8</v>
      </c>
      <c r="F13" s="1105">
        <f>F14</f>
        <v>586.34</v>
      </c>
      <c r="G13" s="1106">
        <f t="shared" ref="G13" si="0">G14</f>
        <v>1161.95</v>
      </c>
      <c r="H13" s="1105">
        <f>E13</f>
        <v>1519.8</v>
      </c>
      <c r="I13" s="1105">
        <f>I14</f>
        <v>1600.8</v>
      </c>
      <c r="J13" s="1105">
        <f>J14</f>
        <v>591.1</v>
      </c>
      <c r="K13" s="1105">
        <f>J13/F13%</f>
        <v>100.81181567008902</v>
      </c>
      <c r="L13" s="1105">
        <f>J13/I13%</f>
        <v>36.925287356321846</v>
      </c>
      <c r="M13" s="1105"/>
      <c r="N13" s="1625">
        <v>1373.4</v>
      </c>
      <c r="O13" s="1625">
        <f>I13-N13</f>
        <v>227.39999999999986</v>
      </c>
      <c r="P13" s="473"/>
      <c r="Q13" s="461"/>
      <c r="R13" s="461"/>
      <c r="S13" s="474"/>
      <c r="T13" s="474"/>
      <c r="U13" s="474"/>
      <c r="V13" s="474"/>
      <c r="W13" s="474"/>
      <c r="X13" s="474"/>
      <c r="Y13" s="474"/>
      <c r="Z13" s="474"/>
    </row>
    <row r="14" spans="1:26" s="477" customFormat="1" ht="21.95" customHeight="1">
      <c r="A14" s="830">
        <v>1</v>
      </c>
      <c r="B14" s="1104" t="s">
        <v>182</v>
      </c>
      <c r="C14" s="834"/>
      <c r="D14" s="1105">
        <v>919.7</v>
      </c>
      <c r="E14" s="1105">
        <f>+E16+E17</f>
        <v>1519.8</v>
      </c>
      <c r="F14" s="1105">
        <f t="shared" ref="F14" si="1">+F16+F17</f>
        <v>586.34</v>
      </c>
      <c r="G14" s="1106">
        <f>SUM(G16:G17)</f>
        <v>1161.95</v>
      </c>
      <c r="H14" s="1105">
        <f>E14</f>
        <v>1519.8</v>
      </c>
      <c r="I14" s="1105">
        <f>+I16+I17</f>
        <v>1600.8</v>
      </c>
      <c r="J14" s="1105">
        <f>+J16+J17</f>
        <v>591.1</v>
      </c>
      <c r="K14" s="1105">
        <f t="shared" ref="K14:K36" si="2">J14/F14%</f>
        <v>100.81181567008902</v>
      </c>
      <c r="L14" s="1105">
        <f t="shared" ref="L14:L36" si="3">J14/I14%</f>
        <v>36.925287356321846</v>
      </c>
      <c r="M14" s="1105"/>
      <c r="N14" s="1625">
        <f>N13</f>
        <v>1373.4</v>
      </c>
      <c r="O14" s="1625">
        <f>I14-N14</f>
        <v>227.39999999999986</v>
      </c>
      <c r="P14" s="473"/>
      <c r="Q14" s="461"/>
      <c r="R14" s="476"/>
      <c r="S14" s="476"/>
      <c r="T14" s="476"/>
      <c r="U14" s="476"/>
      <c r="V14" s="476"/>
      <c r="W14" s="476"/>
      <c r="X14" s="476"/>
      <c r="Y14" s="476"/>
      <c r="Z14" s="476"/>
    </row>
    <row r="15" spans="1:26" ht="21.95" customHeight="1">
      <c r="A15" s="837"/>
      <c r="B15" s="889" t="s">
        <v>27</v>
      </c>
      <c r="C15" s="837" t="s">
        <v>15</v>
      </c>
      <c r="D15" s="1107"/>
      <c r="E15" s="1107"/>
      <c r="F15" s="1107"/>
      <c r="G15" s="1108"/>
      <c r="H15" s="1107"/>
      <c r="I15" s="1107"/>
      <c r="J15" s="1107"/>
      <c r="K15" s="1109"/>
      <c r="L15" s="1109"/>
      <c r="M15" s="1107"/>
      <c r="N15" s="1626"/>
      <c r="O15" s="1627">
        <f>I15-N15</f>
        <v>0</v>
      </c>
      <c r="P15" s="478"/>
      <c r="R15" s="404"/>
      <c r="S15" s="404"/>
      <c r="T15" s="404"/>
      <c r="U15" s="404"/>
      <c r="V15" s="404"/>
      <c r="W15" s="404"/>
      <c r="X15" s="404"/>
      <c r="Y15" s="404"/>
      <c r="Z15" s="404"/>
    </row>
    <row r="16" spans="1:26" ht="21.95" customHeight="1">
      <c r="A16" s="837"/>
      <c r="B16" s="889" t="s">
        <v>28</v>
      </c>
      <c r="C16" s="837" t="s">
        <v>15</v>
      </c>
      <c r="D16" s="1010">
        <v>0.7</v>
      </c>
      <c r="E16" s="1010">
        <v>0.7</v>
      </c>
      <c r="F16" s="1010">
        <v>0.34</v>
      </c>
      <c r="G16" s="1110">
        <v>0.55000000000000004</v>
      </c>
      <c r="H16" s="1010">
        <f>E16</f>
        <v>0.7</v>
      </c>
      <c r="I16" s="1010">
        <v>0.8</v>
      </c>
      <c r="J16" s="1010">
        <v>0.5</v>
      </c>
      <c r="K16" s="1109">
        <f t="shared" si="2"/>
        <v>147.05882352941177</v>
      </c>
      <c r="L16" s="1109">
        <f t="shared" si="3"/>
        <v>62.5</v>
      </c>
      <c r="M16" s="1010"/>
      <c r="N16" s="1628">
        <v>1.1000000000000001</v>
      </c>
      <c r="O16" s="1627">
        <f>I16-N16</f>
        <v>-0.30000000000000004</v>
      </c>
      <c r="P16" s="478"/>
      <c r="R16" s="404"/>
      <c r="S16" s="404"/>
      <c r="T16" s="404"/>
      <c r="U16" s="404"/>
      <c r="V16" s="404"/>
      <c r="W16" s="404"/>
      <c r="X16" s="404"/>
      <c r="Y16" s="404"/>
      <c r="Z16" s="404"/>
    </row>
    <row r="17" spans="1:26" ht="21.95" customHeight="1">
      <c r="A17" s="837"/>
      <c r="B17" s="889" t="s">
        <v>183</v>
      </c>
      <c r="C17" s="837" t="s">
        <v>15</v>
      </c>
      <c r="D17" s="1010">
        <v>919</v>
      </c>
      <c r="E17" s="1010">
        <v>1519.1</v>
      </c>
      <c r="F17" s="1010">
        <v>586</v>
      </c>
      <c r="G17" s="1110">
        <v>1161.4000000000001</v>
      </c>
      <c r="H17" s="1010">
        <f>E17</f>
        <v>1519.1</v>
      </c>
      <c r="I17" s="1010">
        <v>1600</v>
      </c>
      <c r="J17" s="1010">
        <v>590.6</v>
      </c>
      <c r="K17" s="1109">
        <f t="shared" si="2"/>
        <v>100.78498293515358</v>
      </c>
      <c r="L17" s="1109">
        <f t="shared" si="3"/>
        <v>36.912500000000001</v>
      </c>
      <c r="M17" s="1010"/>
      <c r="N17" s="1627">
        <v>1372.3</v>
      </c>
      <c r="O17" s="1627">
        <f>I17-N17</f>
        <v>227.70000000000005</v>
      </c>
      <c r="P17" s="478"/>
      <c r="R17" s="404"/>
      <c r="S17" s="404"/>
      <c r="T17" s="404"/>
      <c r="U17" s="404"/>
      <c r="V17" s="404"/>
      <c r="W17" s="404"/>
      <c r="X17" s="404"/>
      <c r="Y17" s="404"/>
      <c r="Z17" s="404"/>
    </row>
    <row r="18" spans="1:26" ht="21.95" customHeight="1">
      <c r="A18" s="837"/>
      <c r="B18" s="889" t="s">
        <v>184</v>
      </c>
      <c r="C18" s="837" t="s">
        <v>15</v>
      </c>
      <c r="D18" s="1107"/>
      <c r="E18" s="1107"/>
      <c r="F18" s="1107"/>
      <c r="G18" s="1108"/>
      <c r="H18" s="1107"/>
      <c r="I18" s="1107"/>
      <c r="J18" s="1107"/>
      <c r="K18" s="1109"/>
      <c r="L18" s="1109"/>
      <c r="M18" s="1107"/>
      <c r="N18" s="1629"/>
      <c r="O18" s="1627"/>
      <c r="P18" s="353"/>
      <c r="R18" s="404"/>
      <c r="S18" s="404"/>
      <c r="T18" s="404"/>
      <c r="U18" s="404"/>
      <c r="V18" s="404"/>
      <c r="W18" s="404"/>
      <c r="X18" s="404"/>
      <c r="Y18" s="404"/>
      <c r="Z18" s="404"/>
    </row>
    <row r="19" spans="1:26" s="477" customFormat="1" ht="21.95" customHeight="1">
      <c r="A19" s="830">
        <v>2</v>
      </c>
      <c r="B19" s="1104" t="s">
        <v>185</v>
      </c>
      <c r="C19" s="834" t="s">
        <v>15</v>
      </c>
      <c r="D19" s="963">
        <v>919.69999999999993</v>
      </c>
      <c r="E19" s="963">
        <f>+E20+E21+E22+E23</f>
        <v>1519.8000000000002</v>
      </c>
      <c r="F19" s="963">
        <f>SUM(F20:F23)</f>
        <v>586.26</v>
      </c>
      <c r="G19" s="1106">
        <f>SUM(G20:G23)</f>
        <v>1162</v>
      </c>
      <c r="H19" s="963">
        <f>E19</f>
        <v>1519.8000000000002</v>
      </c>
      <c r="I19" s="963">
        <f>+I20+I21+I22+I23</f>
        <v>1600.8</v>
      </c>
      <c r="J19" s="963">
        <f>+J20+J21+J22+J23</f>
        <v>591.1</v>
      </c>
      <c r="K19" s="1105">
        <f t="shared" si="2"/>
        <v>100.82557227168834</v>
      </c>
      <c r="L19" s="1105">
        <f t="shared" si="3"/>
        <v>36.925287356321846</v>
      </c>
      <c r="M19" s="963"/>
      <c r="N19" s="1625">
        <f>N14</f>
        <v>1373.4</v>
      </c>
      <c r="O19" s="1625">
        <f t="shared" ref="O19:O28" si="4">I19-N19</f>
        <v>227.39999999999986</v>
      </c>
      <c r="P19" s="473"/>
      <c r="Q19" s="479"/>
      <c r="R19" s="476"/>
      <c r="S19" s="476"/>
      <c r="T19" s="476"/>
      <c r="U19" s="476"/>
      <c r="V19" s="476"/>
      <c r="W19" s="476"/>
      <c r="X19" s="476"/>
      <c r="Y19" s="476"/>
      <c r="Z19" s="476"/>
    </row>
    <row r="20" spans="1:26" s="455" customFormat="1" ht="21.95" customHeight="1">
      <c r="A20" s="830"/>
      <c r="B20" s="974" t="s">
        <v>186</v>
      </c>
      <c r="C20" s="837" t="s">
        <v>15</v>
      </c>
      <c r="D20" s="1010">
        <v>14.5</v>
      </c>
      <c r="E20" s="1010">
        <v>14.5</v>
      </c>
      <c r="F20" s="1010">
        <v>6.7</v>
      </c>
      <c r="G20" s="1010">
        <v>10</v>
      </c>
      <c r="H20" s="1010">
        <f>E20</f>
        <v>14.5</v>
      </c>
      <c r="I20" s="1010">
        <v>15</v>
      </c>
      <c r="J20" s="1010">
        <v>7.5</v>
      </c>
      <c r="K20" s="1109">
        <f t="shared" si="2"/>
        <v>111.94029850746269</v>
      </c>
      <c r="L20" s="1109">
        <f t="shared" si="3"/>
        <v>50</v>
      </c>
      <c r="M20" s="1010"/>
      <c r="N20" s="1627">
        <v>23.4</v>
      </c>
      <c r="O20" s="1627">
        <f t="shared" si="4"/>
        <v>-8.3999999999999986</v>
      </c>
      <c r="P20" s="478"/>
      <c r="Q20" s="480"/>
      <c r="R20" s="470"/>
      <c r="S20" s="470"/>
      <c r="T20" s="470"/>
      <c r="U20" s="470"/>
      <c r="V20" s="470"/>
      <c r="W20" s="470"/>
      <c r="X20" s="470"/>
      <c r="Y20" s="470"/>
      <c r="Z20" s="470"/>
    </row>
    <row r="21" spans="1:26" s="455" customFormat="1" ht="21.95" customHeight="1">
      <c r="A21" s="830"/>
      <c r="B21" s="974" t="s">
        <v>187</v>
      </c>
      <c r="C21" s="837" t="s">
        <v>15</v>
      </c>
      <c r="D21" s="1010">
        <v>13.9</v>
      </c>
      <c r="E21" s="1010">
        <v>13.9</v>
      </c>
      <c r="F21" s="1010">
        <v>6.78</v>
      </c>
      <c r="G21" s="1010" t="s">
        <v>874</v>
      </c>
      <c r="H21" s="1010">
        <f t="shared" ref="H21:H23" si="5">E21</f>
        <v>13.9</v>
      </c>
      <c r="I21" s="1010">
        <v>14</v>
      </c>
      <c r="J21" s="1010">
        <v>7</v>
      </c>
      <c r="K21" s="1109">
        <f t="shared" si="2"/>
        <v>103.2448377581121</v>
      </c>
      <c r="L21" s="1109">
        <f t="shared" si="3"/>
        <v>49.999999999999993</v>
      </c>
      <c r="M21" s="1010"/>
      <c r="N21" s="1627">
        <v>85</v>
      </c>
      <c r="O21" s="1627">
        <f t="shared" si="4"/>
        <v>-71</v>
      </c>
      <c r="P21" s="478"/>
      <c r="Q21" s="480"/>
      <c r="R21" s="470"/>
      <c r="S21" s="470"/>
      <c r="T21" s="470"/>
      <c r="U21" s="470"/>
      <c r="V21" s="470"/>
      <c r="W21" s="470"/>
      <c r="X21" s="470"/>
      <c r="Y21" s="470"/>
      <c r="Z21" s="470"/>
    </row>
    <row r="22" spans="1:26" s="455" customFormat="1" ht="38.1" customHeight="1">
      <c r="A22" s="830"/>
      <c r="B22" s="974" t="s">
        <v>188</v>
      </c>
      <c r="C22" s="837" t="s">
        <v>15</v>
      </c>
      <c r="D22" s="1010">
        <v>888.8</v>
      </c>
      <c r="E22" s="1010">
        <v>1488.7</v>
      </c>
      <c r="F22" s="1010">
        <v>571</v>
      </c>
      <c r="G22" s="1010">
        <v>1150</v>
      </c>
      <c r="H22" s="1010">
        <f t="shared" si="5"/>
        <v>1488.7</v>
      </c>
      <c r="I22" s="1010">
        <v>1568.8</v>
      </c>
      <c r="J22" s="1010">
        <v>575</v>
      </c>
      <c r="K22" s="1109">
        <f t="shared" si="2"/>
        <v>100.70052539404554</v>
      </c>
      <c r="L22" s="1109">
        <f t="shared" si="3"/>
        <v>36.652218255991841</v>
      </c>
      <c r="M22" s="1010"/>
      <c r="N22" s="1627">
        <v>1262.2</v>
      </c>
      <c r="O22" s="1627">
        <f t="shared" si="4"/>
        <v>306.59999999999991</v>
      </c>
      <c r="P22" s="478"/>
      <c r="Q22" s="480"/>
      <c r="R22" s="470"/>
      <c r="S22" s="470"/>
      <c r="T22" s="470"/>
      <c r="U22" s="470"/>
      <c r="V22" s="470"/>
      <c r="W22" s="470"/>
      <c r="X22" s="470"/>
      <c r="Y22" s="470"/>
      <c r="Z22" s="470"/>
    </row>
    <row r="23" spans="1:26" s="455" customFormat="1" ht="38.1" customHeight="1">
      <c r="A23" s="830"/>
      <c r="B23" s="974" t="s">
        <v>189</v>
      </c>
      <c r="C23" s="837" t="s">
        <v>15</v>
      </c>
      <c r="D23" s="1010">
        <v>2.5</v>
      </c>
      <c r="E23" s="1010">
        <v>2.7</v>
      </c>
      <c r="F23" s="1010">
        <v>1.78</v>
      </c>
      <c r="G23" s="1010">
        <v>2</v>
      </c>
      <c r="H23" s="1010">
        <f t="shared" si="5"/>
        <v>2.7</v>
      </c>
      <c r="I23" s="1010">
        <v>3</v>
      </c>
      <c r="J23" s="1010">
        <v>1.6</v>
      </c>
      <c r="K23" s="1109">
        <f t="shared" si="2"/>
        <v>89.887640449438209</v>
      </c>
      <c r="L23" s="1109">
        <f t="shared" si="3"/>
        <v>53.333333333333336</v>
      </c>
      <c r="M23" s="1010"/>
      <c r="N23" s="1627">
        <v>2.8</v>
      </c>
      <c r="O23" s="1627">
        <f t="shared" si="4"/>
        <v>0.20000000000000018</v>
      </c>
      <c r="P23" s="478"/>
      <c r="Q23" s="480"/>
      <c r="R23" s="470"/>
      <c r="S23" s="470"/>
      <c r="T23" s="470"/>
      <c r="U23" s="470"/>
      <c r="V23" s="470"/>
      <c r="W23" s="470"/>
      <c r="X23" s="470"/>
      <c r="Y23" s="470"/>
      <c r="Z23" s="470"/>
    </row>
    <row r="24" spans="1:26" s="455" customFormat="1" ht="44.25" hidden="1" customHeight="1">
      <c r="A24" s="830" t="s">
        <v>100</v>
      </c>
      <c r="B24" s="1104" t="s">
        <v>190</v>
      </c>
      <c r="C24" s="834" t="s">
        <v>26</v>
      </c>
      <c r="D24" s="863"/>
      <c r="E24" s="863"/>
      <c r="F24" s="863"/>
      <c r="G24" s="863"/>
      <c r="H24" s="863"/>
      <c r="I24" s="863"/>
      <c r="J24" s="863"/>
      <c r="K24" s="1109" t="e">
        <f t="shared" si="2"/>
        <v>#DIV/0!</v>
      </c>
      <c r="L24" s="1109" t="e">
        <f t="shared" si="3"/>
        <v>#DIV/0!</v>
      </c>
      <c r="M24" s="863"/>
      <c r="N24" s="1630"/>
      <c r="O24" s="1627">
        <f t="shared" si="4"/>
        <v>0</v>
      </c>
      <c r="P24" s="466"/>
      <c r="Q24" s="459"/>
      <c r="R24" s="470"/>
      <c r="S24" s="470"/>
      <c r="T24" s="470"/>
      <c r="U24" s="470"/>
      <c r="V24" s="470"/>
      <c r="W24" s="470"/>
      <c r="X24" s="470"/>
      <c r="Y24" s="470"/>
      <c r="Z24" s="470"/>
    </row>
    <row r="25" spans="1:26" s="455" customFormat="1" ht="33.75" hidden="1" customHeight="1">
      <c r="A25" s="830"/>
      <c r="B25" s="974" t="s">
        <v>186</v>
      </c>
      <c r="C25" s="834" t="s">
        <v>26</v>
      </c>
      <c r="D25" s="863"/>
      <c r="E25" s="863"/>
      <c r="F25" s="863"/>
      <c r="G25" s="863"/>
      <c r="H25" s="863"/>
      <c r="I25" s="863"/>
      <c r="J25" s="863"/>
      <c r="K25" s="1109" t="e">
        <f t="shared" si="2"/>
        <v>#DIV/0!</v>
      </c>
      <c r="L25" s="1109" t="e">
        <f t="shared" si="3"/>
        <v>#DIV/0!</v>
      </c>
      <c r="M25" s="863"/>
      <c r="N25" s="1630"/>
      <c r="O25" s="1627">
        <f t="shared" si="4"/>
        <v>0</v>
      </c>
      <c r="P25" s="466"/>
      <c r="Q25" s="459"/>
      <c r="R25" s="470"/>
      <c r="S25" s="470"/>
      <c r="T25" s="470"/>
      <c r="U25" s="470"/>
      <c r="V25" s="470"/>
      <c r="W25" s="470"/>
      <c r="X25" s="470"/>
      <c r="Y25" s="470"/>
      <c r="Z25" s="470"/>
    </row>
    <row r="26" spans="1:26" s="455" customFormat="1" ht="33.75" hidden="1" customHeight="1">
      <c r="A26" s="830"/>
      <c r="B26" s="974" t="s">
        <v>187</v>
      </c>
      <c r="C26" s="834" t="s">
        <v>26</v>
      </c>
      <c r="D26" s="863"/>
      <c r="E26" s="863"/>
      <c r="F26" s="863"/>
      <c r="G26" s="863"/>
      <c r="H26" s="863"/>
      <c r="I26" s="863"/>
      <c r="J26" s="863"/>
      <c r="K26" s="1109" t="e">
        <f t="shared" si="2"/>
        <v>#DIV/0!</v>
      </c>
      <c r="L26" s="1109" t="e">
        <f t="shared" si="3"/>
        <v>#DIV/0!</v>
      </c>
      <c r="M26" s="863"/>
      <c r="N26" s="1630"/>
      <c r="O26" s="1627">
        <f t="shared" si="4"/>
        <v>0</v>
      </c>
      <c r="P26" s="466"/>
      <c r="Q26" s="459"/>
      <c r="R26" s="470"/>
      <c r="S26" s="470"/>
      <c r="T26" s="470"/>
      <c r="U26" s="470"/>
      <c r="V26" s="470"/>
      <c r="W26" s="470"/>
      <c r="X26" s="470"/>
      <c r="Y26" s="470"/>
      <c r="Z26" s="470"/>
    </row>
    <row r="27" spans="1:26" s="455" customFormat="1" ht="33.75" hidden="1" customHeight="1">
      <c r="A27" s="830"/>
      <c r="B27" s="974" t="s">
        <v>188</v>
      </c>
      <c r="C27" s="834" t="s">
        <v>26</v>
      </c>
      <c r="D27" s="863"/>
      <c r="E27" s="863"/>
      <c r="F27" s="863"/>
      <c r="G27" s="863"/>
      <c r="H27" s="863"/>
      <c r="I27" s="863"/>
      <c r="J27" s="863"/>
      <c r="K27" s="1109" t="e">
        <f t="shared" si="2"/>
        <v>#DIV/0!</v>
      </c>
      <c r="L27" s="1109" t="e">
        <f t="shared" si="3"/>
        <v>#DIV/0!</v>
      </c>
      <c r="M27" s="863"/>
      <c r="N27" s="1630"/>
      <c r="O27" s="1627">
        <f t="shared" si="4"/>
        <v>0</v>
      </c>
      <c r="P27" s="466"/>
      <c r="Q27" s="459"/>
      <c r="R27" s="470"/>
      <c r="S27" s="470"/>
      <c r="T27" s="470"/>
      <c r="U27" s="470"/>
      <c r="V27" s="470"/>
      <c r="W27" s="470"/>
      <c r="X27" s="470"/>
      <c r="Y27" s="470"/>
      <c r="Z27" s="470"/>
    </row>
    <row r="28" spans="1:26" s="455" customFormat="1" ht="33.75" hidden="1" customHeight="1">
      <c r="A28" s="830"/>
      <c r="B28" s="974" t="s">
        <v>189</v>
      </c>
      <c r="C28" s="834" t="s">
        <v>26</v>
      </c>
      <c r="D28" s="863"/>
      <c r="E28" s="863"/>
      <c r="F28" s="863"/>
      <c r="G28" s="863"/>
      <c r="H28" s="863"/>
      <c r="I28" s="863"/>
      <c r="J28" s="863"/>
      <c r="K28" s="1109" t="e">
        <f t="shared" si="2"/>
        <v>#DIV/0!</v>
      </c>
      <c r="L28" s="1109" t="e">
        <f t="shared" si="3"/>
        <v>#DIV/0!</v>
      </c>
      <c r="M28" s="863"/>
      <c r="N28" s="1630"/>
      <c r="O28" s="1627">
        <f t="shared" si="4"/>
        <v>0</v>
      </c>
      <c r="P28" s="466"/>
      <c r="Q28" s="459"/>
      <c r="R28" s="470"/>
      <c r="S28" s="470"/>
      <c r="T28" s="470"/>
      <c r="U28" s="470"/>
      <c r="V28" s="470"/>
      <c r="W28" s="470"/>
      <c r="X28" s="470"/>
      <c r="Y28" s="470"/>
      <c r="Z28" s="470"/>
    </row>
    <row r="29" spans="1:26" s="477" customFormat="1" ht="21.95" customHeight="1">
      <c r="A29" s="830" t="s">
        <v>100</v>
      </c>
      <c r="B29" s="1104" t="s">
        <v>191</v>
      </c>
      <c r="C29" s="834"/>
      <c r="D29" s="1111"/>
      <c r="E29" s="1111"/>
      <c r="F29" s="1111"/>
      <c r="G29" s="1111"/>
      <c r="H29" s="1111"/>
      <c r="I29" s="1111"/>
      <c r="J29" s="1111"/>
      <c r="K29" s="1109"/>
      <c r="L29" s="1109"/>
      <c r="M29" s="1111"/>
      <c r="N29" s="1630"/>
      <c r="O29" s="1627"/>
      <c r="P29" s="474"/>
      <c r="Q29" s="461"/>
      <c r="R29" s="476"/>
      <c r="S29" s="476"/>
      <c r="T29" s="476"/>
      <c r="U29" s="476"/>
      <c r="V29" s="476"/>
      <c r="W29" s="476"/>
      <c r="X29" s="476"/>
      <c r="Y29" s="476"/>
      <c r="Z29" s="476"/>
    </row>
    <row r="30" spans="1:26" s="477" customFormat="1" ht="38.1" customHeight="1">
      <c r="A30" s="1112">
        <v>1</v>
      </c>
      <c r="B30" s="889" t="s">
        <v>192</v>
      </c>
      <c r="C30" s="837" t="s">
        <v>793</v>
      </c>
      <c r="D30" s="863">
        <v>941</v>
      </c>
      <c r="E30" s="863">
        <v>1678</v>
      </c>
      <c r="F30" s="863">
        <v>366</v>
      </c>
      <c r="G30" s="863">
        <v>1146</v>
      </c>
      <c r="H30" s="863">
        <f>E30</f>
        <v>1678</v>
      </c>
      <c r="I30" s="863">
        <v>1700</v>
      </c>
      <c r="J30" s="863">
        <v>600</v>
      </c>
      <c r="K30" s="1109">
        <f t="shared" si="2"/>
        <v>163.93442622950818</v>
      </c>
      <c r="L30" s="1109">
        <f t="shared" si="3"/>
        <v>35.294117647058826</v>
      </c>
      <c r="M30" s="863"/>
      <c r="N30" s="1631">
        <v>1422.8</v>
      </c>
      <c r="O30" s="1627">
        <f>I30-N30</f>
        <v>277.20000000000005</v>
      </c>
      <c r="P30" s="474"/>
      <c r="Q30" s="481"/>
      <c r="R30" s="482"/>
      <c r="S30" s="476"/>
      <c r="T30" s="476"/>
      <c r="U30" s="476"/>
      <c r="V30" s="476"/>
      <c r="W30" s="476"/>
      <c r="X30" s="476"/>
      <c r="Y30" s="476"/>
      <c r="Z30" s="476"/>
    </row>
    <row r="31" spans="1:26" s="477" customFormat="1" ht="21.95" customHeight="1">
      <c r="A31" s="1112">
        <v>2</v>
      </c>
      <c r="B31" s="889" t="s">
        <v>193</v>
      </c>
      <c r="C31" s="837" t="s">
        <v>940</v>
      </c>
      <c r="D31" s="863">
        <v>124000</v>
      </c>
      <c r="E31" s="863">
        <v>124300</v>
      </c>
      <c r="F31" s="863">
        <v>65300</v>
      </c>
      <c r="G31" s="863">
        <v>96000</v>
      </c>
      <c r="H31" s="863">
        <f t="shared" ref="H31:H33" si="6">E31</f>
        <v>124300</v>
      </c>
      <c r="I31" s="863">
        <v>139337</v>
      </c>
      <c r="J31" s="863">
        <v>80000</v>
      </c>
      <c r="K31" s="1109">
        <f t="shared" si="2"/>
        <v>122.5114854517611</v>
      </c>
      <c r="L31" s="1109">
        <f t="shared" si="3"/>
        <v>57.414757027925106</v>
      </c>
      <c r="M31" s="863"/>
      <c r="N31" s="1346">
        <v>139337</v>
      </c>
      <c r="O31" s="478">
        <f>I31-N31</f>
        <v>0</v>
      </c>
      <c r="P31" s="483"/>
      <c r="Q31" s="459"/>
      <c r="R31" s="476"/>
      <c r="S31" s="476"/>
      <c r="T31" s="476"/>
      <c r="U31" s="476"/>
      <c r="V31" s="476"/>
      <c r="W31" s="476"/>
      <c r="X31" s="476"/>
      <c r="Y31" s="476"/>
      <c r="Z31" s="476"/>
    </row>
    <row r="32" spans="1:26" ht="21.95" customHeight="1">
      <c r="A32" s="1112">
        <v>3</v>
      </c>
      <c r="B32" s="889" t="s">
        <v>194</v>
      </c>
      <c r="C32" s="837" t="s">
        <v>195</v>
      </c>
      <c r="D32" s="870">
        <v>21</v>
      </c>
      <c r="E32" s="870">
        <v>21.47</v>
      </c>
      <c r="F32" s="870">
        <v>10</v>
      </c>
      <c r="G32" s="870" t="s">
        <v>875</v>
      </c>
      <c r="H32" s="870">
        <f t="shared" si="6"/>
        <v>21.47</v>
      </c>
      <c r="I32" s="870">
        <v>21.5</v>
      </c>
      <c r="J32" s="870">
        <v>10.5</v>
      </c>
      <c r="K32" s="1109">
        <f t="shared" si="2"/>
        <v>105</v>
      </c>
      <c r="L32" s="1109">
        <f t="shared" si="3"/>
        <v>48.837209302325583</v>
      </c>
      <c r="M32" s="870"/>
      <c r="N32" s="1623">
        <v>21.006</v>
      </c>
      <c r="O32" s="478">
        <f>I32-N32</f>
        <v>0.49399999999999977</v>
      </c>
      <c r="P32" s="483"/>
      <c r="R32" s="404"/>
      <c r="S32" s="404"/>
      <c r="T32" s="404"/>
      <c r="U32" s="404"/>
      <c r="V32" s="404"/>
      <c r="W32" s="404"/>
      <c r="X32" s="404"/>
      <c r="Y32" s="404"/>
      <c r="Z32" s="404"/>
    </row>
    <row r="33" spans="1:26" s="477" customFormat="1" ht="21.95" customHeight="1">
      <c r="A33" s="1112">
        <v>4</v>
      </c>
      <c r="B33" s="889" t="s">
        <v>196</v>
      </c>
      <c r="C33" s="837" t="s">
        <v>941</v>
      </c>
      <c r="D33" s="863">
        <v>146</v>
      </c>
      <c r="E33" s="863">
        <v>150</v>
      </c>
      <c r="F33" s="863">
        <v>79</v>
      </c>
      <c r="G33" s="863">
        <v>120</v>
      </c>
      <c r="H33" s="863">
        <f t="shared" si="6"/>
        <v>150</v>
      </c>
      <c r="I33" s="863">
        <v>233</v>
      </c>
      <c r="J33" s="863">
        <v>90</v>
      </c>
      <c r="K33" s="1109">
        <f t="shared" si="2"/>
        <v>113.92405063291139</v>
      </c>
      <c r="L33" s="1109">
        <f t="shared" si="3"/>
        <v>38.626609442060087</v>
      </c>
      <c r="M33" s="863"/>
      <c r="N33" s="466">
        <v>233</v>
      </c>
      <c r="O33" s="478">
        <f>I33-N33</f>
        <v>0</v>
      </c>
      <c r="P33" s="474"/>
      <c r="Q33" s="459"/>
      <c r="R33" s="476"/>
      <c r="S33" s="476"/>
      <c r="T33" s="476"/>
      <c r="U33" s="476"/>
      <c r="V33" s="476"/>
      <c r="W33" s="476"/>
      <c r="X33" s="476"/>
      <c r="Y33" s="476"/>
      <c r="Z33" s="476"/>
    </row>
    <row r="34" spans="1:26" s="488" customFormat="1" ht="21.95" customHeight="1">
      <c r="A34" s="830" t="s">
        <v>118</v>
      </c>
      <c r="B34" s="1104" t="s">
        <v>748</v>
      </c>
      <c r="C34" s="834"/>
      <c r="D34" s="1111"/>
      <c r="E34" s="1111"/>
      <c r="F34" s="1111"/>
      <c r="G34" s="1111"/>
      <c r="H34" s="1111"/>
      <c r="I34" s="1111"/>
      <c r="J34" s="1111"/>
      <c r="K34" s="1109"/>
      <c r="L34" s="1109"/>
      <c r="M34" s="1111"/>
      <c r="N34" s="490"/>
      <c r="O34" s="478"/>
      <c r="P34" s="485"/>
      <c r="Q34" s="486"/>
      <c r="R34" s="487"/>
      <c r="S34" s="487"/>
      <c r="T34" s="487"/>
      <c r="U34" s="487"/>
      <c r="V34" s="487"/>
      <c r="W34" s="487"/>
      <c r="X34" s="487"/>
      <c r="Y34" s="487"/>
      <c r="Z34" s="487"/>
    </row>
    <row r="35" spans="1:26" s="488" customFormat="1" ht="38.1" customHeight="1">
      <c r="A35" s="1112">
        <v>1</v>
      </c>
      <c r="B35" s="1113" t="s">
        <v>749</v>
      </c>
      <c r="C35" s="837" t="s">
        <v>26</v>
      </c>
      <c r="D35" s="863">
        <v>90.9</v>
      </c>
      <c r="E35" s="870">
        <f>'B7 LD&amp;VL-XDGN'!AB31</f>
        <v>93.5</v>
      </c>
      <c r="F35" s="870">
        <v>91</v>
      </c>
      <c r="G35" s="870">
        <f>'B7 LD&amp;VL-XDGN'!AE31</f>
        <v>93.5</v>
      </c>
      <c r="H35" s="870">
        <f>'B7 LD&amp;VL-XDGN'!AE31</f>
        <v>93.5</v>
      </c>
      <c r="I35" s="870">
        <f>'B7 LD&amp;VL-XDGN'!AT31</f>
        <v>96</v>
      </c>
      <c r="J35" s="870">
        <v>96</v>
      </c>
      <c r="K35" s="1109">
        <f t="shared" si="2"/>
        <v>105.49450549450549</v>
      </c>
      <c r="L35" s="1109">
        <f t="shared" si="3"/>
        <v>100</v>
      </c>
      <c r="M35" s="870"/>
      <c r="N35" s="490">
        <v>84</v>
      </c>
      <c r="O35" s="478">
        <f>I35-N35</f>
        <v>12</v>
      </c>
      <c r="P35" s="485"/>
      <c r="Q35" s="489"/>
      <c r="R35" s="487"/>
      <c r="S35" s="487"/>
      <c r="T35" s="487"/>
      <c r="U35" s="487"/>
      <c r="V35" s="487"/>
      <c r="W35" s="487"/>
      <c r="X35" s="487"/>
      <c r="Y35" s="487"/>
      <c r="Z35" s="487"/>
    </row>
    <row r="36" spans="1:26" s="456" customFormat="1" ht="38.1" customHeight="1">
      <c r="A36" s="1112">
        <v>2</v>
      </c>
      <c r="B36" s="974" t="s">
        <v>750</v>
      </c>
      <c r="C36" s="1112" t="s">
        <v>26</v>
      </c>
      <c r="D36" s="870">
        <v>89.5</v>
      </c>
      <c r="E36" s="870">
        <v>88.5</v>
      </c>
      <c r="F36" s="870">
        <v>88.2</v>
      </c>
      <c r="G36" s="870" t="s">
        <v>876</v>
      </c>
      <c r="H36" s="870">
        <v>88.5</v>
      </c>
      <c r="I36" s="870">
        <v>90</v>
      </c>
      <c r="J36" s="870">
        <v>90</v>
      </c>
      <c r="K36" s="1109">
        <f t="shared" si="2"/>
        <v>102.04081632653062</v>
      </c>
      <c r="L36" s="1109">
        <f t="shared" si="3"/>
        <v>100</v>
      </c>
      <c r="M36" s="870"/>
      <c r="N36" s="1624">
        <v>81.3</v>
      </c>
      <c r="O36" s="478">
        <f>I36-N36</f>
        <v>8.7000000000000028</v>
      </c>
      <c r="P36" s="490"/>
      <c r="Q36" s="489"/>
      <c r="R36" s="491"/>
      <c r="S36" s="491"/>
      <c r="T36" s="491"/>
      <c r="U36" s="491"/>
      <c r="V36" s="491"/>
      <c r="W36" s="491"/>
      <c r="X36" s="491"/>
      <c r="Y36" s="491"/>
      <c r="Z36" s="491"/>
    </row>
    <row r="37" spans="1:26" ht="19.5" customHeight="1">
      <c r="A37" s="405"/>
      <c r="B37" s="362"/>
      <c r="C37" s="363"/>
      <c r="P37" s="353"/>
      <c r="R37" s="404"/>
      <c r="S37" s="404"/>
      <c r="T37" s="404"/>
      <c r="U37" s="404"/>
      <c r="V37" s="404"/>
      <c r="W37" s="404"/>
      <c r="X37" s="404"/>
      <c r="Y37" s="404"/>
      <c r="Z37" s="404"/>
    </row>
    <row r="38" spans="1:26" ht="19.5" customHeight="1">
      <c r="A38" s="405"/>
      <c r="B38" s="362"/>
      <c r="C38" s="363"/>
      <c r="P38" s="353"/>
      <c r="R38" s="404"/>
      <c r="S38" s="404"/>
      <c r="T38" s="404"/>
      <c r="U38" s="404"/>
      <c r="V38" s="404"/>
      <c r="W38" s="404"/>
      <c r="X38" s="404"/>
      <c r="Y38" s="404"/>
      <c r="Z38" s="404"/>
    </row>
    <row r="39" spans="1:26" ht="15.75" customHeight="1">
      <c r="A39" s="405"/>
      <c r="B39" s="404"/>
      <c r="C39" s="492"/>
      <c r="P39" s="353"/>
      <c r="R39" s="404"/>
      <c r="S39" s="404"/>
      <c r="T39" s="404"/>
      <c r="U39" s="404"/>
      <c r="V39" s="404"/>
      <c r="W39" s="404"/>
      <c r="X39" s="404"/>
      <c r="Y39" s="404"/>
      <c r="Z39" s="404"/>
    </row>
    <row r="40" spans="1:26" ht="15.75" customHeight="1">
      <c r="A40" s="405"/>
      <c r="B40" s="404"/>
      <c r="C40" s="492"/>
      <c r="P40" s="353"/>
      <c r="R40" s="404"/>
      <c r="S40" s="404"/>
      <c r="T40" s="404"/>
      <c r="U40" s="404"/>
      <c r="V40" s="404"/>
      <c r="W40" s="404"/>
      <c r="X40" s="404"/>
      <c r="Y40" s="404"/>
      <c r="Z40" s="404"/>
    </row>
    <row r="41" spans="1:26" ht="15.75" customHeight="1">
      <c r="A41" s="405"/>
      <c r="B41" s="404"/>
      <c r="C41" s="492"/>
      <c r="P41" s="353"/>
      <c r="R41" s="404"/>
      <c r="S41" s="404"/>
      <c r="T41" s="404"/>
      <c r="U41" s="404"/>
      <c r="V41" s="404"/>
      <c r="W41" s="404"/>
      <c r="X41" s="404"/>
      <c r="Y41" s="404"/>
      <c r="Z41" s="404"/>
    </row>
    <row r="42" spans="1:26" ht="15.75" customHeight="1">
      <c r="A42" s="405"/>
      <c r="B42" s="404"/>
      <c r="C42" s="492"/>
      <c r="P42" s="353"/>
      <c r="R42" s="404"/>
      <c r="S42" s="404"/>
      <c r="T42" s="404"/>
      <c r="U42" s="404"/>
      <c r="V42" s="404"/>
      <c r="W42" s="404"/>
      <c r="X42" s="404"/>
      <c r="Y42" s="404"/>
      <c r="Z42" s="404"/>
    </row>
    <row r="43" spans="1:26" ht="15.75" customHeight="1">
      <c r="A43" s="405"/>
      <c r="B43" s="404"/>
      <c r="C43" s="494"/>
      <c r="P43" s="353"/>
      <c r="R43" s="404"/>
      <c r="S43" s="404"/>
      <c r="T43" s="404"/>
      <c r="U43" s="404"/>
      <c r="V43" s="404"/>
      <c r="W43" s="404"/>
      <c r="X43" s="404"/>
      <c r="Y43" s="404"/>
      <c r="Z43" s="404"/>
    </row>
    <row r="44" spans="1:26" ht="15.75" customHeight="1">
      <c r="A44" s="405"/>
      <c r="B44" s="404"/>
      <c r="C44" s="494"/>
      <c r="P44" s="353"/>
      <c r="R44" s="404"/>
      <c r="S44" s="404"/>
      <c r="T44" s="404"/>
      <c r="U44" s="404"/>
      <c r="V44" s="404"/>
      <c r="W44" s="404"/>
      <c r="X44" s="404"/>
      <c r="Y44" s="404"/>
      <c r="Z44" s="404"/>
    </row>
    <row r="45" spans="1:26" ht="15.75" customHeight="1">
      <c r="A45" s="405"/>
      <c r="B45" s="404"/>
      <c r="C45" s="494"/>
      <c r="P45" s="353"/>
      <c r="R45" s="404"/>
      <c r="S45" s="404"/>
      <c r="T45" s="404"/>
      <c r="U45" s="404"/>
      <c r="V45" s="404"/>
      <c r="W45" s="404"/>
      <c r="X45" s="404"/>
      <c r="Y45" s="404"/>
      <c r="Z45" s="404"/>
    </row>
    <row r="46" spans="1:26" ht="15.75" customHeight="1">
      <c r="A46" s="405"/>
      <c r="B46" s="404"/>
      <c r="C46" s="494"/>
      <c r="P46" s="353"/>
      <c r="R46" s="404"/>
      <c r="S46" s="404"/>
      <c r="T46" s="404"/>
      <c r="U46" s="404"/>
      <c r="V46" s="404"/>
      <c r="W46" s="404"/>
      <c r="X46" s="404"/>
      <c r="Y46" s="404"/>
      <c r="Z46" s="404"/>
    </row>
    <row r="47" spans="1:26" ht="15.75" customHeight="1">
      <c r="A47" s="405"/>
      <c r="B47" s="404"/>
      <c r="C47" s="494"/>
      <c r="P47" s="353"/>
      <c r="R47" s="404"/>
      <c r="S47" s="404"/>
      <c r="T47" s="404"/>
      <c r="U47" s="404"/>
      <c r="V47" s="404"/>
      <c r="W47" s="404"/>
      <c r="X47" s="404"/>
      <c r="Y47" s="404"/>
      <c r="Z47" s="404"/>
    </row>
    <row r="48" spans="1:26" ht="15.75" customHeight="1">
      <c r="A48" s="405"/>
      <c r="B48" s="404"/>
      <c r="C48" s="494"/>
      <c r="P48" s="353"/>
      <c r="R48" s="404"/>
      <c r="S48" s="404"/>
      <c r="T48" s="404"/>
      <c r="U48" s="404"/>
      <c r="V48" s="404"/>
      <c r="W48" s="404"/>
      <c r="X48" s="404"/>
      <c r="Y48" s="404"/>
      <c r="Z48" s="404"/>
    </row>
    <row r="49" spans="1:26" ht="15.75" customHeight="1">
      <c r="A49" s="405"/>
      <c r="B49" s="404"/>
      <c r="C49" s="494"/>
      <c r="P49" s="353"/>
      <c r="R49" s="404"/>
      <c r="S49" s="404"/>
      <c r="T49" s="404"/>
      <c r="U49" s="404"/>
      <c r="V49" s="404"/>
      <c r="W49" s="404"/>
      <c r="X49" s="404"/>
      <c r="Y49" s="404"/>
      <c r="Z49" s="404"/>
    </row>
    <row r="50" spans="1:26" ht="15.75" customHeight="1">
      <c r="A50" s="405"/>
      <c r="B50" s="404"/>
      <c r="C50" s="494"/>
      <c r="P50" s="353"/>
      <c r="R50" s="404"/>
      <c r="S50" s="404"/>
      <c r="T50" s="404"/>
      <c r="U50" s="404"/>
      <c r="V50" s="404"/>
      <c r="W50" s="404"/>
      <c r="X50" s="404"/>
      <c r="Y50" s="404"/>
      <c r="Z50" s="404"/>
    </row>
    <row r="51" spans="1:26" ht="15.75" customHeight="1">
      <c r="A51" s="405"/>
      <c r="B51" s="404"/>
      <c r="C51" s="494"/>
      <c r="P51" s="353"/>
      <c r="R51" s="404"/>
      <c r="S51" s="404"/>
      <c r="T51" s="404"/>
      <c r="U51" s="404"/>
      <c r="V51" s="404"/>
      <c r="W51" s="404"/>
      <c r="X51" s="404"/>
      <c r="Y51" s="404"/>
      <c r="Z51" s="404"/>
    </row>
    <row r="52" spans="1:26" ht="15.75" customHeight="1">
      <c r="A52" s="405"/>
      <c r="B52" s="404"/>
      <c r="C52" s="494"/>
      <c r="P52" s="353"/>
      <c r="R52" s="404"/>
      <c r="S52" s="404"/>
      <c r="T52" s="404"/>
      <c r="U52" s="404"/>
      <c r="V52" s="404"/>
      <c r="W52" s="404"/>
      <c r="X52" s="404"/>
      <c r="Y52" s="404"/>
      <c r="Z52" s="404"/>
    </row>
    <row r="53" spans="1:26" ht="15.75" customHeight="1">
      <c r="A53" s="405"/>
      <c r="B53" s="404"/>
      <c r="C53" s="494"/>
      <c r="P53" s="353"/>
      <c r="R53" s="404"/>
      <c r="S53" s="404"/>
      <c r="T53" s="404"/>
      <c r="U53" s="404"/>
      <c r="V53" s="404"/>
      <c r="W53" s="404"/>
      <c r="X53" s="404"/>
      <c r="Y53" s="404"/>
      <c r="Z53" s="404"/>
    </row>
    <row r="54" spans="1:26" ht="15.75" customHeight="1">
      <c r="A54" s="405"/>
      <c r="B54" s="404"/>
      <c r="C54" s="494"/>
      <c r="P54" s="353"/>
      <c r="R54" s="404"/>
      <c r="S54" s="404"/>
      <c r="T54" s="404"/>
      <c r="U54" s="404"/>
      <c r="V54" s="404"/>
      <c r="W54" s="404"/>
      <c r="X54" s="404"/>
      <c r="Y54" s="404"/>
      <c r="Z54" s="404"/>
    </row>
    <row r="55" spans="1:26" ht="15.75" customHeight="1">
      <c r="A55" s="405"/>
      <c r="B55" s="404"/>
      <c r="C55" s="494"/>
      <c r="P55" s="353"/>
      <c r="R55" s="404"/>
      <c r="S55" s="404"/>
      <c r="T55" s="404"/>
      <c r="U55" s="404"/>
      <c r="V55" s="404"/>
      <c r="W55" s="404"/>
      <c r="X55" s="404"/>
      <c r="Y55" s="404"/>
      <c r="Z55" s="404"/>
    </row>
    <row r="56" spans="1:26" ht="15.75" customHeight="1">
      <c r="A56" s="405"/>
      <c r="B56" s="404"/>
      <c r="C56" s="494"/>
      <c r="P56" s="353"/>
      <c r="R56" s="404"/>
      <c r="S56" s="404"/>
      <c r="T56" s="404"/>
      <c r="U56" s="404"/>
      <c r="V56" s="404"/>
      <c r="W56" s="404"/>
      <c r="X56" s="404"/>
      <c r="Y56" s="404"/>
      <c r="Z56" s="404"/>
    </row>
    <row r="57" spans="1:26" ht="15.75" customHeight="1">
      <c r="A57" s="405"/>
      <c r="B57" s="404"/>
      <c r="C57" s="494"/>
      <c r="P57" s="353"/>
      <c r="R57" s="404"/>
      <c r="S57" s="404"/>
      <c r="T57" s="404"/>
      <c r="U57" s="404"/>
      <c r="V57" s="404"/>
      <c r="W57" s="404"/>
      <c r="X57" s="404"/>
      <c r="Y57" s="404"/>
      <c r="Z57" s="404"/>
    </row>
    <row r="58" spans="1:26" ht="15.75" customHeight="1">
      <c r="A58" s="405"/>
      <c r="B58" s="404"/>
      <c r="C58" s="494"/>
      <c r="P58" s="353"/>
      <c r="R58" s="404"/>
      <c r="S58" s="404"/>
      <c r="T58" s="404"/>
      <c r="U58" s="404"/>
      <c r="V58" s="404"/>
      <c r="W58" s="404"/>
      <c r="X58" s="404"/>
      <c r="Y58" s="404"/>
      <c r="Z58" s="404"/>
    </row>
    <row r="59" spans="1:26" ht="15.75" customHeight="1">
      <c r="A59" s="405"/>
      <c r="B59" s="404"/>
      <c r="C59" s="494"/>
      <c r="P59" s="353"/>
      <c r="R59" s="404"/>
      <c r="S59" s="404"/>
      <c r="T59" s="404"/>
      <c r="U59" s="404"/>
      <c r="V59" s="404"/>
      <c r="W59" s="404"/>
      <c r="X59" s="404"/>
      <c r="Y59" s="404"/>
      <c r="Z59" s="404"/>
    </row>
    <row r="60" spans="1:26" ht="15.75" customHeight="1">
      <c r="A60" s="405"/>
      <c r="B60" s="404"/>
      <c r="C60" s="494"/>
      <c r="P60" s="353"/>
      <c r="R60" s="404"/>
      <c r="S60" s="404"/>
      <c r="T60" s="404"/>
      <c r="U60" s="404"/>
      <c r="V60" s="404"/>
      <c r="W60" s="404"/>
      <c r="X60" s="404"/>
      <c r="Y60" s="404"/>
      <c r="Z60" s="404"/>
    </row>
    <row r="61" spans="1:26" ht="15.75" customHeight="1">
      <c r="A61" s="405"/>
      <c r="B61" s="404"/>
      <c r="C61" s="494"/>
      <c r="P61" s="353"/>
      <c r="R61" s="404"/>
      <c r="S61" s="404"/>
      <c r="T61" s="404"/>
      <c r="U61" s="404"/>
      <c r="V61" s="404"/>
      <c r="W61" s="404"/>
      <c r="X61" s="404"/>
      <c r="Y61" s="404"/>
      <c r="Z61" s="404"/>
    </row>
    <row r="62" spans="1:26" ht="15.75" customHeight="1">
      <c r="A62" s="405"/>
      <c r="B62" s="404"/>
      <c r="C62" s="494"/>
      <c r="P62" s="353"/>
      <c r="R62" s="404"/>
      <c r="S62" s="404"/>
      <c r="T62" s="404"/>
      <c r="U62" s="404"/>
      <c r="V62" s="404"/>
      <c r="W62" s="404"/>
      <c r="X62" s="404"/>
      <c r="Y62" s="404"/>
      <c r="Z62" s="404"/>
    </row>
    <row r="63" spans="1:26" ht="15.75" customHeight="1">
      <c r="A63" s="405"/>
      <c r="B63" s="404"/>
      <c r="C63" s="494"/>
      <c r="P63" s="353"/>
      <c r="R63" s="404"/>
      <c r="S63" s="404"/>
      <c r="T63" s="404"/>
      <c r="U63" s="404"/>
      <c r="V63" s="404"/>
      <c r="W63" s="404"/>
      <c r="X63" s="404"/>
      <c r="Y63" s="404"/>
      <c r="Z63" s="404"/>
    </row>
    <row r="64" spans="1:26" ht="15.75" customHeight="1">
      <c r="A64" s="405"/>
      <c r="B64" s="404"/>
      <c r="C64" s="494"/>
      <c r="P64" s="353"/>
      <c r="R64" s="404"/>
      <c r="S64" s="404"/>
      <c r="T64" s="404"/>
      <c r="U64" s="404"/>
      <c r="V64" s="404"/>
      <c r="W64" s="404"/>
      <c r="X64" s="404"/>
      <c r="Y64" s="404"/>
      <c r="Z64" s="404"/>
    </row>
    <row r="65" spans="1:26" ht="15.75" customHeight="1">
      <c r="A65" s="405"/>
      <c r="B65" s="404"/>
      <c r="C65" s="494"/>
      <c r="P65" s="353"/>
      <c r="R65" s="404"/>
      <c r="S65" s="404"/>
      <c r="T65" s="404"/>
      <c r="U65" s="404"/>
      <c r="V65" s="404"/>
      <c r="W65" s="404"/>
      <c r="X65" s="404"/>
      <c r="Y65" s="404"/>
      <c r="Z65" s="404"/>
    </row>
    <row r="66" spans="1:26" ht="15.75" customHeight="1">
      <c r="A66" s="405"/>
      <c r="B66" s="404"/>
      <c r="C66" s="494"/>
      <c r="P66" s="353"/>
      <c r="R66" s="404"/>
      <c r="S66" s="404"/>
      <c r="T66" s="404"/>
      <c r="U66" s="404"/>
      <c r="V66" s="404"/>
      <c r="W66" s="404"/>
      <c r="X66" s="404"/>
      <c r="Y66" s="404"/>
      <c r="Z66" s="404"/>
    </row>
    <row r="67" spans="1:26" ht="15.75" customHeight="1">
      <c r="A67" s="405"/>
      <c r="B67" s="404"/>
      <c r="C67" s="494"/>
      <c r="P67" s="353"/>
      <c r="R67" s="404"/>
      <c r="S67" s="404"/>
      <c r="T67" s="404"/>
      <c r="U67" s="404"/>
      <c r="V67" s="404"/>
      <c r="W67" s="404"/>
      <c r="X67" s="404"/>
      <c r="Y67" s="404"/>
      <c r="Z67" s="404"/>
    </row>
    <row r="68" spans="1:26" ht="15.75" customHeight="1">
      <c r="A68" s="405"/>
      <c r="B68" s="404"/>
      <c r="C68" s="494"/>
      <c r="P68" s="353"/>
      <c r="R68" s="404"/>
      <c r="S68" s="404"/>
      <c r="T68" s="404"/>
      <c r="U68" s="404"/>
      <c r="V68" s="404"/>
      <c r="W68" s="404"/>
      <c r="X68" s="404"/>
      <c r="Y68" s="404"/>
      <c r="Z68" s="404"/>
    </row>
    <row r="69" spans="1:26" ht="15.75" customHeight="1">
      <c r="A69" s="405"/>
      <c r="B69" s="404"/>
      <c r="C69" s="494"/>
      <c r="P69" s="353"/>
      <c r="R69" s="404"/>
      <c r="S69" s="404"/>
      <c r="T69" s="404"/>
      <c r="U69" s="404"/>
      <c r="V69" s="404"/>
      <c r="W69" s="404"/>
      <c r="X69" s="404"/>
      <c r="Y69" s="404"/>
      <c r="Z69" s="404"/>
    </row>
    <row r="70" spans="1:26" ht="15.75" customHeight="1">
      <c r="A70" s="405"/>
      <c r="B70" s="404"/>
      <c r="C70" s="494"/>
      <c r="P70" s="353"/>
      <c r="R70" s="404"/>
      <c r="S70" s="404"/>
      <c r="T70" s="404"/>
      <c r="U70" s="404"/>
      <c r="V70" s="404"/>
      <c r="W70" s="404"/>
      <c r="X70" s="404"/>
      <c r="Y70" s="404"/>
      <c r="Z70" s="404"/>
    </row>
    <row r="71" spans="1:26" ht="15.75" customHeight="1">
      <c r="A71" s="405"/>
      <c r="B71" s="404"/>
      <c r="C71" s="494"/>
      <c r="P71" s="353"/>
      <c r="R71" s="404"/>
      <c r="S71" s="404"/>
      <c r="T71" s="404"/>
      <c r="U71" s="404"/>
      <c r="V71" s="404"/>
      <c r="W71" s="404"/>
      <c r="X71" s="404"/>
      <c r="Y71" s="404"/>
      <c r="Z71" s="404"/>
    </row>
    <row r="72" spans="1:26" ht="15.75" customHeight="1">
      <c r="A72" s="405"/>
      <c r="B72" s="404"/>
      <c r="C72" s="494"/>
      <c r="P72" s="353"/>
      <c r="R72" s="404"/>
      <c r="S72" s="404"/>
      <c r="T72" s="404"/>
      <c r="U72" s="404"/>
      <c r="V72" s="404"/>
      <c r="W72" s="404"/>
      <c r="X72" s="404"/>
      <c r="Y72" s="404"/>
      <c r="Z72" s="404"/>
    </row>
    <row r="73" spans="1:26" ht="15.75" customHeight="1">
      <c r="A73" s="405"/>
      <c r="B73" s="404"/>
      <c r="C73" s="494"/>
      <c r="P73" s="353"/>
      <c r="R73" s="404"/>
      <c r="S73" s="404"/>
      <c r="T73" s="404"/>
      <c r="U73" s="404"/>
      <c r="V73" s="404"/>
      <c r="W73" s="404"/>
      <c r="X73" s="404"/>
      <c r="Y73" s="404"/>
      <c r="Z73" s="404"/>
    </row>
    <row r="74" spans="1:26" ht="15.75" customHeight="1">
      <c r="A74" s="405"/>
      <c r="B74" s="404"/>
      <c r="C74" s="494"/>
      <c r="P74" s="353"/>
      <c r="R74" s="404"/>
      <c r="S74" s="404"/>
      <c r="T74" s="404"/>
      <c r="U74" s="404"/>
      <c r="V74" s="404"/>
      <c r="W74" s="404"/>
      <c r="X74" s="404"/>
      <c r="Y74" s="404"/>
      <c r="Z74" s="404"/>
    </row>
    <row r="75" spans="1:26" ht="15.75" customHeight="1">
      <c r="A75" s="405"/>
      <c r="B75" s="404"/>
      <c r="C75" s="494"/>
      <c r="P75" s="353"/>
      <c r="R75" s="404"/>
      <c r="S75" s="404"/>
      <c r="T75" s="404"/>
      <c r="U75" s="404"/>
      <c r="V75" s="404"/>
      <c r="W75" s="404"/>
      <c r="X75" s="404"/>
      <c r="Y75" s="404"/>
      <c r="Z75" s="404"/>
    </row>
    <row r="76" spans="1:26" ht="15.75" customHeight="1">
      <c r="A76" s="405"/>
      <c r="B76" s="404"/>
      <c r="C76" s="494"/>
      <c r="P76" s="353"/>
      <c r="R76" s="404"/>
      <c r="S76" s="404"/>
      <c r="T76" s="404"/>
      <c r="U76" s="404"/>
      <c r="V76" s="404"/>
      <c r="W76" s="404"/>
      <c r="X76" s="404"/>
      <c r="Y76" s="404"/>
      <c r="Z76" s="404"/>
    </row>
    <row r="77" spans="1:26" ht="15.75" customHeight="1">
      <c r="A77" s="405"/>
      <c r="B77" s="404"/>
      <c r="C77" s="494"/>
      <c r="P77" s="353"/>
      <c r="R77" s="404"/>
      <c r="S77" s="404"/>
      <c r="T77" s="404"/>
      <c r="U77" s="404"/>
      <c r="V77" s="404"/>
      <c r="W77" s="404"/>
      <c r="X77" s="404"/>
      <c r="Y77" s="404"/>
      <c r="Z77" s="404"/>
    </row>
    <row r="78" spans="1:26" ht="15.75" customHeight="1">
      <c r="A78" s="405"/>
      <c r="B78" s="404"/>
      <c r="C78" s="494"/>
      <c r="P78" s="353"/>
      <c r="R78" s="404"/>
      <c r="S78" s="404"/>
      <c r="T78" s="404"/>
      <c r="U78" s="404"/>
      <c r="V78" s="404"/>
      <c r="W78" s="404"/>
      <c r="X78" s="404"/>
      <c r="Y78" s="404"/>
      <c r="Z78" s="404"/>
    </row>
    <row r="79" spans="1:26" ht="15.75" customHeight="1">
      <c r="A79" s="405"/>
      <c r="B79" s="404"/>
      <c r="C79" s="494"/>
      <c r="P79" s="353"/>
      <c r="R79" s="404"/>
      <c r="S79" s="404"/>
      <c r="T79" s="404"/>
      <c r="U79" s="404"/>
      <c r="V79" s="404"/>
      <c r="W79" s="404"/>
      <c r="X79" s="404"/>
      <c r="Y79" s="404"/>
      <c r="Z79" s="404"/>
    </row>
    <row r="80" spans="1:26" ht="15.75" customHeight="1">
      <c r="A80" s="405"/>
      <c r="B80" s="404"/>
      <c r="C80" s="494"/>
      <c r="P80" s="353"/>
      <c r="R80" s="404"/>
      <c r="S80" s="404"/>
      <c r="T80" s="404"/>
      <c r="U80" s="404"/>
      <c r="V80" s="404"/>
      <c r="W80" s="404"/>
      <c r="X80" s="404"/>
      <c r="Y80" s="404"/>
      <c r="Z80" s="404"/>
    </row>
    <row r="81" spans="1:26" ht="15.75" customHeight="1">
      <c r="A81" s="405"/>
      <c r="B81" s="404"/>
      <c r="C81" s="494"/>
      <c r="P81" s="353"/>
      <c r="R81" s="404"/>
      <c r="S81" s="404"/>
      <c r="T81" s="404"/>
      <c r="U81" s="404"/>
      <c r="V81" s="404"/>
      <c r="W81" s="404"/>
      <c r="X81" s="404"/>
      <c r="Y81" s="404"/>
      <c r="Z81" s="404"/>
    </row>
    <row r="82" spans="1:26" ht="15.75" customHeight="1">
      <c r="A82" s="405"/>
      <c r="B82" s="404"/>
      <c r="C82" s="494"/>
      <c r="P82" s="353"/>
      <c r="R82" s="404"/>
      <c r="S82" s="404"/>
      <c r="T82" s="404"/>
      <c r="U82" s="404"/>
      <c r="V82" s="404"/>
      <c r="W82" s="404"/>
      <c r="X82" s="404"/>
      <c r="Y82" s="404"/>
      <c r="Z82" s="404"/>
    </row>
    <row r="83" spans="1:26" ht="15.75" customHeight="1">
      <c r="A83" s="405"/>
      <c r="B83" s="404"/>
      <c r="C83" s="494"/>
      <c r="P83" s="353"/>
      <c r="R83" s="404"/>
      <c r="S83" s="404"/>
      <c r="T83" s="404"/>
      <c r="U83" s="404"/>
      <c r="V83" s="404"/>
      <c r="W83" s="404"/>
      <c r="X83" s="404"/>
      <c r="Y83" s="404"/>
      <c r="Z83" s="404"/>
    </row>
    <row r="84" spans="1:26" ht="15.75" customHeight="1">
      <c r="A84" s="405"/>
      <c r="B84" s="404"/>
      <c r="C84" s="494"/>
      <c r="P84" s="353"/>
      <c r="R84" s="404"/>
      <c r="S84" s="404"/>
      <c r="T84" s="404"/>
      <c r="U84" s="404"/>
      <c r="V84" s="404"/>
      <c r="W84" s="404"/>
      <c r="X84" s="404"/>
      <c r="Y84" s="404"/>
      <c r="Z84" s="404"/>
    </row>
    <row r="85" spans="1:26" ht="15.75" customHeight="1">
      <c r="A85" s="405"/>
      <c r="B85" s="404"/>
      <c r="C85" s="494"/>
      <c r="P85" s="353"/>
      <c r="R85" s="404"/>
      <c r="S85" s="404"/>
      <c r="T85" s="404"/>
      <c r="U85" s="404"/>
      <c r="V85" s="404"/>
      <c r="W85" s="404"/>
      <c r="X85" s="404"/>
      <c r="Y85" s="404"/>
      <c r="Z85" s="404"/>
    </row>
    <row r="86" spans="1:26" ht="15.75" customHeight="1">
      <c r="A86" s="405"/>
      <c r="B86" s="404"/>
      <c r="C86" s="494"/>
      <c r="P86" s="353"/>
      <c r="R86" s="404"/>
      <c r="S86" s="404"/>
      <c r="T86" s="404"/>
      <c r="U86" s="404"/>
      <c r="V86" s="404"/>
      <c r="W86" s="404"/>
      <c r="X86" s="404"/>
      <c r="Y86" s="404"/>
      <c r="Z86" s="404"/>
    </row>
    <row r="87" spans="1:26" ht="15.75" customHeight="1">
      <c r="A87" s="405"/>
      <c r="B87" s="404"/>
      <c r="C87" s="494"/>
      <c r="P87" s="353"/>
      <c r="R87" s="404"/>
      <c r="S87" s="404"/>
      <c r="T87" s="404"/>
      <c r="U87" s="404"/>
      <c r="V87" s="404"/>
      <c r="W87" s="404"/>
      <c r="X87" s="404"/>
      <c r="Y87" s="404"/>
      <c r="Z87" s="404"/>
    </row>
    <row r="88" spans="1:26" ht="15.75" customHeight="1">
      <c r="A88" s="405"/>
      <c r="B88" s="404"/>
      <c r="C88" s="494"/>
      <c r="P88" s="353"/>
      <c r="R88" s="404"/>
      <c r="S88" s="404"/>
      <c r="T88" s="404"/>
      <c r="U88" s="404"/>
      <c r="V88" s="404"/>
      <c r="W88" s="404"/>
      <c r="X88" s="404"/>
      <c r="Y88" s="404"/>
      <c r="Z88" s="404"/>
    </row>
    <row r="89" spans="1:26" ht="15.75" customHeight="1">
      <c r="A89" s="405"/>
      <c r="B89" s="404"/>
      <c r="C89" s="494"/>
      <c r="P89" s="353"/>
      <c r="R89" s="404"/>
      <c r="S89" s="404"/>
      <c r="T89" s="404"/>
      <c r="U89" s="404"/>
      <c r="V89" s="404"/>
      <c r="W89" s="404"/>
      <c r="X89" s="404"/>
      <c r="Y89" s="404"/>
      <c r="Z89" s="404"/>
    </row>
    <row r="90" spans="1:26" ht="15.75" customHeight="1">
      <c r="A90" s="405"/>
      <c r="B90" s="404"/>
      <c r="C90" s="494"/>
      <c r="P90" s="353"/>
      <c r="R90" s="404"/>
      <c r="S90" s="404"/>
      <c r="T90" s="404"/>
      <c r="U90" s="404"/>
      <c r="V90" s="404"/>
      <c r="W90" s="404"/>
      <c r="X90" s="404"/>
      <c r="Y90" s="404"/>
      <c r="Z90" s="404"/>
    </row>
    <row r="91" spans="1:26" ht="15.75" customHeight="1">
      <c r="A91" s="405"/>
      <c r="B91" s="404"/>
      <c r="C91" s="494"/>
      <c r="P91" s="353"/>
      <c r="R91" s="404"/>
      <c r="S91" s="404"/>
      <c r="T91" s="404"/>
      <c r="U91" s="404"/>
      <c r="V91" s="404"/>
      <c r="W91" s="404"/>
      <c r="X91" s="404"/>
      <c r="Y91" s="404"/>
      <c r="Z91" s="404"/>
    </row>
    <row r="92" spans="1:26" ht="15.75" customHeight="1">
      <c r="A92" s="405"/>
      <c r="B92" s="404"/>
      <c r="C92" s="494"/>
      <c r="P92" s="353"/>
      <c r="R92" s="404"/>
      <c r="S92" s="404"/>
      <c r="T92" s="404"/>
      <c r="U92" s="404"/>
      <c r="V92" s="404"/>
      <c r="W92" s="404"/>
      <c r="X92" s="404"/>
      <c r="Y92" s="404"/>
      <c r="Z92" s="404"/>
    </row>
    <row r="93" spans="1:26" ht="15.75" customHeight="1">
      <c r="A93" s="405"/>
      <c r="B93" s="404"/>
      <c r="C93" s="494"/>
      <c r="P93" s="353"/>
      <c r="R93" s="404"/>
      <c r="S93" s="404"/>
      <c r="T93" s="404"/>
      <c r="U93" s="404"/>
      <c r="V93" s="404"/>
      <c r="W93" s="404"/>
      <c r="X93" s="404"/>
      <c r="Y93" s="404"/>
      <c r="Z93" s="404"/>
    </row>
    <row r="94" spans="1:26" ht="15.75" customHeight="1">
      <c r="A94" s="405"/>
      <c r="B94" s="404"/>
      <c r="C94" s="494"/>
      <c r="P94" s="353"/>
      <c r="R94" s="404"/>
      <c r="S94" s="404"/>
      <c r="T94" s="404"/>
      <c r="U94" s="404"/>
      <c r="V94" s="404"/>
      <c r="W94" s="404"/>
      <c r="X94" s="404"/>
      <c r="Y94" s="404"/>
      <c r="Z94" s="404"/>
    </row>
    <row r="95" spans="1:26" ht="15.75" customHeight="1">
      <c r="A95" s="405"/>
      <c r="B95" s="404"/>
      <c r="C95" s="494"/>
      <c r="P95" s="353"/>
      <c r="R95" s="404"/>
      <c r="S95" s="404"/>
      <c r="T95" s="404"/>
      <c r="U95" s="404"/>
      <c r="V95" s="404"/>
      <c r="W95" s="404"/>
      <c r="X95" s="404"/>
      <c r="Y95" s="404"/>
      <c r="Z95" s="404"/>
    </row>
    <row r="96" spans="1:26" ht="15.75" customHeight="1">
      <c r="A96" s="405"/>
      <c r="B96" s="404"/>
      <c r="C96" s="494"/>
      <c r="P96" s="353"/>
      <c r="R96" s="404"/>
      <c r="S96" s="404"/>
      <c r="T96" s="404"/>
      <c r="U96" s="404"/>
      <c r="V96" s="404"/>
      <c r="W96" s="404"/>
      <c r="X96" s="404"/>
      <c r="Y96" s="404"/>
      <c r="Z96" s="404"/>
    </row>
    <row r="97" spans="1:46" ht="15.75" customHeight="1">
      <c r="A97" s="405"/>
      <c r="B97" s="404"/>
      <c r="C97" s="494"/>
      <c r="P97" s="353"/>
      <c r="R97" s="404"/>
      <c r="S97" s="404"/>
      <c r="T97" s="404"/>
      <c r="U97" s="404"/>
      <c r="V97" s="404"/>
      <c r="W97" s="404"/>
      <c r="X97" s="404"/>
      <c r="Y97" s="404"/>
      <c r="Z97" s="404"/>
    </row>
    <row r="98" spans="1:46" ht="15.75" customHeight="1">
      <c r="A98" s="405"/>
      <c r="B98" s="404"/>
      <c r="C98" s="494"/>
      <c r="P98" s="353"/>
      <c r="R98" s="404"/>
      <c r="S98" s="404"/>
      <c r="T98" s="404"/>
      <c r="U98" s="404"/>
      <c r="V98" s="404"/>
      <c r="W98" s="404"/>
      <c r="X98" s="404"/>
      <c r="Y98" s="404"/>
      <c r="Z98" s="404"/>
    </row>
    <row r="99" spans="1:46" ht="15.75" customHeight="1">
      <c r="A99" s="405"/>
      <c r="B99" s="404"/>
      <c r="C99" s="494"/>
      <c r="P99" s="353"/>
      <c r="R99" s="404"/>
      <c r="S99" s="404"/>
      <c r="T99" s="404"/>
      <c r="U99" s="404"/>
      <c r="V99" s="404"/>
      <c r="W99" s="404"/>
      <c r="X99" s="404"/>
      <c r="Y99" s="404"/>
      <c r="Z99" s="404"/>
    </row>
    <row r="100" spans="1:46" ht="15.75" customHeight="1">
      <c r="A100" s="405"/>
      <c r="B100" s="404"/>
      <c r="C100" s="494"/>
      <c r="P100" s="353"/>
      <c r="R100" s="404"/>
      <c r="S100" s="404"/>
      <c r="T100" s="404"/>
      <c r="U100" s="404"/>
      <c r="V100" s="404"/>
      <c r="W100" s="404"/>
      <c r="X100" s="404"/>
      <c r="Y100" s="404"/>
      <c r="Z100" s="404"/>
    </row>
    <row r="101" spans="1:46" ht="15.75" customHeight="1">
      <c r="A101" s="405"/>
      <c r="B101" s="404"/>
      <c r="C101" s="494"/>
      <c r="P101" s="353"/>
      <c r="R101" s="404"/>
      <c r="S101" s="404"/>
      <c r="T101" s="404"/>
      <c r="U101" s="404"/>
      <c r="V101" s="404"/>
      <c r="W101" s="404"/>
      <c r="X101" s="404"/>
      <c r="Y101" s="404"/>
      <c r="Z101" s="404"/>
    </row>
    <row r="102" spans="1:46" ht="15.75" customHeight="1">
      <c r="A102" s="405"/>
      <c r="B102" s="404"/>
      <c r="C102" s="494"/>
      <c r="P102" s="353"/>
      <c r="R102" s="404"/>
      <c r="S102" s="404"/>
      <c r="T102" s="404"/>
      <c r="U102" s="404"/>
      <c r="V102" s="404"/>
      <c r="W102" s="404"/>
      <c r="X102" s="404"/>
      <c r="Y102" s="404"/>
      <c r="Z102" s="404"/>
    </row>
    <row r="103" spans="1:46" ht="15.75" customHeight="1">
      <c r="A103" s="405"/>
      <c r="B103" s="404"/>
      <c r="C103" s="494"/>
      <c r="P103" s="353"/>
      <c r="R103" s="404"/>
      <c r="S103" s="404"/>
      <c r="T103" s="404"/>
      <c r="U103" s="404"/>
      <c r="V103" s="404"/>
      <c r="W103" s="404"/>
      <c r="X103" s="404"/>
      <c r="Y103" s="404"/>
      <c r="Z103" s="404"/>
    </row>
    <row r="104" spans="1:46" ht="15.75" customHeight="1">
      <c r="A104" s="405"/>
      <c r="B104" s="404"/>
      <c r="C104" s="494"/>
      <c r="P104" s="353"/>
      <c r="R104" s="404"/>
      <c r="S104" s="404"/>
      <c r="T104" s="404"/>
      <c r="U104" s="404"/>
      <c r="V104" s="404"/>
      <c r="W104" s="404"/>
      <c r="X104" s="404"/>
      <c r="Y104" s="404"/>
      <c r="Z104" s="404"/>
    </row>
    <row r="105" spans="1:46" ht="15.75" customHeight="1">
      <c r="A105" s="405"/>
      <c r="B105" s="404"/>
      <c r="C105" s="494"/>
      <c r="P105" s="353"/>
      <c r="R105" s="404"/>
      <c r="S105" s="404"/>
      <c r="T105" s="404"/>
      <c r="U105" s="404"/>
      <c r="V105" s="404"/>
      <c r="W105" s="404"/>
      <c r="X105" s="404"/>
      <c r="Y105" s="404"/>
      <c r="Z105" s="404"/>
    </row>
    <row r="106" spans="1:46" ht="15.75" customHeight="1">
      <c r="A106" s="405"/>
      <c r="B106" s="404"/>
      <c r="C106" s="494"/>
      <c r="P106" s="353"/>
      <c r="R106" s="404"/>
      <c r="S106" s="404"/>
      <c r="T106" s="404"/>
      <c r="U106" s="404"/>
      <c r="V106" s="404"/>
      <c r="W106" s="404"/>
      <c r="X106" s="404"/>
      <c r="Y106" s="404"/>
      <c r="Z106" s="404"/>
    </row>
    <row r="107" spans="1:46" ht="15.75" customHeight="1">
      <c r="A107" s="405"/>
      <c r="B107" s="404"/>
      <c r="C107" s="494"/>
      <c r="P107" s="353"/>
      <c r="R107" s="404"/>
      <c r="S107" s="404"/>
      <c r="T107" s="404"/>
      <c r="U107" s="404"/>
      <c r="V107" s="404"/>
      <c r="W107" s="404"/>
      <c r="X107" s="404"/>
      <c r="Y107" s="404"/>
      <c r="Z107" s="404"/>
    </row>
    <row r="108" spans="1:46" ht="15.75" customHeight="1">
      <c r="A108" s="405"/>
      <c r="B108" s="404"/>
      <c r="C108" s="494"/>
      <c r="P108" s="353"/>
      <c r="R108" s="404"/>
      <c r="S108" s="404"/>
      <c r="T108" s="404"/>
      <c r="U108" s="404"/>
      <c r="V108" s="404"/>
      <c r="W108" s="404"/>
      <c r="X108" s="404"/>
      <c r="Y108" s="404"/>
      <c r="Z108" s="404"/>
    </row>
    <row r="109" spans="1:46" ht="15.75" customHeight="1">
      <c r="A109" s="405"/>
      <c r="B109" s="404"/>
      <c r="C109" s="494"/>
      <c r="P109" s="353"/>
      <c r="R109" s="404"/>
      <c r="S109" s="404"/>
      <c r="T109" s="404"/>
      <c r="U109" s="404"/>
      <c r="V109" s="404"/>
      <c r="W109" s="404"/>
      <c r="X109" s="404"/>
      <c r="Y109" s="404"/>
      <c r="Z109" s="404"/>
    </row>
    <row r="110" spans="1:46" ht="15.75" customHeight="1">
      <c r="A110" s="405"/>
      <c r="B110" s="404"/>
      <c r="C110" s="494"/>
      <c r="P110" s="353"/>
      <c r="R110" s="404"/>
      <c r="S110" s="404"/>
      <c r="T110" s="404"/>
      <c r="U110" s="404"/>
      <c r="V110" s="404"/>
      <c r="W110" s="404"/>
      <c r="X110" s="404"/>
      <c r="Y110" s="404"/>
      <c r="Z110" s="404"/>
      <c r="AS110" s="371"/>
      <c r="AT110" s="371"/>
    </row>
    <row r="111" spans="1:46" ht="15.75" customHeight="1">
      <c r="A111" s="405"/>
      <c r="B111" s="404"/>
      <c r="C111" s="494"/>
      <c r="P111" s="353"/>
      <c r="R111" s="404"/>
      <c r="S111" s="404"/>
      <c r="T111" s="404"/>
      <c r="U111" s="404"/>
      <c r="V111" s="404"/>
      <c r="W111" s="404"/>
      <c r="X111" s="404"/>
      <c r="Y111" s="404"/>
      <c r="Z111" s="404"/>
      <c r="AS111" s="371"/>
      <c r="AT111" s="371"/>
    </row>
    <row r="112" spans="1:46" ht="15.75" customHeight="1">
      <c r="A112" s="405"/>
      <c r="B112" s="404"/>
      <c r="C112" s="494"/>
      <c r="P112" s="353"/>
      <c r="R112" s="404"/>
      <c r="S112" s="404"/>
      <c r="T112" s="404"/>
      <c r="U112" s="404"/>
      <c r="V112" s="404"/>
      <c r="W112" s="404"/>
      <c r="X112" s="404"/>
      <c r="Y112" s="404"/>
      <c r="Z112" s="404"/>
      <c r="AS112" s="371"/>
      <c r="AT112" s="371"/>
    </row>
    <row r="113" spans="1:46" ht="15.75" customHeight="1">
      <c r="A113" s="405"/>
      <c r="B113" s="404"/>
      <c r="C113" s="494"/>
      <c r="P113" s="353"/>
      <c r="R113" s="404"/>
      <c r="S113" s="404"/>
      <c r="T113" s="404"/>
      <c r="U113" s="404"/>
      <c r="V113" s="404"/>
      <c r="W113" s="404"/>
      <c r="X113" s="404"/>
      <c r="Y113" s="404"/>
      <c r="Z113" s="404"/>
      <c r="AS113" s="371"/>
      <c r="AT113" s="371"/>
    </row>
    <row r="114" spans="1:46" ht="15.75" customHeight="1">
      <c r="A114" s="405"/>
      <c r="B114" s="404"/>
      <c r="C114" s="494"/>
      <c r="P114" s="353"/>
      <c r="R114" s="404"/>
      <c r="S114" s="404"/>
      <c r="T114" s="404"/>
      <c r="U114" s="404"/>
      <c r="V114" s="404"/>
      <c r="W114" s="404"/>
      <c r="X114" s="404"/>
      <c r="Y114" s="404"/>
      <c r="Z114" s="404"/>
      <c r="AS114" s="371"/>
      <c r="AT114" s="371"/>
    </row>
    <row r="115" spans="1:46" ht="15.75" customHeight="1">
      <c r="A115" s="405"/>
      <c r="B115" s="404"/>
      <c r="C115" s="494"/>
      <c r="P115" s="353"/>
      <c r="R115" s="404"/>
      <c r="S115" s="404"/>
      <c r="T115" s="404"/>
      <c r="U115" s="404"/>
      <c r="V115" s="404"/>
      <c r="W115" s="404"/>
      <c r="X115" s="404"/>
      <c r="Y115" s="404"/>
      <c r="Z115" s="404"/>
    </row>
    <row r="116" spans="1:46" ht="15.75" customHeight="1">
      <c r="A116" s="405"/>
      <c r="B116" s="404"/>
      <c r="C116" s="494"/>
      <c r="P116" s="353"/>
      <c r="R116" s="404"/>
      <c r="S116" s="404"/>
      <c r="T116" s="404"/>
      <c r="U116" s="404"/>
      <c r="V116" s="404"/>
      <c r="W116" s="404"/>
      <c r="X116" s="404"/>
      <c r="Y116" s="404"/>
      <c r="Z116" s="404"/>
    </row>
    <row r="117" spans="1:46" ht="15.75" customHeight="1">
      <c r="A117" s="405"/>
      <c r="B117" s="404"/>
      <c r="C117" s="494"/>
      <c r="P117" s="353"/>
      <c r="R117" s="404"/>
      <c r="S117" s="404"/>
      <c r="T117" s="404"/>
      <c r="U117" s="404"/>
      <c r="V117" s="404"/>
      <c r="W117" s="404"/>
      <c r="X117" s="404"/>
      <c r="Y117" s="404"/>
      <c r="Z117" s="404"/>
    </row>
  </sheetData>
  <mergeCells count="12">
    <mergeCell ref="C5:C6"/>
    <mergeCell ref="B5:B6"/>
    <mergeCell ref="A5:A6"/>
    <mergeCell ref="A1:M1"/>
    <mergeCell ref="A3:M3"/>
    <mergeCell ref="A2:M2"/>
    <mergeCell ref="D5:D6"/>
    <mergeCell ref="N5:P5"/>
    <mergeCell ref="E5:H5"/>
    <mergeCell ref="M5:M6"/>
    <mergeCell ref="K5:L5"/>
    <mergeCell ref="I5:J5"/>
  </mergeCells>
  <printOptions horizontalCentered="1"/>
  <pageMargins left="0.39370078740157483" right="0.39370078740157483" top="0.6692913385826772" bottom="0.51181102362204722" header="0.19685039370078741" footer="0.23622047244094491"/>
  <pageSetup paperSize="9" scale="98" fitToHeight="0" orientation="portrait" r:id="rId1"/>
  <headerFooter>
    <evenFooter>Page &amp;P</evenFooter>
  </headerFooter>
</worksheet>
</file>

<file path=xl/worksheets/sheet1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X117"/>
  <sheetViews>
    <sheetView zoomScale="115" zoomScaleNormal="115" workbookViewId="0">
      <pane ySplit="7" topLeftCell="A32" activePane="bottomLeft" state="frozen"/>
      <selection activeCell="AP143" sqref="AP143"/>
      <selection pane="bottomLeft" activeCell="Q10" sqref="Q10"/>
    </sheetView>
  </sheetViews>
  <sheetFormatPr defaultColWidth="9" defaultRowHeight="15.75" customHeight="1"/>
  <cols>
    <col min="1" max="1" width="5.125" style="370" customWidth="1"/>
    <col min="2" max="2" width="28.875" style="370" customWidth="1"/>
    <col min="3" max="3" width="8.375" style="495" customWidth="1"/>
    <col min="4" max="4" width="8.125" style="525" hidden="1" customWidth="1"/>
    <col min="5" max="5" width="10" style="525" hidden="1" customWidth="1"/>
    <col min="6" max="6" width="8.625" style="525" customWidth="1"/>
    <col min="7" max="7" width="8" style="525" hidden="1" customWidth="1"/>
    <col min="8" max="8" width="7.75" style="525" hidden="1" customWidth="1"/>
    <col min="9" max="10" width="8.5" style="525" customWidth="1"/>
    <col min="11" max="11" width="9.75" style="525" customWidth="1"/>
    <col min="12" max="12" width="8.5" style="525" customWidth="1"/>
    <col min="13" max="13" width="5.75" style="525" customWidth="1"/>
    <col min="14" max="14" width="9" style="342"/>
    <col min="15" max="15" width="0" style="370" hidden="1" customWidth="1"/>
    <col min="16" max="16" width="14.25" style="370" hidden="1" customWidth="1"/>
    <col min="17" max="17" width="14.25" style="370" bestFit="1" customWidth="1"/>
    <col min="18" max="19" width="14.25" style="370" customWidth="1"/>
    <col min="20" max="16384" width="9" style="370"/>
  </cols>
  <sheetData>
    <row r="1" spans="1:29" s="400" customFormat="1" ht="21.95" customHeight="1">
      <c r="A1" s="2077" t="s">
        <v>779</v>
      </c>
      <c r="B1" s="2077"/>
      <c r="C1" s="2077"/>
      <c r="D1" s="2077"/>
      <c r="E1" s="2077"/>
      <c r="F1" s="2077"/>
      <c r="G1" s="2077"/>
      <c r="H1" s="2077"/>
      <c r="I1" s="2077"/>
      <c r="J1" s="2077"/>
      <c r="K1" s="2077"/>
      <c r="L1" s="2077"/>
      <c r="M1" s="2077"/>
      <c r="N1" s="342"/>
    </row>
    <row r="2" spans="1:29" s="400" customFormat="1" ht="21.95" customHeight="1">
      <c r="A2" s="2079" t="s">
        <v>781</v>
      </c>
      <c r="B2" s="2079"/>
      <c r="C2" s="2079"/>
      <c r="D2" s="2079"/>
      <c r="E2" s="2079"/>
      <c r="F2" s="2079"/>
      <c r="G2" s="2079"/>
      <c r="H2" s="2079"/>
      <c r="I2" s="2079"/>
      <c r="J2" s="2079"/>
      <c r="K2" s="2079"/>
      <c r="L2" s="2079"/>
      <c r="M2" s="2079"/>
      <c r="N2" s="342"/>
    </row>
    <row r="3" spans="1:29" s="400" customFormat="1" ht="21.95" customHeight="1">
      <c r="A3" s="2080" t="str">
        <f>'B1 Bieu TH '!A3:Q3</f>
        <v>(Kèm theo Báo cáo số:  1525 /BC-UBND, ngày   30  tháng 5 năm 2025 của UBND huyện Mường Tè)</v>
      </c>
      <c r="B3" s="2080"/>
      <c r="C3" s="2080"/>
      <c r="D3" s="2080"/>
      <c r="E3" s="2080"/>
      <c r="F3" s="2080"/>
      <c r="G3" s="2080"/>
      <c r="H3" s="2080"/>
      <c r="I3" s="2080"/>
      <c r="J3" s="2080"/>
      <c r="K3" s="2080"/>
      <c r="L3" s="2080"/>
      <c r="M3" s="2080"/>
      <c r="N3" s="342"/>
    </row>
    <row r="4" spans="1:29" ht="24" customHeight="1">
      <c r="A4" s="379"/>
      <c r="B4" s="20" t="s">
        <v>197</v>
      </c>
      <c r="C4" s="384"/>
      <c r="D4" s="496"/>
      <c r="E4" s="496"/>
      <c r="F4" s="496"/>
      <c r="G4" s="496"/>
      <c r="H4" s="496"/>
      <c r="I4" s="496"/>
      <c r="J4" s="496"/>
      <c r="K4" s="496"/>
      <c r="L4" s="496"/>
      <c r="M4" s="496"/>
      <c r="Q4" s="2078"/>
      <c r="R4" s="2078"/>
      <c r="S4" s="2078"/>
    </row>
    <row r="5" spans="1:29" ht="32.25" customHeight="1">
      <c r="A5" s="2046" t="s">
        <v>178</v>
      </c>
      <c r="B5" s="2046" t="s">
        <v>56</v>
      </c>
      <c r="C5" s="2046" t="s">
        <v>57</v>
      </c>
      <c r="D5" s="2017" t="s">
        <v>880</v>
      </c>
      <c r="E5" s="2073" t="s">
        <v>865</v>
      </c>
      <c r="F5" s="2073"/>
      <c r="G5" s="2073"/>
      <c r="H5" s="2073"/>
      <c r="I5" s="2074" t="s">
        <v>952</v>
      </c>
      <c r="J5" s="2075"/>
      <c r="K5" s="2048" t="s">
        <v>866</v>
      </c>
      <c r="L5" s="2048"/>
      <c r="M5" s="2048" t="s">
        <v>690</v>
      </c>
      <c r="Q5" s="341"/>
      <c r="R5" s="341"/>
      <c r="S5" s="341"/>
    </row>
    <row r="6" spans="1:29" s="498" customFormat="1" ht="93.75" customHeight="1">
      <c r="A6" s="2021"/>
      <c r="B6" s="2021"/>
      <c r="C6" s="2021"/>
      <c r="D6" s="2017"/>
      <c r="E6" s="1786" t="s">
        <v>765</v>
      </c>
      <c r="F6" s="1781" t="s">
        <v>972</v>
      </c>
      <c r="G6" s="1781" t="s">
        <v>871</v>
      </c>
      <c r="H6" s="1781" t="s">
        <v>797</v>
      </c>
      <c r="I6" s="1679" t="s">
        <v>11</v>
      </c>
      <c r="J6" s="1786" t="s">
        <v>973</v>
      </c>
      <c r="K6" s="1787" t="str">
        <f>'B4 SXCN'!K6</f>
        <v>Ước TH 6 tháng năm 2025/TH 6 tháng năm 2024</v>
      </c>
      <c r="L6" s="1787" t="str">
        <f>'B4 SXCN'!L6</f>
        <v>Ước TH 6 tháng năm 2025/KH huyện</v>
      </c>
      <c r="M6" s="2017"/>
      <c r="N6" s="826"/>
      <c r="O6" s="825"/>
      <c r="P6" s="497"/>
      <c r="Q6" s="497"/>
      <c r="R6" s="497"/>
      <c r="S6" s="497"/>
      <c r="T6" s="497"/>
      <c r="U6" s="497"/>
      <c r="V6" s="497"/>
      <c r="W6" s="497"/>
      <c r="X6" s="497"/>
      <c r="Y6" s="497"/>
      <c r="Z6" s="497"/>
      <c r="AA6" s="497"/>
      <c r="AB6" s="497"/>
      <c r="AC6" s="497"/>
    </row>
    <row r="7" spans="1:29" s="500" customFormat="1" ht="23.25" hidden="1" customHeight="1">
      <c r="A7" s="1781" t="s">
        <v>133</v>
      </c>
      <c r="B7" s="1115" t="s">
        <v>198</v>
      </c>
      <c r="C7" s="1781"/>
      <c r="D7" s="1783"/>
      <c r="E7" s="1783"/>
      <c r="F7" s="1783"/>
      <c r="G7" s="1783"/>
      <c r="H7" s="1783"/>
      <c r="I7" s="1783"/>
      <c r="J7" s="1783"/>
      <c r="K7" s="1783"/>
      <c r="L7" s="1783"/>
      <c r="M7" s="1783"/>
      <c r="N7" s="656"/>
      <c r="O7" s="499"/>
      <c r="P7" s="499"/>
      <c r="Q7" s="499"/>
      <c r="R7" s="499"/>
      <c r="S7" s="499"/>
      <c r="T7" s="499"/>
      <c r="U7" s="499"/>
      <c r="V7" s="499"/>
      <c r="W7" s="499"/>
      <c r="X7" s="499"/>
      <c r="Y7" s="499"/>
      <c r="Z7" s="499"/>
      <c r="AA7" s="499"/>
      <c r="AB7" s="499"/>
      <c r="AC7" s="499"/>
    </row>
    <row r="8" spans="1:29" s="504" customFormat="1" ht="36" customHeight="1">
      <c r="A8" s="1784" t="s">
        <v>83</v>
      </c>
      <c r="B8" s="841" t="s">
        <v>555</v>
      </c>
      <c r="C8" s="1784" t="s">
        <v>15</v>
      </c>
      <c r="D8" s="1116">
        <v>262.07</v>
      </c>
      <c r="E8" s="1116">
        <f t="shared" ref="E8:F8" si="0">SUM(E10:E13)</f>
        <v>267.61</v>
      </c>
      <c r="F8" s="1116">
        <f t="shared" si="0"/>
        <v>130.13999999999999</v>
      </c>
      <c r="G8" s="1116">
        <f>SUM(G10:G13)</f>
        <v>193.17</v>
      </c>
      <c r="H8" s="1116">
        <f>E8</f>
        <v>267.61</v>
      </c>
      <c r="I8" s="1116">
        <f>+I10+I11+I13</f>
        <v>276.5</v>
      </c>
      <c r="J8" s="1116">
        <f>+J10+J11+J13</f>
        <v>133.19999999999999</v>
      </c>
      <c r="K8" s="1013">
        <f>J8/F8%</f>
        <v>102.35131396957124</v>
      </c>
      <c r="L8" s="1013">
        <f>J8/I8%</f>
        <v>48.173598553345386</v>
      </c>
      <c r="M8" s="1116"/>
      <c r="N8" s="657"/>
      <c r="O8" s="501"/>
      <c r="P8" s="715"/>
      <c r="Q8" s="715"/>
      <c r="R8" s="715"/>
      <c r="S8" s="715"/>
      <c r="T8" s="503"/>
      <c r="U8" s="503"/>
      <c r="V8" s="503"/>
      <c r="W8" s="503"/>
      <c r="X8" s="503"/>
      <c r="Y8" s="503"/>
      <c r="Z8" s="503"/>
      <c r="AA8" s="503"/>
      <c r="AB8" s="503"/>
      <c r="AC8" s="503"/>
    </row>
    <row r="9" spans="1:29" s="506" customFormat="1" ht="21.95" customHeight="1">
      <c r="A9" s="1784"/>
      <c r="B9" s="889" t="s">
        <v>31</v>
      </c>
      <c r="C9" s="1782"/>
      <c r="D9" s="1010"/>
      <c r="E9" s="1010"/>
      <c r="F9" s="1010"/>
      <c r="G9" s="1010"/>
      <c r="H9" s="1010"/>
      <c r="I9" s="1010"/>
      <c r="J9" s="1010"/>
      <c r="K9" s="1013"/>
      <c r="L9" s="1013"/>
      <c r="M9" s="1010"/>
      <c r="N9" s="654"/>
      <c r="O9" s="505"/>
      <c r="P9" s="505"/>
      <c r="Q9" s="505"/>
      <c r="R9" s="505"/>
      <c r="S9" s="505"/>
      <c r="T9" s="505"/>
      <c r="U9" s="505"/>
      <c r="V9" s="505"/>
      <c r="W9" s="505"/>
      <c r="X9" s="505"/>
      <c r="Y9" s="505"/>
      <c r="Z9" s="505"/>
      <c r="AA9" s="505"/>
      <c r="AB9" s="505"/>
      <c r="AC9" s="505"/>
    </row>
    <row r="10" spans="1:29" s="506" customFormat="1" ht="21.95" customHeight="1">
      <c r="A10" s="1784"/>
      <c r="B10" s="847" t="s">
        <v>724</v>
      </c>
      <c r="C10" s="1782" t="s">
        <v>15</v>
      </c>
      <c r="D10" s="904">
        <v>215</v>
      </c>
      <c r="E10" s="904">
        <v>220</v>
      </c>
      <c r="F10" s="904">
        <v>107</v>
      </c>
      <c r="G10" s="904">
        <v>158</v>
      </c>
      <c r="H10" s="904">
        <f>E10</f>
        <v>220</v>
      </c>
      <c r="I10" s="904">
        <v>230</v>
      </c>
      <c r="J10" s="904">
        <v>110</v>
      </c>
      <c r="K10" s="1013">
        <f t="shared" ref="K10:K37" si="1">J10/F10%</f>
        <v>102.80373831775701</v>
      </c>
      <c r="L10" s="1013">
        <f t="shared" ref="L10:L37" si="2">J10/I10%</f>
        <v>47.826086956521742</v>
      </c>
      <c r="M10" s="904"/>
      <c r="N10" s="654"/>
      <c r="O10" s="505"/>
      <c r="P10" s="502"/>
      <c r="Q10" s="502"/>
      <c r="R10" s="631"/>
      <c r="S10" s="502"/>
      <c r="T10" s="503"/>
      <c r="U10" s="505"/>
      <c r="V10" s="505"/>
      <c r="W10" s="505"/>
      <c r="X10" s="505"/>
      <c r="Y10" s="505"/>
      <c r="Z10" s="505"/>
      <c r="AA10" s="505"/>
      <c r="AB10" s="505"/>
      <c r="AC10" s="505"/>
    </row>
    <row r="11" spans="1:29" s="507" customFormat="1" ht="21.95" customHeight="1">
      <c r="A11" s="1784"/>
      <c r="B11" s="889" t="s">
        <v>199</v>
      </c>
      <c r="C11" s="1782" t="s">
        <v>15</v>
      </c>
      <c r="D11" s="904">
        <v>44.8</v>
      </c>
      <c r="E11" s="904">
        <v>45.3</v>
      </c>
      <c r="F11" s="904">
        <v>22</v>
      </c>
      <c r="G11" s="904">
        <v>33.5</v>
      </c>
      <c r="H11" s="904">
        <f t="shared" ref="H11:H13" si="3">E11</f>
        <v>45.3</v>
      </c>
      <c r="I11" s="904">
        <v>44</v>
      </c>
      <c r="J11" s="904">
        <v>22</v>
      </c>
      <c r="K11" s="1013">
        <f t="shared" si="1"/>
        <v>100</v>
      </c>
      <c r="L11" s="1013">
        <f t="shared" si="2"/>
        <v>50</v>
      </c>
      <c r="M11" s="904"/>
      <c r="N11" s="654"/>
      <c r="O11" s="505"/>
      <c r="P11" s="505"/>
      <c r="Q11" s="505"/>
      <c r="R11" s="633"/>
      <c r="S11" s="505"/>
      <c r="T11" s="505"/>
      <c r="U11" s="505"/>
      <c r="V11" s="505"/>
      <c r="W11" s="505"/>
      <c r="X11" s="505"/>
      <c r="Y11" s="505"/>
      <c r="Z11" s="505"/>
      <c r="AA11" s="505"/>
      <c r="AB11" s="505"/>
      <c r="AC11" s="505"/>
    </row>
    <row r="12" spans="1:29" s="506" customFormat="1" ht="21.95" customHeight="1">
      <c r="A12" s="1784"/>
      <c r="B12" s="889" t="s">
        <v>200</v>
      </c>
      <c r="C12" s="1782" t="s">
        <v>15</v>
      </c>
      <c r="D12" s="904" t="s">
        <v>578</v>
      </c>
      <c r="E12" s="904" t="s">
        <v>578</v>
      </c>
      <c r="F12" s="904" t="s">
        <v>578</v>
      </c>
      <c r="G12" s="904">
        <v>0</v>
      </c>
      <c r="H12" s="904" t="str">
        <f t="shared" si="3"/>
        <v>-</v>
      </c>
      <c r="I12" s="904"/>
      <c r="J12" s="904"/>
      <c r="K12" s="1013"/>
      <c r="L12" s="1013"/>
      <c r="M12" s="904"/>
      <c r="N12" s="654"/>
      <c r="O12" s="505"/>
      <c r="P12" s="505"/>
      <c r="Q12" s="505"/>
      <c r="R12" s="632"/>
      <c r="S12" s="505"/>
      <c r="T12" s="505"/>
      <c r="U12" s="505"/>
      <c r="V12" s="505"/>
      <c r="W12" s="505"/>
      <c r="X12" s="505"/>
      <c r="Y12" s="505"/>
      <c r="Z12" s="505"/>
      <c r="AA12" s="505"/>
      <c r="AB12" s="505"/>
      <c r="AC12" s="505"/>
    </row>
    <row r="13" spans="1:29" s="506" customFormat="1" ht="21.95" customHeight="1">
      <c r="A13" s="1784"/>
      <c r="B13" s="889" t="s">
        <v>201</v>
      </c>
      <c r="C13" s="1782" t="s">
        <v>15</v>
      </c>
      <c r="D13" s="904">
        <v>2.27</v>
      </c>
      <c r="E13" s="904">
        <v>2.31</v>
      </c>
      <c r="F13" s="904">
        <v>1.1399999999999999</v>
      </c>
      <c r="G13" s="904">
        <v>1.67</v>
      </c>
      <c r="H13" s="904">
        <f t="shared" si="3"/>
        <v>2.31</v>
      </c>
      <c r="I13" s="904">
        <v>2.5</v>
      </c>
      <c r="J13" s="904">
        <v>1.2</v>
      </c>
      <c r="K13" s="1013">
        <f t="shared" si="1"/>
        <v>105.26315789473685</v>
      </c>
      <c r="L13" s="1013">
        <f t="shared" si="2"/>
        <v>47.999999999999993</v>
      </c>
      <c r="M13" s="904"/>
      <c r="N13" s="654"/>
      <c r="O13" s="505"/>
      <c r="P13" s="505"/>
      <c r="Q13" s="505"/>
      <c r="R13" s="505"/>
      <c r="S13" s="505"/>
      <c r="T13" s="505"/>
      <c r="U13" s="505"/>
      <c r="V13" s="505"/>
      <c r="W13" s="505"/>
      <c r="X13" s="505"/>
      <c r="Y13" s="505"/>
      <c r="Z13" s="505"/>
      <c r="AA13" s="505"/>
      <c r="AB13" s="505"/>
      <c r="AC13" s="505"/>
    </row>
    <row r="14" spans="1:29" s="504" customFormat="1" ht="21.95" customHeight="1">
      <c r="A14" s="1784" t="s">
        <v>100</v>
      </c>
      <c r="B14" s="841" t="s">
        <v>780</v>
      </c>
      <c r="C14" s="1784"/>
      <c r="D14" s="904"/>
      <c r="E14" s="904"/>
      <c r="F14" s="904"/>
      <c r="G14" s="904"/>
      <c r="H14" s="904"/>
      <c r="I14" s="904"/>
      <c r="J14" s="904"/>
      <c r="K14" s="1013"/>
      <c r="L14" s="1013"/>
      <c r="M14" s="904"/>
      <c r="N14" s="658"/>
      <c r="O14" s="503"/>
      <c r="P14" s="503"/>
      <c r="Q14" s="503"/>
      <c r="R14" s="503"/>
      <c r="S14" s="503"/>
      <c r="T14" s="503"/>
      <c r="U14" s="503"/>
      <c r="V14" s="503"/>
      <c r="W14" s="503"/>
      <c r="X14" s="503"/>
      <c r="Y14" s="503"/>
      <c r="Z14" s="503"/>
      <c r="AA14" s="503"/>
      <c r="AB14" s="503"/>
      <c r="AC14" s="503"/>
    </row>
    <row r="15" spans="1:29" s="509" customFormat="1" ht="21.95" customHeight="1">
      <c r="A15" s="846">
        <v>1</v>
      </c>
      <c r="B15" s="892" t="s">
        <v>202</v>
      </c>
      <c r="C15" s="1782"/>
      <c r="D15" s="904"/>
      <c r="E15" s="904"/>
      <c r="F15" s="904"/>
      <c r="G15" s="904"/>
      <c r="H15" s="904"/>
      <c r="I15" s="904"/>
      <c r="J15" s="904"/>
      <c r="K15" s="1013"/>
      <c r="L15" s="1013"/>
      <c r="M15" s="904"/>
      <c r="N15" s="659"/>
      <c r="O15" s="508"/>
      <c r="P15" s="508"/>
      <c r="Q15" s="508"/>
      <c r="R15" s="508"/>
      <c r="S15" s="508"/>
      <c r="T15" s="508"/>
      <c r="U15" s="508"/>
      <c r="V15" s="508"/>
      <c r="W15" s="508"/>
      <c r="X15" s="508"/>
      <c r="Y15" s="508"/>
      <c r="Z15" s="508"/>
      <c r="AA15" s="508"/>
      <c r="AB15" s="508"/>
      <c r="AC15" s="508"/>
    </row>
    <row r="16" spans="1:29" s="504" customFormat="1" ht="21.95" customHeight="1">
      <c r="A16" s="1784"/>
      <c r="B16" s="889" t="s">
        <v>550</v>
      </c>
      <c r="C16" s="1117" t="s">
        <v>203</v>
      </c>
      <c r="D16" s="1118">
        <v>1</v>
      </c>
      <c r="E16" s="1118">
        <v>1</v>
      </c>
      <c r="F16" s="1118">
        <v>1</v>
      </c>
      <c r="G16" s="1118">
        <v>1</v>
      </c>
      <c r="H16" s="1118">
        <v>1</v>
      </c>
      <c r="I16" s="1118">
        <v>1</v>
      </c>
      <c r="J16" s="1118">
        <v>1</v>
      </c>
      <c r="K16" s="1013">
        <f t="shared" si="1"/>
        <v>100</v>
      </c>
      <c r="L16" s="1013">
        <f t="shared" si="2"/>
        <v>100</v>
      </c>
      <c r="M16" s="1118"/>
      <c r="N16" s="658"/>
      <c r="O16" s="503"/>
      <c r="P16" s="503"/>
      <c r="Q16" s="503"/>
      <c r="R16" s="503"/>
      <c r="S16" s="503">
        <f>743/721*100</f>
        <v>103.05131761442441</v>
      </c>
      <c r="T16" s="503"/>
      <c r="U16" s="503"/>
      <c r="V16" s="503"/>
      <c r="W16" s="503"/>
      <c r="X16" s="503"/>
      <c r="Y16" s="503"/>
      <c r="Z16" s="503"/>
      <c r="AA16" s="503"/>
      <c r="AB16" s="503"/>
      <c r="AC16" s="503"/>
    </row>
    <row r="17" spans="1:29" s="511" customFormat="1" ht="36" customHeight="1">
      <c r="A17" s="840"/>
      <c r="B17" s="892" t="s">
        <v>554</v>
      </c>
      <c r="C17" s="1119" t="s">
        <v>203</v>
      </c>
      <c r="D17" s="1120"/>
      <c r="E17" s="1120">
        <v>0</v>
      </c>
      <c r="F17" s="1120">
        <v>0</v>
      </c>
      <c r="G17" s="1120">
        <v>0</v>
      </c>
      <c r="H17" s="1120"/>
      <c r="I17" s="1120"/>
      <c r="J17" s="1120"/>
      <c r="K17" s="1013"/>
      <c r="L17" s="1013"/>
      <c r="M17" s="1120"/>
      <c r="N17" s="660"/>
      <c r="O17" s="510"/>
      <c r="P17" s="510"/>
      <c r="Q17" s="510"/>
      <c r="R17" s="510"/>
      <c r="S17" s="510"/>
      <c r="T17" s="510"/>
      <c r="U17" s="510"/>
      <c r="V17" s="510"/>
      <c r="W17" s="510"/>
      <c r="X17" s="510"/>
      <c r="Y17" s="510"/>
      <c r="Z17" s="510"/>
      <c r="AA17" s="510"/>
      <c r="AB17" s="510"/>
      <c r="AC17" s="510"/>
    </row>
    <row r="18" spans="1:29" s="504" customFormat="1" ht="21.95" customHeight="1">
      <c r="A18" s="1784"/>
      <c r="B18" s="889" t="s">
        <v>552</v>
      </c>
      <c r="C18" s="1117" t="s">
        <v>204</v>
      </c>
      <c r="D18" s="965">
        <v>32</v>
      </c>
      <c r="E18" s="965">
        <v>32</v>
      </c>
      <c r="F18" s="965">
        <v>32</v>
      </c>
      <c r="G18" s="965">
        <v>32</v>
      </c>
      <c r="H18" s="965">
        <v>32</v>
      </c>
      <c r="I18" s="965">
        <v>32</v>
      </c>
      <c r="J18" s="965">
        <v>32</v>
      </c>
      <c r="K18" s="1013">
        <f t="shared" si="1"/>
        <v>100</v>
      </c>
      <c r="L18" s="1013">
        <f t="shared" si="2"/>
        <v>100</v>
      </c>
      <c r="M18" s="965"/>
      <c r="N18" s="658"/>
      <c r="O18" s="503"/>
      <c r="P18" s="503"/>
      <c r="Q18" s="503"/>
      <c r="R18" s="503"/>
      <c r="S18" s="503"/>
      <c r="T18" s="503"/>
      <c r="U18" s="503"/>
      <c r="V18" s="503"/>
      <c r="W18" s="503"/>
      <c r="X18" s="503"/>
      <c r="Y18" s="503"/>
      <c r="Z18" s="503"/>
      <c r="AA18" s="503"/>
      <c r="AB18" s="503"/>
      <c r="AC18" s="503"/>
    </row>
    <row r="19" spans="1:29" s="504" customFormat="1" ht="21.95" customHeight="1">
      <c r="A19" s="1784"/>
      <c r="B19" s="889" t="s">
        <v>553</v>
      </c>
      <c r="C19" s="1117" t="s">
        <v>26</v>
      </c>
      <c r="D19" s="1121">
        <v>30</v>
      </c>
      <c r="E19" s="1121">
        <v>30</v>
      </c>
      <c r="F19" s="1121">
        <v>30</v>
      </c>
      <c r="G19" s="1121">
        <v>30</v>
      </c>
      <c r="H19" s="1121">
        <v>30</v>
      </c>
      <c r="I19" s="1121">
        <v>35</v>
      </c>
      <c r="J19" s="1121">
        <v>30</v>
      </c>
      <c r="K19" s="1013">
        <f t="shared" si="1"/>
        <v>100</v>
      </c>
      <c r="L19" s="1013">
        <f t="shared" si="2"/>
        <v>85.714285714285722</v>
      </c>
      <c r="M19" s="1121"/>
      <c r="N19" s="658"/>
      <c r="O19" s="503"/>
      <c r="P19" s="503"/>
      <c r="Q19" s="503"/>
      <c r="R19" s="503"/>
      <c r="S19" s="503"/>
      <c r="T19" s="503"/>
      <c r="U19" s="503"/>
      <c r="V19" s="503"/>
      <c r="W19" s="503"/>
      <c r="X19" s="503"/>
      <c r="Y19" s="503"/>
      <c r="Z19" s="503"/>
      <c r="AA19" s="503"/>
      <c r="AB19" s="503"/>
      <c r="AC19" s="503"/>
    </row>
    <row r="20" spans="1:29" s="511" customFormat="1" ht="21.95" customHeight="1">
      <c r="A20" s="840"/>
      <c r="B20" s="889" t="s">
        <v>551</v>
      </c>
      <c r="C20" s="1117" t="s">
        <v>203</v>
      </c>
      <c r="D20" s="965">
        <v>15</v>
      </c>
      <c r="E20" s="965">
        <v>15</v>
      </c>
      <c r="F20" s="965">
        <v>15</v>
      </c>
      <c r="G20" s="965">
        <v>15</v>
      </c>
      <c r="H20" s="965">
        <v>15</v>
      </c>
      <c r="I20" s="965">
        <v>15</v>
      </c>
      <c r="J20" s="965">
        <v>15</v>
      </c>
      <c r="K20" s="1013">
        <f t="shared" si="1"/>
        <v>100</v>
      </c>
      <c r="L20" s="1013">
        <f t="shared" si="2"/>
        <v>100</v>
      </c>
      <c r="M20" s="965"/>
      <c r="N20" s="660"/>
      <c r="O20" s="510"/>
      <c r="P20" s="510"/>
      <c r="Q20" s="510"/>
      <c r="R20" s="510"/>
      <c r="S20" s="510"/>
      <c r="T20" s="510"/>
      <c r="U20" s="510"/>
      <c r="V20" s="510"/>
      <c r="W20" s="510"/>
      <c r="X20" s="510"/>
      <c r="Y20" s="510"/>
      <c r="Z20" s="510"/>
      <c r="AA20" s="510"/>
      <c r="AB20" s="510"/>
      <c r="AC20" s="510"/>
    </row>
    <row r="21" spans="1:29" s="504" customFormat="1" ht="21.95" customHeight="1">
      <c r="A21" s="1784"/>
      <c r="B21" s="889" t="s">
        <v>552</v>
      </c>
      <c r="C21" s="1117" t="s">
        <v>204</v>
      </c>
      <c r="D21" s="965">
        <v>216</v>
      </c>
      <c r="E21" s="965">
        <v>216</v>
      </c>
      <c r="F21" s="965">
        <v>216</v>
      </c>
      <c r="G21" s="965">
        <v>216</v>
      </c>
      <c r="H21" s="965">
        <v>216</v>
      </c>
      <c r="I21" s="965">
        <v>216</v>
      </c>
      <c r="J21" s="965">
        <v>216</v>
      </c>
      <c r="K21" s="1013">
        <f t="shared" si="1"/>
        <v>100</v>
      </c>
      <c r="L21" s="1013">
        <f t="shared" si="2"/>
        <v>100</v>
      </c>
      <c r="M21" s="965"/>
      <c r="N21" s="658"/>
      <c r="O21" s="503"/>
      <c r="P21" s="503"/>
      <c r="Q21" s="503"/>
      <c r="R21" s="503"/>
      <c r="S21" s="503"/>
      <c r="T21" s="503"/>
      <c r="U21" s="503"/>
      <c r="V21" s="503"/>
      <c r="W21" s="503"/>
      <c r="X21" s="503"/>
      <c r="Y21" s="503"/>
      <c r="Z21" s="503"/>
      <c r="AA21" s="503"/>
      <c r="AB21" s="503"/>
      <c r="AC21" s="503"/>
    </row>
    <row r="22" spans="1:29" s="504" customFormat="1" ht="21.95" customHeight="1">
      <c r="A22" s="1784"/>
      <c r="B22" s="889" t="s">
        <v>553</v>
      </c>
      <c r="C22" s="1117" t="s">
        <v>26</v>
      </c>
      <c r="D22" s="1121">
        <v>50</v>
      </c>
      <c r="E22" s="1121">
        <v>50</v>
      </c>
      <c r="F22" s="1121">
        <v>50</v>
      </c>
      <c r="G22" s="1121">
        <v>50</v>
      </c>
      <c r="H22" s="1121">
        <v>50</v>
      </c>
      <c r="I22" s="1121">
        <v>50</v>
      </c>
      <c r="J22" s="1121">
        <v>50</v>
      </c>
      <c r="K22" s="1013">
        <f t="shared" si="1"/>
        <v>100</v>
      </c>
      <c r="L22" s="1013">
        <f t="shared" si="2"/>
        <v>100</v>
      </c>
      <c r="M22" s="1121"/>
      <c r="N22" s="658"/>
      <c r="O22" s="503"/>
      <c r="P22" s="503"/>
      <c r="Q22" s="503"/>
      <c r="R22" s="503"/>
      <c r="S22" s="503"/>
      <c r="T22" s="503"/>
      <c r="U22" s="503"/>
      <c r="V22" s="503"/>
      <c r="W22" s="503"/>
      <c r="X22" s="503"/>
      <c r="Y22" s="503"/>
      <c r="Z22" s="503"/>
      <c r="AA22" s="503"/>
      <c r="AB22" s="503"/>
      <c r="AC22" s="503"/>
    </row>
    <row r="23" spans="1:29" s="504" customFormat="1" ht="21.95" customHeight="1">
      <c r="A23" s="1784"/>
      <c r="B23" s="889" t="s">
        <v>205</v>
      </c>
      <c r="C23" s="1117" t="s">
        <v>203</v>
      </c>
      <c r="D23" s="965">
        <v>4</v>
      </c>
      <c r="E23" s="965">
        <v>4</v>
      </c>
      <c r="F23" s="965">
        <v>3</v>
      </c>
      <c r="G23" s="965">
        <v>3</v>
      </c>
      <c r="H23" s="965">
        <v>4</v>
      </c>
      <c r="I23" s="965">
        <v>4</v>
      </c>
      <c r="J23" s="965">
        <v>3</v>
      </c>
      <c r="K23" s="1013">
        <f t="shared" si="1"/>
        <v>100</v>
      </c>
      <c r="L23" s="1013">
        <f t="shared" si="2"/>
        <v>75</v>
      </c>
      <c r="M23" s="965"/>
      <c r="N23" s="658"/>
      <c r="O23" s="503"/>
      <c r="P23" s="503"/>
      <c r="Q23" s="503"/>
      <c r="R23" s="503"/>
      <c r="S23" s="503"/>
      <c r="T23" s="503"/>
      <c r="U23" s="503"/>
      <c r="V23" s="503"/>
      <c r="W23" s="503"/>
      <c r="X23" s="503"/>
      <c r="Y23" s="503"/>
      <c r="Z23" s="503"/>
      <c r="AA23" s="503"/>
      <c r="AB23" s="503"/>
      <c r="AC23" s="503"/>
    </row>
    <row r="24" spans="1:29" s="513" customFormat="1" ht="21.95" customHeight="1">
      <c r="A24" s="1127" t="s">
        <v>118</v>
      </c>
      <c r="B24" s="1128" t="s">
        <v>782</v>
      </c>
      <c r="C24" s="1127"/>
      <c r="D24" s="1129"/>
      <c r="E24" s="1129"/>
      <c r="F24" s="1129"/>
      <c r="G24" s="1129"/>
      <c r="H24" s="1129"/>
      <c r="I24" s="1129"/>
      <c r="J24" s="1129"/>
      <c r="K24" s="1013"/>
      <c r="L24" s="1013"/>
      <c r="M24" s="1129"/>
      <c r="N24" s="661"/>
      <c r="O24" s="512"/>
      <c r="P24" s="512"/>
      <c r="Q24" s="512"/>
      <c r="R24" s="512"/>
      <c r="S24" s="512"/>
      <c r="T24" s="512"/>
      <c r="U24" s="512"/>
      <c r="V24" s="512"/>
      <c r="W24" s="512"/>
      <c r="X24" s="512"/>
      <c r="Y24" s="512"/>
      <c r="Z24" s="512"/>
      <c r="AA24" s="512"/>
      <c r="AB24" s="512"/>
      <c r="AC24" s="512"/>
    </row>
    <row r="25" spans="1:29" s="515" customFormat="1" ht="36" customHeight="1">
      <c r="A25" s="1784">
        <v>1</v>
      </c>
      <c r="B25" s="1104" t="s">
        <v>208</v>
      </c>
      <c r="C25" s="1784" t="s">
        <v>25</v>
      </c>
      <c r="D25" s="962">
        <v>15300</v>
      </c>
      <c r="E25" s="962">
        <f>E26+E27</f>
        <v>15600</v>
      </c>
      <c r="F25" s="962">
        <f t="shared" ref="F25:J25" si="4">F26+F27</f>
        <v>7730</v>
      </c>
      <c r="G25" s="962">
        <f t="shared" si="4"/>
        <v>11400</v>
      </c>
      <c r="H25" s="962">
        <f t="shared" si="4"/>
        <v>15600</v>
      </c>
      <c r="I25" s="962">
        <f t="shared" si="4"/>
        <v>16000</v>
      </c>
      <c r="J25" s="962">
        <f t="shared" si="4"/>
        <v>8500</v>
      </c>
      <c r="K25" s="1013">
        <f t="shared" si="1"/>
        <v>109.96119016817595</v>
      </c>
      <c r="L25" s="1013">
        <f t="shared" si="2"/>
        <v>53.125</v>
      </c>
      <c r="M25" s="962"/>
      <c r="N25" s="662"/>
      <c r="O25" s="514"/>
      <c r="P25" s="514"/>
      <c r="Q25" s="514"/>
      <c r="R25" s="514"/>
      <c r="S25" s="514"/>
      <c r="T25" s="514"/>
      <c r="U25" s="514"/>
      <c r="V25" s="514"/>
      <c r="W25" s="514"/>
      <c r="X25" s="514"/>
      <c r="Y25" s="514"/>
      <c r="Z25" s="514"/>
      <c r="AA25" s="514"/>
      <c r="AB25" s="514"/>
      <c r="AC25" s="514"/>
    </row>
    <row r="26" spans="1:29" s="515" customFormat="1" ht="36" customHeight="1">
      <c r="A26" s="1123" t="s">
        <v>578</v>
      </c>
      <c r="B26" s="889" t="s">
        <v>209</v>
      </c>
      <c r="C26" s="1782" t="s">
        <v>25</v>
      </c>
      <c r="D26" s="903">
        <v>8900</v>
      </c>
      <c r="E26" s="903">
        <v>9000</v>
      </c>
      <c r="F26" s="903">
        <v>4470</v>
      </c>
      <c r="G26" s="903">
        <v>6600</v>
      </c>
      <c r="H26" s="903">
        <v>9000</v>
      </c>
      <c r="I26" s="903">
        <v>9200</v>
      </c>
      <c r="J26" s="903">
        <v>5000</v>
      </c>
      <c r="K26" s="1013">
        <f t="shared" si="1"/>
        <v>111.85682326621924</v>
      </c>
      <c r="L26" s="1013">
        <f t="shared" si="2"/>
        <v>54.347826086956523</v>
      </c>
      <c r="M26" s="903"/>
      <c r="N26" s="662"/>
      <c r="O26" s="514"/>
      <c r="P26" s="514"/>
      <c r="Q26" s="514"/>
      <c r="R26" s="514"/>
      <c r="S26" s="514"/>
      <c r="T26" s="514"/>
      <c r="U26" s="514"/>
      <c r="V26" s="514"/>
      <c r="W26" s="514"/>
      <c r="X26" s="514"/>
      <c r="Y26" s="514"/>
      <c r="Z26" s="514"/>
      <c r="AA26" s="514"/>
      <c r="AB26" s="514"/>
      <c r="AC26" s="514"/>
    </row>
    <row r="27" spans="1:29" s="515" customFormat="1" ht="36" customHeight="1">
      <c r="A27" s="1123" t="s">
        <v>578</v>
      </c>
      <c r="B27" s="889" t="s">
        <v>210</v>
      </c>
      <c r="C27" s="1782" t="s">
        <v>25</v>
      </c>
      <c r="D27" s="903">
        <v>6400</v>
      </c>
      <c r="E27" s="903">
        <v>6600</v>
      </c>
      <c r="F27" s="903">
        <v>3260</v>
      </c>
      <c r="G27" s="903">
        <v>4800</v>
      </c>
      <c r="H27" s="903">
        <v>6600</v>
      </c>
      <c r="I27" s="903">
        <v>6800</v>
      </c>
      <c r="J27" s="903">
        <v>3500</v>
      </c>
      <c r="K27" s="1013">
        <f t="shared" si="1"/>
        <v>107.36196319018404</v>
      </c>
      <c r="L27" s="1013">
        <f t="shared" si="2"/>
        <v>51.470588235294116</v>
      </c>
      <c r="M27" s="903"/>
      <c r="N27" s="662"/>
      <c r="O27" s="514"/>
      <c r="P27" s="514"/>
      <c r="Q27" s="514"/>
      <c r="R27" s="514"/>
      <c r="S27" s="514"/>
      <c r="T27" s="514"/>
      <c r="U27" s="514"/>
      <c r="V27" s="514"/>
      <c r="W27" s="514"/>
      <c r="X27" s="514"/>
      <c r="Y27" s="514"/>
      <c r="Z27" s="514"/>
      <c r="AA27" s="514"/>
      <c r="AB27" s="514"/>
      <c r="AC27" s="514"/>
    </row>
    <row r="28" spans="1:29" s="515" customFormat="1" ht="21.95" customHeight="1">
      <c r="A28" s="1781">
        <v>2</v>
      </c>
      <c r="B28" s="841" t="s">
        <v>211</v>
      </c>
      <c r="C28" s="1784"/>
      <c r="D28" s="962"/>
      <c r="E28" s="962"/>
      <c r="F28" s="962"/>
      <c r="G28" s="962"/>
      <c r="H28" s="962"/>
      <c r="I28" s="962"/>
      <c r="J28" s="962"/>
      <c r="K28" s="1013"/>
      <c r="L28" s="1013"/>
      <c r="M28" s="962"/>
      <c r="N28" s="662"/>
      <c r="O28" s="514"/>
      <c r="P28" s="514"/>
      <c r="Q28" s="514"/>
      <c r="R28" s="514"/>
      <c r="S28" s="514"/>
      <c r="T28" s="514"/>
      <c r="U28" s="514"/>
      <c r="V28" s="514"/>
      <c r="W28" s="514"/>
      <c r="X28" s="514"/>
      <c r="Y28" s="514"/>
      <c r="Z28" s="514"/>
      <c r="AA28" s="514"/>
      <c r="AB28" s="514"/>
      <c r="AC28" s="514"/>
    </row>
    <row r="29" spans="1:29" s="517" customFormat="1" ht="21.95" customHeight="1">
      <c r="A29" s="1123" t="s">
        <v>578</v>
      </c>
      <c r="B29" s="974" t="s">
        <v>210</v>
      </c>
      <c r="C29" s="1782"/>
      <c r="D29" s="1010"/>
      <c r="E29" s="1010"/>
      <c r="F29" s="1010"/>
      <c r="G29" s="1010"/>
      <c r="H29" s="1010"/>
      <c r="I29" s="1010"/>
      <c r="J29" s="1010"/>
      <c r="K29" s="1013"/>
      <c r="L29" s="1013"/>
      <c r="M29" s="1010"/>
      <c r="N29" s="663"/>
      <c r="O29" s="516"/>
      <c r="P29" s="516"/>
      <c r="Q29" s="516"/>
      <c r="R29" s="516"/>
      <c r="S29" s="516"/>
      <c r="T29" s="516"/>
      <c r="U29" s="516"/>
      <c r="V29" s="516"/>
      <c r="W29" s="516"/>
      <c r="X29" s="516"/>
      <c r="Y29" s="516"/>
      <c r="Z29" s="516"/>
      <c r="AA29" s="516"/>
      <c r="AB29" s="516"/>
      <c r="AC29" s="516"/>
    </row>
    <row r="30" spans="1:29" s="517" customFormat="1" ht="21.95" customHeight="1">
      <c r="A30" s="1781"/>
      <c r="B30" s="974" t="s">
        <v>783</v>
      </c>
      <c r="C30" s="1112" t="s">
        <v>212</v>
      </c>
      <c r="D30" s="903">
        <v>294</v>
      </c>
      <c r="E30" s="903">
        <v>300</v>
      </c>
      <c r="F30" s="903">
        <v>146</v>
      </c>
      <c r="G30" s="903">
        <v>230</v>
      </c>
      <c r="H30" s="903">
        <v>300</v>
      </c>
      <c r="I30" s="903">
        <v>350</v>
      </c>
      <c r="J30" s="903">
        <v>150</v>
      </c>
      <c r="K30" s="1013">
        <f t="shared" si="1"/>
        <v>102.73972602739727</v>
      </c>
      <c r="L30" s="1013">
        <f t="shared" si="2"/>
        <v>42.857142857142854</v>
      </c>
      <c r="M30" s="903"/>
      <c r="N30" s="663"/>
      <c r="O30" s="516"/>
      <c r="P30" s="516"/>
      <c r="Q30" s="516"/>
      <c r="R30" s="516"/>
      <c r="S30" s="516"/>
      <c r="T30" s="516"/>
      <c r="U30" s="516"/>
      <c r="V30" s="516"/>
      <c r="W30" s="516"/>
      <c r="X30" s="516"/>
      <c r="Y30" s="516"/>
      <c r="Z30" s="516"/>
      <c r="AA30" s="516"/>
      <c r="AB30" s="516"/>
      <c r="AC30" s="516"/>
    </row>
    <row r="31" spans="1:29" s="517" customFormat="1" ht="31.5" hidden="1" customHeight="1">
      <c r="A31" s="1124"/>
      <c r="B31" s="1014" t="s">
        <v>213</v>
      </c>
      <c r="C31" s="1130" t="s">
        <v>26</v>
      </c>
      <c r="D31" s="1125">
        <v>3.89</v>
      </c>
      <c r="E31" s="1125"/>
      <c r="F31" s="1125"/>
      <c r="G31" s="1125"/>
      <c r="H31" s="1125"/>
      <c r="I31" s="1125"/>
      <c r="J31" s="1125"/>
      <c r="K31" s="1013" t="e">
        <f t="shared" si="1"/>
        <v>#DIV/0!</v>
      </c>
      <c r="L31" s="1013" t="e">
        <f t="shared" si="2"/>
        <v>#DIV/0!</v>
      </c>
      <c r="M31" s="1125"/>
      <c r="N31" s="663"/>
      <c r="O31" s="516"/>
      <c r="P31" s="516"/>
      <c r="Q31" s="516"/>
      <c r="R31" s="516"/>
      <c r="S31" s="516"/>
      <c r="T31" s="516"/>
      <c r="U31" s="516"/>
      <c r="V31" s="516"/>
      <c r="W31" s="516"/>
      <c r="X31" s="516"/>
      <c r="Y31" s="516"/>
      <c r="Z31" s="516"/>
      <c r="AA31" s="516"/>
      <c r="AB31" s="516"/>
      <c r="AC31" s="516"/>
    </row>
    <row r="32" spans="1:29" s="519" customFormat="1" ht="38.1" customHeight="1">
      <c r="A32" s="1123"/>
      <c r="B32" s="974" t="s">
        <v>784</v>
      </c>
      <c r="C32" s="1112" t="s">
        <v>845</v>
      </c>
      <c r="D32" s="903">
        <v>22540</v>
      </c>
      <c r="E32" s="903">
        <v>23100</v>
      </c>
      <c r="F32" s="903">
        <v>11250</v>
      </c>
      <c r="G32" s="903">
        <v>17200</v>
      </c>
      <c r="H32" s="903">
        <v>23100</v>
      </c>
      <c r="I32" s="903">
        <v>23500</v>
      </c>
      <c r="J32" s="903">
        <v>12000</v>
      </c>
      <c r="K32" s="1013">
        <f t="shared" si="1"/>
        <v>106.66666666666667</v>
      </c>
      <c r="L32" s="1013">
        <f t="shared" si="2"/>
        <v>51.063829787234042</v>
      </c>
      <c r="M32" s="903"/>
      <c r="N32" s="664"/>
      <c r="O32" s="518"/>
      <c r="P32" s="518"/>
      <c r="Q32" s="518"/>
      <c r="R32" s="518"/>
      <c r="S32" s="518"/>
      <c r="T32" s="518"/>
      <c r="U32" s="518"/>
      <c r="V32" s="518"/>
      <c r="W32" s="518"/>
      <c r="X32" s="518"/>
      <c r="Y32" s="518"/>
      <c r="Z32" s="518"/>
      <c r="AA32" s="518"/>
      <c r="AB32" s="518"/>
      <c r="AC32" s="518"/>
    </row>
    <row r="33" spans="1:29" s="521" customFormat="1" ht="31.5" hidden="1" customHeight="1">
      <c r="A33" s="1124"/>
      <c r="B33" s="1014" t="s">
        <v>214</v>
      </c>
      <c r="C33" s="1130" t="s">
        <v>26</v>
      </c>
      <c r="D33" s="1126"/>
      <c r="E33" s="1126"/>
      <c r="F33" s="1126"/>
      <c r="G33" s="1126"/>
      <c r="H33" s="1126"/>
      <c r="I33" s="1126"/>
      <c r="J33" s="1126"/>
      <c r="K33" s="1013" t="e">
        <f t="shared" si="1"/>
        <v>#DIV/0!</v>
      </c>
      <c r="L33" s="1013" t="e">
        <f t="shared" si="2"/>
        <v>#DIV/0!</v>
      </c>
      <c r="M33" s="1126"/>
      <c r="N33" s="665"/>
      <c r="O33" s="520"/>
      <c r="P33" s="520"/>
      <c r="Q33" s="520"/>
      <c r="R33" s="520"/>
      <c r="S33" s="520"/>
      <c r="T33" s="520"/>
      <c r="U33" s="520"/>
      <c r="V33" s="520"/>
      <c r="W33" s="520"/>
      <c r="X33" s="520"/>
      <c r="Y33" s="520"/>
      <c r="Z33" s="520"/>
      <c r="AA33" s="520"/>
      <c r="AB33" s="520"/>
      <c r="AC33" s="520"/>
    </row>
    <row r="34" spans="1:29" s="517" customFormat="1" ht="21.95" customHeight="1">
      <c r="A34" s="1123" t="s">
        <v>578</v>
      </c>
      <c r="B34" s="974" t="s">
        <v>209</v>
      </c>
      <c r="C34" s="1112"/>
      <c r="D34" s="903"/>
      <c r="E34" s="903"/>
      <c r="F34" s="903"/>
      <c r="G34" s="903"/>
      <c r="H34" s="903"/>
      <c r="I34" s="903"/>
      <c r="J34" s="903"/>
      <c r="K34" s="1013"/>
      <c r="L34" s="1013"/>
      <c r="M34" s="903"/>
      <c r="N34" s="663"/>
      <c r="O34" s="516"/>
      <c r="P34" s="516"/>
      <c r="Q34" s="516"/>
      <c r="R34" s="516"/>
      <c r="S34" s="516"/>
      <c r="T34" s="516"/>
      <c r="U34" s="516"/>
      <c r="V34" s="516"/>
      <c r="W34" s="516"/>
      <c r="X34" s="516"/>
      <c r="Y34" s="516"/>
      <c r="Z34" s="516"/>
      <c r="AA34" s="516"/>
      <c r="AB34" s="516"/>
      <c r="AC34" s="516"/>
    </row>
    <row r="35" spans="1:29" s="517" customFormat="1" ht="36" customHeight="1">
      <c r="A35" s="1781"/>
      <c r="B35" s="974" t="s">
        <v>215</v>
      </c>
      <c r="C35" s="1112" t="s">
        <v>216</v>
      </c>
      <c r="D35" s="972">
        <v>27.6</v>
      </c>
      <c r="E35" s="972">
        <v>27.8</v>
      </c>
      <c r="F35" s="972">
        <v>12.288</v>
      </c>
      <c r="G35" s="972">
        <v>17.5</v>
      </c>
      <c r="H35" s="972">
        <v>27.8</v>
      </c>
      <c r="I35" s="972">
        <v>28</v>
      </c>
      <c r="J35" s="972">
        <v>12.5</v>
      </c>
      <c r="K35" s="1013">
        <f t="shared" si="1"/>
        <v>101.72526041666666</v>
      </c>
      <c r="L35" s="1013">
        <f t="shared" si="2"/>
        <v>44.642857142857139</v>
      </c>
      <c r="M35" s="972"/>
      <c r="N35" s="663"/>
      <c r="O35" s="516"/>
      <c r="P35" s="516"/>
      <c r="Q35" s="516"/>
      <c r="R35" s="516"/>
      <c r="S35" s="516"/>
      <c r="T35" s="516"/>
      <c r="U35" s="516"/>
      <c r="V35" s="516"/>
      <c r="W35" s="516"/>
      <c r="X35" s="516"/>
      <c r="Y35" s="516"/>
      <c r="Z35" s="516"/>
      <c r="AA35" s="516"/>
      <c r="AB35" s="516"/>
      <c r="AC35" s="516"/>
    </row>
    <row r="36" spans="1:29" s="517" customFormat="1" ht="38.1" hidden="1" customHeight="1">
      <c r="A36" s="1124"/>
      <c r="B36" s="1014" t="s">
        <v>217</v>
      </c>
      <c r="C36" s="1130" t="s">
        <v>26</v>
      </c>
      <c r="D36" s="1126">
        <v>4.9400000000000004</v>
      </c>
      <c r="E36" s="1126"/>
      <c r="F36" s="1126"/>
      <c r="G36" s="1126"/>
      <c r="H36" s="1126"/>
      <c r="I36" s="1126"/>
      <c r="J36" s="1126"/>
      <c r="K36" s="1013" t="e">
        <f t="shared" si="1"/>
        <v>#DIV/0!</v>
      </c>
      <c r="L36" s="1013" t="e">
        <f t="shared" si="2"/>
        <v>#DIV/0!</v>
      </c>
      <c r="M36" s="1126"/>
      <c r="N36" s="663"/>
      <c r="O36" s="516"/>
      <c r="P36" s="516"/>
      <c r="Q36" s="516"/>
      <c r="R36" s="516"/>
      <c r="S36" s="516"/>
      <c r="T36" s="516"/>
      <c r="U36" s="516"/>
      <c r="V36" s="516"/>
      <c r="W36" s="516"/>
      <c r="X36" s="516"/>
      <c r="Y36" s="516"/>
      <c r="Z36" s="516"/>
      <c r="AA36" s="516"/>
      <c r="AB36" s="516"/>
      <c r="AC36" s="516"/>
    </row>
    <row r="37" spans="1:29" s="517" customFormat="1" ht="38.1" customHeight="1">
      <c r="A37" s="1781"/>
      <c r="B37" s="974" t="s">
        <v>218</v>
      </c>
      <c r="C37" s="1112" t="s">
        <v>987</v>
      </c>
      <c r="D37" s="903">
        <v>6870</v>
      </c>
      <c r="E37" s="903">
        <v>6939</v>
      </c>
      <c r="F37" s="903">
        <v>3310</v>
      </c>
      <c r="G37" s="903">
        <v>4800</v>
      </c>
      <c r="H37" s="903">
        <v>6939</v>
      </c>
      <c r="I37" s="903">
        <v>7000</v>
      </c>
      <c r="J37" s="903">
        <v>3400</v>
      </c>
      <c r="K37" s="1013">
        <f t="shared" si="1"/>
        <v>102.71903323262839</v>
      </c>
      <c r="L37" s="1013">
        <f t="shared" si="2"/>
        <v>48.571428571428569</v>
      </c>
      <c r="M37" s="903"/>
      <c r="N37" s="663"/>
      <c r="O37" s="516"/>
      <c r="P37" s="516"/>
      <c r="Q37" s="516"/>
      <c r="R37" s="516"/>
      <c r="S37" s="516"/>
      <c r="T37" s="516"/>
      <c r="U37" s="516"/>
      <c r="V37" s="516"/>
      <c r="W37" s="516"/>
      <c r="X37" s="516"/>
      <c r="Y37" s="516"/>
      <c r="Z37" s="516"/>
      <c r="AA37" s="516"/>
      <c r="AB37" s="516"/>
      <c r="AC37" s="516"/>
    </row>
    <row r="38" spans="1:29" s="517" customFormat="1" ht="31.5" hidden="1" customHeight="1">
      <c r="A38" s="522"/>
      <c r="B38" s="361" t="s">
        <v>219</v>
      </c>
      <c r="C38" s="1941" t="s">
        <v>26</v>
      </c>
      <c r="D38" s="523"/>
      <c r="E38" s="523"/>
      <c r="F38" s="523"/>
      <c r="G38" s="523"/>
      <c r="H38" s="523"/>
      <c r="I38" s="786"/>
      <c r="J38" s="786"/>
      <c r="K38" s="772"/>
      <c r="L38" s="772"/>
      <c r="M38" s="523"/>
      <c r="N38" s="663"/>
      <c r="O38" s="516"/>
      <c r="P38" s="516"/>
      <c r="Q38" s="516"/>
      <c r="R38" s="516"/>
      <c r="S38" s="516"/>
      <c r="T38" s="516"/>
      <c r="U38" s="516"/>
      <c r="V38" s="516"/>
      <c r="W38" s="516"/>
      <c r="X38" s="516"/>
      <c r="Y38" s="516"/>
      <c r="Z38" s="516"/>
      <c r="AA38" s="516"/>
      <c r="AB38" s="516"/>
      <c r="AC38" s="516"/>
    </row>
    <row r="39" spans="1:29" ht="15.75" customHeight="1">
      <c r="A39" s="645"/>
      <c r="B39" s="645"/>
      <c r="C39" s="645"/>
      <c r="D39" s="1942"/>
      <c r="E39" s="1942"/>
      <c r="F39" s="1942"/>
      <c r="G39" s="1942"/>
      <c r="H39" s="1942"/>
      <c r="I39" s="1942"/>
      <c r="J39" s="1942"/>
      <c r="K39" s="1942"/>
      <c r="L39" s="1942"/>
      <c r="M39" s="1942"/>
      <c r="N39" s="654"/>
      <c r="O39" s="404"/>
      <c r="P39" s="404"/>
      <c r="Q39" s="404"/>
      <c r="R39" s="404"/>
      <c r="S39" s="404"/>
      <c r="T39" s="404"/>
      <c r="U39" s="404"/>
      <c r="V39" s="404"/>
      <c r="W39" s="404"/>
      <c r="X39" s="404"/>
      <c r="Y39" s="404"/>
      <c r="Z39" s="404"/>
      <c r="AA39" s="404"/>
      <c r="AB39" s="404"/>
      <c r="AC39" s="404"/>
    </row>
    <row r="40" spans="1:29" ht="15.75" customHeight="1">
      <c r="A40" s="493"/>
      <c r="B40" s="493"/>
      <c r="C40" s="493"/>
      <c r="D40" s="1071"/>
      <c r="E40" s="1071"/>
      <c r="F40" s="1071"/>
      <c r="G40" s="1071"/>
      <c r="H40" s="1071"/>
      <c r="I40" s="1071"/>
      <c r="J40" s="1071"/>
      <c r="K40" s="1071"/>
      <c r="L40" s="1071"/>
      <c r="M40" s="1071"/>
      <c r="N40" s="654"/>
      <c r="O40" s="404"/>
      <c r="P40" s="404"/>
      <c r="Q40" s="404"/>
      <c r="R40" s="404"/>
      <c r="S40" s="404"/>
      <c r="T40" s="404"/>
      <c r="U40" s="404"/>
      <c r="V40" s="404"/>
      <c r="W40" s="404"/>
      <c r="X40" s="404"/>
      <c r="Y40" s="404"/>
      <c r="Z40" s="404"/>
      <c r="AA40" s="404"/>
      <c r="AB40" s="404"/>
      <c r="AC40" s="404"/>
    </row>
    <row r="41" spans="1:29" ht="15.75" customHeight="1">
      <c r="A41" s="493"/>
      <c r="B41" s="493"/>
      <c r="C41" s="493"/>
      <c r="D41" s="1071"/>
      <c r="E41" s="1071"/>
      <c r="F41" s="1071"/>
      <c r="G41" s="1071"/>
      <c r="H41" s="1071"/>
      <c r="I41" s="1071"/>
      <c r="J41" s="1071"/>
      <c r="K41" s="1071"/>
      <c r="L41" s="1071"/>
      <c r="M41" s="1071"/>
      <c r="N41" s="654"/>
      <c r="O41" s="404"/>
      <c r="P41" s="404"/>
      <c r="Q41" s="404"/>
      <c r="R41" s="404"/>
      <c r="S41" s="404"/>
      <c r="T41" s="404"/>
      <c r="U41" s="404"/>
      <c r="V41" s="404"/>
      <c r="W41" s="404"/>
      <c r="X41" s="404"/>
      <c r="Y41" s="404"/>
      <c r="Z41" s="404"/>
      <c r="AA41" s="404"/>
      <c r="AB41" s="404"/>
      <c r="AC41" s="404"/>
    </row>
    <row r="42" spans="1:29" ht="15.75" customHeight="1">
      <c r="A42" s="404"/>
      <c r="B42" s="404"/>
      <c r="C42" s="524"/>
      <c r="D42" s="478"/>
      <c r="E42" s="478"/>
      <c r="F42" s="478"/>
      <c r="G42" s="478"/>
      <c r="H42" s="478"/>
      <c r="I42" s="478"/>
      <c r="J42" s="478"/>
      <c r="K42" s="478"/>
      <c r="L42" s="478"/>
      <c r="M42" s="478"/>
      <c r="N42" s="654"/>
      <c r="O42" s="404"/>
      <c r="P42" s="404"/>
      <c r="Q42" s="404"/>
      <c r="R42" s="404"/>
      <c r="S42" s="404"/>
      <c r="T42" s="404"/>
      <c r="U42" s="404"/>
      <c r="V42" s="404"/>
      <c r="W42" s="404"/>
      <c r="X42" s="404"/>
      <c r="Y42" s="404"/>
      <c r="Z42" s="404"/>
      <c r="AA42" s="404"/>
      <c r="AB42" s="404"/>
      <c r="AC42" s="404"/>
    </row>
    <row r="43" spans="1:29" ht="15.75" customHeight="1">
      <c r="A43" s="404"/>
      <c r="B43" s="404"/>
      <c r="C43" s="524"/>
      <c r="D43" s="478"/>
      <c r="E43" s="478"/>
      <c r="F43" s="478"/>
      <c r="G43" s="478"/>
      <c r="H43" s="478"/>
      <c r="I43" s="478"/>
      <c r="J43" s="478"/>
      <c r="K43" s="478"/>
      <c r="L43" s="478"/>
      <c r="M43" s="478"/>
      <c r="N43" s="654"/>
      <c r="O43" s="404"/>
      <c r="P43" s="404"/>
      <c r="Q43" s="404"/>
      <c r="R43" s="404"/>
      <c r="S43" s="404"/>
      <c r="T43" s="404"/>
      <c r="U43" s="404"/>
      <c r="V43" s="404"/>
      <c r="W43" s="404"/>
      <c r="X43" s="404"/>
      <c r="Y43" s="404"/>
      <c r="Z43" s="404"/>
      <c r="AA43" s="404"/>
      <c r="AB43" s="404"/>
      <c r="AC43" s="404"/>
    </row>
    <row r="44" spans="1:29" ht="15.75" customHeight="1">
      <c r="A44" s="404"/>
      <c r="B44" s="404"/>
      <c r="C44" s="524"/>
      <c r="D44" s="478"/>
      <c r="E44" s="478"/>
      <c r="F44" s="478"/>
      <c r="G44" s="478"/>
      <c r="H44" s="478"/>
      <c r="I44" s="478"/>
      <c r="J44" s="478"/>
      <c r="K44" s="478"/>
      <c r="L44" s="478"/>
      <c r="M44" s="478"/>
      <c r="N44" s="654"/>
      <c r="O44" s="404"/>
      <c r="P44" s="404"/>
      <c r="Q44" s="404"/>
      <c r="R44" s="404"/>
      <c r="S44" s="404"/>
      <c r="T44" s="404"/>
      <c r="U44" s="404"/>
      <c r="V44" s="404"/>
      <c r="W44" s="404"/>
      <c r="X44" s="404"/>
      <c r="Y44" s="404"/>
      <c r="Z44" s="404"/>
      <c r="AA44" s="404"/>
      <c r="AB44" s="404"/>
      <c r="AC44" s="404"/>
    </row>
    <row r="45" spans="1:29" ht="15.75" customHeight="1">
      <c r="A45" s="404"/>
      <c r="B45" s="404"/>
      <c r="C45" s="494"/>
      <c r="D45" s="478"/>
      <c r="E45" s="478"/>
      <c r="F45" s="478"/>
      <c r="G45" s="478"/>
      <c r="H45" s="478"/>
      <c r="I45" s="478"/>
      <c r="J45" s="478"/>
      <c r="K45" s="478"/>
      <c r="L45" s="478"/>
      <c r="M45" s="478"/>
      <c r="N45" s="654"/>
      <c r="O45" s="404"/>
      <c r="P45" s="404"/>
      <c r="Q45" s="404"/>
      <c r="R45" s="404"/>
      <c r="S45" s="404"/>
      <c r="T45" s="404"/>
      <c r="U45" s="404"/>
      <c r="V45" s="404"/>
      <c r="W45" s="404"/>
      <c r="X45" s="404"/>
      <c r="Y45" s="404"/>
      <c r="Z45" s="404"/>
      <c r="AA45" s="404"/>
      <c r="AB45" s="404"/>
      <c r="AC45" s="404"/>
    </row>
    <row r="46" spans="1:29" ht="15.75" customHeight="1">
      <c r="A46" s="404"/>
      <c r="B46" s="404"/>
      <c r="C46" s="494"/>
      <c r="D46" s="478"/>
      <c r="E46" s="478"/>
      <c r="F46" s="478"/>
      <c r="G46" s="478"/>
      <c r="H46" s="478"/>
      <c r="I46" s="478"/>
      <c r="J46" s="478"/>
      <c r="K46" s="478"/>
      <c r="L46" s="478"/>
      <c r="M46" s="478"/>
      <c r="N46" s="654"/>
      <c r="O46" s="404"/>
      <c r="P46" s="404"/>
      <c r="Q46" s="404"/>
      <c r="R46" s="404"/>
      <c r="S46" s="404"/>
      <c r="T46" s="404"/>
      <c r="U46" s="404"/>
      <c r="V46" s="404"/>
      <c r="W46" s="404"/>
      <c r="X46" s="404"/>
      <c r="Y46" s="404"/>
      <c r="Z46" s="404"/>
      <c r="AA46" s="404"/>
      <c r="AB46" s="404"/>
      <c r="AC46" s="404"/>
    </row>
    <row r="47" spans="1:29" ht="15.75" customHeight="1">
      <c r="A47" s="404"/>
      <c r="B47" s="404"/>
      <c r="C47" s="494"/>
      <c r="D47" s="478"/>
      <c r="E47" s="478"/>
      <c r="F47" s="478"/>
      <c r="G47" s="478"/>
      <c r="H47" s="478"/>
      <c r="I47" s="478"/>
      <c r="J47" s="478"/>
      <c r="K47" s="478"/>
      <c r="L47" s="478"/>
      <c r="M47" s="478"/>
      <c r="N47" s="654"/>
      <c r="O47" s="404"/>
      <c r="P47" s="404"/>
      <c r="Q47" s="404"/>
      <c r="R47" s="404"/>
      <c r="S47" s="404"/>
      <c r="T47" s="404"/>
      <c r="U47" s="404"/>
      <c r="V47" s="404"/>
      <c r="W47" s="404"/>
      <c r="X47" s="404"/>
      <c r="Y47" s="404"/>
      <c r="Z47" s="404"/>
      <c r="AA47" s="404"/>
      <c r="AB47" s="404"/>
      <c r="AC47" s="404"/>
    </row>
    <row r="48" spans="1:29" ht="15.75" customHeight="1">
      <c r="A48" s="404"/>
      <c r="B48" s="404"/>
      <c r="C48" s="494"/>
      <c r="D48" s="478"/>
      <c r="E48" s="478"/>
      <c r="F48" s="478"/>
      <c r="G48" s="478"/>
      <c r="H48" s="478"/>
      <c r="I48" s="478"/>
      <c r="J48" s="478"/>
      <c r="K48" s="478"/>
      <c r="L48" s="478"/>
      <c r="M48" s="478"/>
      <c r="N48" s="654"/>
      <c r="O48" s="404"/>
      <c r="P48" s="404"/>
      <c r="Q48" s="404"/>
      <c r="R48" s="404"/>
      <c r="S48" s="404"/>
      <c r="T48" s="404"/>
      <c r="U48" s="404"/>
      <c r="V48" s="404"/>
      <c r="W48" s="404"/>
      <c r="X48" s="404"/>
      <c r="Y48" s="404"/>
      <c r="Z48" s="404"/>
      <c r="AA48" s="404"/>
      <c r="AB48" s="404"/>
      <c r="AC48" s="404"/>
    </row>
    <row r="49" spans="1:29" ht="15.75" customHeight="1">
      <c r="A49" s="404"/>
      <c r="B49" s="404"/>
      <c r="C49" s="494"/>
      <c r="D49" s="478"/>
      <c r="E49" s="478"/>
      <c r="F49" s="478"/>
      <c r="G49" s="478"/>
      <c r="H49" s="478"/>
      <c r="I49" s="478"/>
      <c r="J49" s="478"/>
      <c r="K49" s="478"/>
      <c r="L49" s="478"/>
      <c r="M49" s="478"/>
      <c r="N49" s="654"/>
      <c r="O49" s="404"/>
      <c r="P49" s="404"/>
      <c r="Q49" s="404"/>
      <c r="R49" s="404"/>
      <c r="S49" s="404"/>
      <c r="T49" s="404"/>
      <c r="U49" s="404"/>
      <c r="V49" s="404"/>
      <c r="W49" s="404"/>
      <c r="X49" s="404"/>
      <c r="Y49" s="404"/>
      <c r="Z49" s="404"/>
      <c r="AA49" s="404"/>
      <c r="AB49" s="404"/>
      <c r="AC49" s="404"/>
    </row>
    <row r="50" spans="1:29" ht="15.75" customHeight="1">
      <c r="A50" s="404"/>
      <c r="B50" s="404"/>
      <c r="C50" s="494"/>
      <c r="D50" s="478"/>
      <c r="E50" s="478"/>
      <c r="F50" s="478"/>
      <c r="G50" s="478"/>
      <c r="H50" s="478"/>
      <c r="I50" s="478"/>
      <c r="J50" s="478"/>
      <c r="K50" s="478"/>
      <c r="L50" s="478"/>
      <c r="M50" s="478"/>
      <c r="N50" s="654"/>
      <c r="O50" s="404"/>
      <c r="P50" s="404"/>
      <c r="Q50" s="404"/>
      <c r="R50" s="404"/>
      <c r="S50" s="404"/>
      <c r="T50" s="404"/>
      <c r="U50" s="404"/>
      <c r="V50" s="404"/>
      <c r="W50" s="404"/>
      <c r="X50" s="404"/>
      <c r="Y50" s="404"/>
      <c r="Z50" s="404"/>
      <c r="AA50" s="404"/>
      <c r="AB50" s="404"/>
      <c r="AC50" s="404"/>
    </row>
    <row r="51" spans="1:29" ht="15.75" customHeight="1">
      <c r="A51" s="404"/>
      <c r="B51" s="404"/>
      <c r="C51" s="494"/>
      <c r="D51" s="478"/>
      <c r="E51" s="478"/>
      <c r="F51" s="478"/>
      <c r="G51" s="478"/>
      <c r="H51" s="478"/>
      <c r="I51" s="478"/>
      <c r="J51" s="478"/>
      <c r="K51" s="478"/>
      <c r="L51" s="478"/>
      <c r="M51" s="478"/>
      <c r="N51" s="654"/>
      <c r="O51" s="404"/>
      <c r="P51" s="404"/>
      <c r="Q51" s="404"/>
      <c r="R51" s="404"/>
      <c r="S51" s="404"/>
      <c r="T51" s="404"/>
      <c r="U51" s="404"/>
      <c r="V51" s="404"/>
      <c r="W51" s="404"/>
      <c r="X51" s="404"/>
      <c r="Y51" s="404"/>
      <c r="Z51" s="404"/>
      <c r="AA51" s="404"/>
      <c r="AB51" s="404"/>
      <c r="AC51" s="404"/>
    </row>
    <row r="52" spans="1:29" ht="15.75" customHeight="1">
      <c r="A52" s="404"/>
      <c r="B52" s="404"/>
      <c r="C52" s="494"/>
      <c r="D52" s="478"/>
      <c r="E52" s="478"/>
      <c r="F52" s="478"/>
      <c r="G52" s="478"/>
      <c r="H52" s="478"/>
      <c r="I52" s="478"/>
      <c r="J52" s="478"/>
      <c r="K52" s="478"/>
      <c r="L52" s="478"/>
      <c r="M52" s="478"/>
      <c r="N52" s="654"/>
      <c r="O52" s="404"/>
      <c r="P52" s="404"/>
      <c r="Q52" s="404"/>
      <c r="R52" s="404"/>
      <c r="S52" s="404"/>
      <c r="T52" s="404"/>
      <c r="U52" s="404"/>
      <c r="V52" s="404"/>
      <c r="W52" s="404"/>
      <c r="X52" s="404"/>
      <c r="Y52" s="404"/>
      <c r="Z52" s="404"/>
      <c r="AA52" s="404"/>
      <c r="AB52" s="404"/>
      <c r="AC52" s="404"/>
    </row>
    <row r="53" spans="1:29" ht="15.75" customHeight="1">
      <c r="A53" s="404"/>
      <c r="B53" s="404"/>
      <c r="C53" s="494"/>
      <c r="D53" s="478"/>
      <c r="E53" s="478"/>
      <c r="F53" s="478"/>
      <c r="G53" s="478"/>
      <c r="H53" s="478"/>
      <c r="I53" s="478"/>
      <c r="J53" s="478"/>
      <c r="K53" s="478"/>
      <c r="L53" s="478"/>
      <c r="M53" s="478"/>
      <c r="N53" s="654"/>
      <c r="O53" s="404"/>
      <c r="P53" s="404"/>
      <c r="Q53" s="404"/>
      <c r="R53" s="404"/>
      <c r="S53" s="404"/>
      <c r="T53" s="404"/>
      <c r="U53" s="404"/>
      <c r="V53" s="404"/>
      <c r="W53" s="404"/>
      <c r="X53" s="404"/>
      <c r="Y53" s="404"/>
      <c r="Z53" s="404"/>
      <c r="AA53" s="404"/>
      <c r="AB53" s="404"/>
      <c r="AC53" s="404"/>
    </row>
    <row r="54" spans="1:29" ht="15.75" customHeight="1">
      <c r="A54" s="404"/>
      <c r="B54" s="404"/>
      <c r="C54" s="494"/>
      <c r="D54" s="478"/>
      <c r="E54" s="478"/>
      <c r="F54" s="478"/>
      <c r="G54" s="478"/>
      <c r="H54" s="478"/>
      <c r="I54" s="478"/>
      <c r="J54" s="478"/>
      <c r="K54" s="478"/>
      <c r="L54" s="478"/>
      <c r="M54" s="478"/>
      <c r="N54" s="654"/>
      <c r="O54" s="404"/>
      <c r="P54" s="404"/>
      <c r="Q54" s="404"/>
      <c r="R54" s="404"/>
      <c r="S54" s="404"/>
      <c r="T54" s="404"/>
      <c r="U54" s="404"/>
      <c r="V54" s="404"/>
      <c r="W54" s="404"/>
      <c r="X54" s="404"/>
      <c r="Y54" s="404"/>
      <c r="Z54" s="404"/>
      <c r="AA54" s="404"/>
      <c r="AB54" s="404"/>
      <c r="AC54" s="404"/>
    </row>
    <row r="55" spans="1:29" ht="15.75" customHeight="1">
      <c r="A55" s="404"/>
      <c r="B55" s="404"/>
      <c r="C55" s="494"/>
      <c r="D55" s="478"/>
      <c r="E55" s="478"/>
      <c r="F55" s="478"/>
      <c r="G55" s="478"/>
      <c r="H55" s="478"/>
      <c r="I55" s="478"/>
      <c r="J55" s="478"/>
      <c r="K55" s="478"/>
      <c r="L55" s="478"/>
      <c r="M55" s="478"/>
      <c r="N55" s="654"/>
      <c r="O55" s="404"/>
      <c r="P55" s="404"/>
      <c r="Q55" s="404"/>
      <c r="R55" s="404"/>
      <c r="S55" s="404"/>
      <c r="T55" s="404"/>
      <c r="U55" s="404"/>
      <c r="V55" s="404"/>
      <c r="W55" s="404"/>
      <c r="X55" s="404"/>
      <c r="Y55" s="404"/>
      <c r="Z55" s="404"/>
      <c r="AA55" s="404"/>
      <c r="AB55" s="404"/>
      <c r="AC55" s="404"/>
    </row>
    <row r="56" spans="1:29" ht="15.75" customHeight="1">
      <c r="A56" s="404"/>
      <c r="B56" s="404"/>
      <c r="C56" s="494"/>
      <c r="D56" s="478"/>
      <c r="E56" s="478"/>
      <c r="F56" s="478"/>
      <c r="G56" s="478"/>
      <c r="H56" s="478"/>
      <c r="I56" s="478"/>
      <c r="J56" s="478"/>
      <c r="K56" s="478"/>
      <c r="L56" s="478"/>
      <c r="M56" s="478"/>
      <c r="N56" s="654"/>
      <c r="O56" s="404"/>
      <c r="P56" s="404"/>
      <c r="Q56" s="404"/>
      <c r="R56" s="404"/>
      <c r="S56" s="404"/>
      <c r="T56" s="404"/>
      <c r="U56" s="404"/>
      <c r="V56" s="404"/>
      <c r="W56" s="404"/>
      <c r="X56" s="404"/>
      <c r="Y56" s="404"/>
      <c r="Z56" s="404"/>
      <c r="AA56" s="404"/>
      <c r="AB56" s="404"/>
      <c r="AC56" s="404"/>
    </row>
    <row r="57" spans="1:29" ht="15.75" customHeight="1">
      <c r="A57" s="404"/>
      <c r="B57" s="404"/>
      <c r="C57" s="494"/>
      <c r="D57" s="478"/>
      <c r="E57" s="478"/>
      <c r="F57" s="478"/>
      <c r="G57" s="478"/>
      <c r="H57" s="478"/>
      <c r="I57" s="478"/>
      <c r="J57" s="478"/>
      <c r="K57" s="478"/>
      <c r="L57" s="478"/>
      <c r="M57" s="478"/>
      <c r="N57" s="654"/>
      <c r="O57" s="404"/>
      <c r="P57" s="404"/>
      <c r="Q57" s="404"/>
      <c r="R57" s="404"/>
      <c r="S57" s="404"/>
      <c r="T57" s="404"/>
      <c r="U57" s="404"/>
      <c r="V57" s="404"/>
      <c r="W57" s="404"/>
      <c r="X57" s="404"/>
      <c r="Y57" s="404"/>
      <c r="Z57" s="404"/>
      <c r="AA57" s="404"/>
      <c r="AB57" s="404"/>
      <c r="AC57" s="404"/>
    </row>
    <row r="58" spans="1:29" ht="15.75" customHeight="1">
      <c r="A58" s="404"/>
      <c r="B58" s="404"/>
      <c r="C58" s="494"/>
      <c r="D58" s="478"/>
      <c r="E58" s="478"/>
      <c r="F58" s="478"/>
      <c r="G58" s="478"/>
      <c r="H58" s="478"/>
      <c r="I58" s="478"/>
      <c r="J58" s="478"/>
      <c r="K58" s="478"/>
      <c r="L58" s="478"/>
      <c r="M58" s="478"/>
      <c r="N58" s="654"/>
      <c r="O58" s="404"/>
      <c r="P58" s="404"/>
      <c r="Q58" s="404"/>
      <c r="R58" s="404"/>
      <c r="S58" s="404"/>
      <c r="T58" s="404"/>
      <c r="U58" s="404"/>
      <c r="V58" s="404"/>
      <c r="W58" s="404"/>
      <c r="X58" s="404"/>
      <c r="Y58" s="404"/>
      <c r="Z58" s="404"/>
      <c r="AA58" s="404"/>
      <c r="AB58" s="404"/>
      <c r="AC58" s="404"/>
    </row>
    <row r="59" spans="1:29" ht="15.75" customHeight="1">
      <c r="A59" s="404"/>
      <c r="B59" s="404"/>
      <c r="C59" s="494"/>
      <c r="D59" s="478"/>
      <c r="E59" s="478"/>
      <c r="F59" s="478"/>
      <c r="G59" s="478"/>
      <c r="H59" s="478"/>
      <c r="I59" s="478"/>
      <c r="J59" s="478"/>
      <c r="K59" s="478"/>
      <c r="L59" s="478"/>
      <c r="M59" s="478"/>
      <c r="N59" s="654"/>
      <c r="O59" s="404"/>
      <c r="P59" s="404"/>
      <c r="Q59" s="404"/>
      <c r="R59" s="404"/>
      <c r="S59" s="404"/>
      <c r="T59" s="404"/>
      <c r="U59" s="404"/>
      <c r="V59" s="404"/>
      <c r="W59" s="404"/>
      <c r="X59" s="404"/>
      <c r="Y59" s="404"/>
      <c r="Z59" s="404"/>
      <c r="AA59" s="404"/>
      <c r="AB59" s="404"/>
      <c r="AC59" s="404"/>
    </row>
    <row r="60" spans="1:29" ht="15.75" customHeight="1">
      <c r="A60" s="404"/>
      <c r="B60" s="404"/>
      <c r="C60" s="494"/>
      <c r="D60" s="478"/>
      <c r="E60" s="478"/>
      <c r="F60" s="478"/>
      <c r="G60" s="478"/>
      <c r="H60" s="478"/>
      <c r="I60" s="478"/>
      <c r="J60" s="478"/>
      <c r="K60" s="478"/>
      <c r="L60" s="478"/>
      <c r="M60" s="478"/>
      <c r="N60" s="654"/>
      <c r="O60" s="404"/>
      <c r="P60" s="404"/>
      <c r="Q60" s="404"/>
      <c r="R60" s="404"/>
      <c r="S60" s="404"/>
      <c r="T60" s="404"/>
      <c r="U60" s="404"/>
      <c r="V60" s="404"/>
      <c r="W60" s="404"/>
      <c r="X60" s="404"/>
      <c r="Y60" s="404"/>
      <c r="Z60" s="404"/>
      <c r="AA60" s="404"/>
      <c r="AB60" s="404"/>
      <c r="AC60" s="404"/>
    </row>
    <row r="61" spans="1:29" ht="15.75" customHeight="1">
      <c r="A61" s="404"/>
      <c r="B61" s="404"/>
      <c r="C61" s="494"/>
      <c r="D61" s="478"/>
      <c r="E61" s="478"/>
      <c r="F61" s="478"/>
      <c r="G61" s="478"/>
      <c r="H61" s="478"/>
      <c r="I61" s="478"/>
      <c r="J61" s="478"/>
      <c r="K61" s="478"/>
      <c r="L61" s="478"/>
      <c r="M61" s="478"/>
      <c r="N61" s="654"/>
      <c r="O61" s="404"/>
      <c r="P61" s="404"/>
      <c r="Q61" s="404"/>
      <c r="R61" s="404"/>
      <c r="S61" s="404"/>
      <c r="T61" s="404"/>
      <c r="U61" s="404"/>
      <c r="V61" s="404"/>
      <c r="W61" s="404"/>
      <c r="X61" s="404"/>
      <c r="Y61" s="404"/>
      <c r="Z61" s="404"/>
      <c r="AA61" s="404"/>
      <c r="AB61" s="404"/>
      <c r="AC61" s="404"/>
    </row>
    <row r="62" spans="1:29" ht="15.75" customHeight="1">
      <c r="A62" s="404"/>
      <c r="B62" s="404"/>
      <c r="C62" s="494"/>
      <c r="D62" s="478"/>
      <c r="E62" s="478"/>
      <c r="F62" s="478"/>
      <c r="G62" s="478"/>
      <c r="H62" s="478"/>
      <c r="I62" s="478"/>
      <c r="J62" s="478"/>
      <c r="K62" s="478"/>
      <c r="L62" s="478"/>
      <c r="M62" s="478"/>
      <c r="N62" s="654"/>
      <c r="O62" s="404"/>
      <c r="P62" s="404"/>
      <c r="Q62" s="404"/>
      <c r="R62" s="404"/>
      <c r="S62" s="404"/>
      <c r="T62" s="404"/>
      <c r="U62" s="404"/>
      <c r="V62" s="404"/>
      <c r="W62" s="404"/>
      <c r="X62" s="404"/>
      <c r="Y62" s="404"/>
      <c r="Z62" s="404"/>
      <c r="AA62" s="404"/>
      <c r="AB62" s="404"/>
      <c r="AC62" s="404"/>
    </row>
    <row r="63" spans="1:29" ht="15.75" customHeight="1">
      <c r="A63" s="404"/>
      <c r="B63" s="404"/>
      <c r="C63" s="494"/>
      <c r="D63" s="478"/>
      <c r="E63" s="478"/>
      <c r="F63" s="478"/>
      <c r="G63" s="478"/>
      <c r="H63" s="478"/>
      <c r="I63" s="478"/>
      <c r="J63" s="478"/>
      <c r="K63" s="478"/>
      <c r="L63" s="478"/>
      <c r="M63" s="478"/>
      <c r="N63" s="654"/>
      <c r="O63" s="404"/>
      <c r="P63" s="404"/>
      <c r="Q63" s="404"/>
      <c r="R63" s="404"/>
      <c r="S63" s="404"/>
      <c r="T63" s="404"/>
      <c r="U63" s="404"/>
      <c r="V63" s="404"/>
      <c r="W63" s="404"/>
      <c r="X63" s="404"/>
      <c r="Y63" s="404"/>
      <c r="Z63" s="404"/>
      <c r="AA63" s="404"/>
      <c r="AB63" s="404"/>
      <c r="AC63" s="404"/>
    </row>
    <row r="64" spans="1:29" ht="15.75" customHeight="1">
      <c r="A64" s="404"/>
      <c r="B64" s="404"/>
      <c r="C64" s="494"/>
      <c r="D64" s="478"/>
      <c r="E64" s="478"/>
      <c r="F64" s="478"/>
      <c r="G64" s="478"/>
      <c r="H64" s="478"/>
      <c r="I64" s="478"/>
      <c r="J64" s="478"/>
      <c r="K64" s="478"/>
      <c r="L64" s="478"/>
      <c r="M64" s="478"/>
      <c r="N64" s="654"/>
      <c r="O64" s="404"/>
      <c r="P64" s="404"/>
      <c r="Q64" s="404"/>
      <c r="R64" s="404"/>
      <c r="S64" s="404"/>
      <c r="T64" s="404"/>
      <c r="U64" s="404"/>
      <c r="V64" s="404"/>
      <c r="W64" s="404"/>
      <c r="X64" s="404"/>
      <c r="Y64" s="404"/>
      <c r="Z64" s="404"/>
      <c r="AA64" s="404"/>
      <c r="AB64" s="404"/>
      <c r="AC64" s="404"/>
    </row>
    <row r="65" spans="1:29" ht="15.75" customHeight="1">
      <c r="A65" s="404"/>
      <c r="B65" s="404"/>
      <c r="C65" s="494"/>
      <c r="D65" s="478"/>
      <c r="E65" s="478"/>
      <c r="F65" s="478"/>
      <c r="G65" s="478"/>
      <c r="H65" s="478"/>
      <c r="I65" s="478"/>
      <c r="J65" s="478"/>
      <c r="K65" s="478"/>
      <c r="L65" s="478"/>
      <c r="M65" s="478"/>
      <c r="N65" s="654"/>
      <c r="O65" s="404"/>
      <c r="P65" s="404"/>
      <c r="Q65" s="404"/>
      <c r="R65" s="404"/>
      <c r="S65" s="404"/>
      <c r="T65" s="404"/>
      <c r="U65" s="404"/>
      <c r="V65" s="404"/>
      <c r="W65" s="404"/>
      <c r="X65" s="404"/>
      <c r="Y65" s="404"/>
      <c r="Z65" s="404"/>
      <c r="AA65" s="404"/>
      <c r="AB65" s="404"/>
      <c r="AC65" s="404"/>
    </row>
    <row r="66" spans="1:29" ht="15.75" customHeight="1">
      <c r="A66" s="404"/>
      <c r="B66" s="404"/>
      <c r="C66" s="494"/>
      <c r="D66" s="478"/>
      <c r="E66" s="478"/>
      <c r="F66" s="478"/>
      <c r="G66" s="478"/>
      <c r="H66" s="478"/>
      <c r="I66" s="478"/>
      <c r="J66" s="478"/>
      <c r="K66" s="478"/>
      <c r="L66" s="478"/>
      <c r="M66" s="478"/>
      <c r="N66" s="654"/>
      <c r="O66" s="404"/>
      <c r="P66" s="404"/>
      <c r="Q66" s="404"/>
      <c r="R66" s="404"/>
      <c r="S66" s="404"/>
      <c r="T66" s="404"/>
      <c r="U66" s="404"/>
      <c r="V66" s="404"/>
      <c r="W66" s="404"/>
      <c r="X66" s="404"/>
      <c r="Y66" s="404"/>
      <c r="Z66" s="404"/>
      <c r="AA66" s="404"/>
      <c r="AB66" s="404"/>
      <c r="AC66" s="404"/>
    </row>
    <row r="67" spans="1:29" ht="15.75" customHeight="1">
      <c r="A67" s="404"/>
      <c r="B67" s="404"/>
      <c r="C67" s="494"/>
      <c r="D67" s="478"/>
      <c r="E67" s="478"/>
      <c r="F67" s="478"/>
      <c r="G67" s="478"/>
      <c r="H67" s="478"/>
      <c r="I67" s="478"/>
      <c r="J67" s="478"/>
      <c r="K67" s="478"/>
      <c r="L67" s="478"/>
      <c r="M67" s="478"/>
      <c r="N67" s="654"/>
      <c r="O67" s="404"/>
      <c r="P67" s="404"/>
      <c r="Q67" s="404"/>
      <c r="R67" s="404"/>
      <c r="S67" s="404"/>
      <c r="T67" s="404"/>
      <c r="U67" s="404"/>
      <c r="V67" s="404"/>
      <c r="W67" s="404"/>
      <c r="X67" s="404"/>
      <c r="Y67" s="404"/>
      <c r="Z67" s="404"/>
      <c r="AA67" s="404"/>
      <c r="AB67" s="404"/>
      <c r="AC67" s="404"/>
    </row>
    <row r="68" spans="1:29" ht="15.75" customHeight="1">
      <c r="A68" s="404"/>
      <c r="B68" s="404"/>
      <c r="C68" s="494"/>
      <c r="D68" s="478"/>
      <c r="E68" s="478"/>
      <c r="F68" s="478"/>
      <c r="G68" s="478"/>
      <c r="H68" s="478"/>
      <c r="I68" s="478"/>
      <c r="J68" s="478"/>
      <c r="K68" s="478"/>
      <c r="L68" s="478"/>
      <c r="M68" s="478"/>
      <c r="N68" s="654"/>
      <c r="O68" s="404"/>
      <c r="P68" s="404"/>
      <c r="Q68" s="404"/>
      <c r="R68" s="404"/>
      <c r="S68" s="404"/>
      <c r="T68" s="404"/>
      <c r="U68" s="404"/>
      <c r="V68" s="404"/>
      <c r="W68" s="404"/>
      <c r="X68" s="404"/>
      <c r="Y68" s="404"/>
      <c r="Z68" s="404"/>
      <c r="AA68" s="404"/>
      <c r="AB68" s="404"/>
      <c r="AC68" s="404"/>
    </row>
    <row r="69" spans="1:29" ht="15.75" customHeight="1">
      <c r="A69" s="404"/>
      <c r="B69" s="404"/>
      <c r="C69" s="494"/>
      <c r="D69" s="478"/>
      <c r="E69" s="478"/>
      <c r="F69" s="478"/>
      <c r="G69" s="478"/>
      <c r="H69" s="478"/>
      <c r="I69" s="478"/>
      <c r="J69" s="478"/>
      <c r="K69" s="478"/>
      <c r="L69" s="478"/>
      <c r="M69" s="478"/>
      <c r="N69" s="654"/>
      <c r="O69" s="404"/>
      <c r="P69" s="404"/>
      <c r="Q69" s="404"/>
      <c r="R69" s="404"/>
      <c r="S69" s="404"/>
      <c r="T69" s="404"/>
      <c r="U69" s="404"/>
      <c r="V69" s="404"/>
      <c r="W69" s="404"/>
      <c r="X69" s="404"/>
      <c r="Y69" s="404"/>
      <c r="Z69" s="404"/>
      <c r="AA69" s="404"/>
      <c r="AB69" s="404"/>
      <c r="AC69" s="404"/>
    </row>
    <row r="70" spans="1:29" ht="15.75" customHeight="1">
      <c r="A70" s="404"/>
      <c r="B70" s="404"/>
      <c r="C70" s="494"/>
      <c r="D70" s="478"/>
      <c r="E70" s="478"/>
      <c r="F70" s="478"/>
      <c r="G70" s="478"/>
      <c r="H70" s="478"/>
      <c r="I70" s="478"/>
      <c r="J70" s="478"/>
      <c r="K70" s="478"/>
      <c r="L70" s="478"/>
      <c r="M70" s="478"/>
      <c r="N70" s="654"/>
      <c r="O70" s="404"/>
      <c r="P70" s="404"/>
      <c r="Q70" s="404"/>
      <c r="R70" s="404"/>
      <c r="S70" s="404"/>
      <c r="T70" s="404"/>
      <c r="U70" s="404"/>
      <c r="V70" s="404"/>
      <c r="W70" s="404"/>
      <c r="X70" s="404"/>
      <c r="Y70" s="404"/>
      <c r="Z70" s="404"/>
      <c r="AA70" s="404"/>
      <c r="AB70" s="404"/>
      <c r="AC70" s="404"/>
    </row>
    <row r="71" spans="1:29" ht="15.75" customHeight="1">
      <c r="A71" s="404"/>
      <c r="B71" s="404"/>
      <c r="C71" s="494"/>
      <c r="D71" s="478"/>
      <c r="E71" s="478"/>
      <c r="F71" s="478"/>
      <c r="G71" s="478"/>
      <c r="H71" s="478"/>
      <c r="I71" s="478"/>
      <c r="J71" s="478"/>
      <c r="K71" s="478"/>
      <c r="L71" s="478"/>
      <c r="M71" s="478"/>
      <c r="N71" s="654"/>
      <c r="O71" s="404"/>
      <c r="P71" s="404"/>
      <c r="Q71" s="404"/>
      <c r="R71" s="404"/>
      <c r="S71" s="404"/>
      <c r="T71" s="404"/>
      <c r="U71" s="404"/>
      <c r="V71" s="404"/>
      <c r="W71" s="404"/>
      <c r="X71" s="404"/>
      <c r="Y71" s="404"/>
      <c r="Z71" s="404"/>
      <c r="AA71" s="404"/>
      <c r="AB71" s="404"/>
      <c r="AC71" s="404"/>
    </row>
    <row r="72" spans="1:29" ht="15.75" customHeight="1">
      <c r="A72" s="404"/>
      <c r="B72" s="404"/>
      <c r="C72" s="494"/>
      <c r="D72" s="478"/>
      <c r="E72" s="478"/>
      <c r="F72" s="478"/>
      <c r="G72" s="478"/>
      <c r="H72" s="478"/>
      <c r="I72" s="478"/>
      <c r="J72" s="478"/>
      <c r="K72" s="478"/>
      <c r="L72" s="478"/>
      <c r="M72" s="478"/>
      <c r="N72" s="654"/>
      <c r="O72" s="404"/>
      <c r="P72" s="404"/>
      <c r="Q72" s="404"/>
      <c r="R72" s="404"/>
      <c r="S72" s="404"/>
      <c r="T72" s="404"/>
      <c r="U72" s="404"/>
      <c r="V72" s="404"/>
      <c r="W72" s="404"/>
      <c r="X72" s="404"/>
      <c r="Y72" s="404"/>
      <c r="Z72" s="404"/>
      <c r="AA72" s="404"/>
      <c r="AB72" s="404"/>
      <c r="AC72" s="404"/>
    </row>
    <row r="73" spans="1:29" ht="15.75" customHeight="1">
      <c r="A73" s="404"/>
      <c r="B73" s="404"/>
      <c r="C73" s="494"/>
      <c r="D73" s="478"/>
      <c r="E73" s="478"/>
      <c r="F73" s="478"/>
      <c r="G73" s="478"/>
      <c r="H73" s="478"/>
      <c r="I73" s="478"/>
      <c r="J73" s="478"/>
      <c r="K73" s="478"/>
      <c r="L73" s="478"/>
      <c r="M73" s="478"/>
      <c r="N73" s="654"/>
      <c r="O73" s="404"/>
      <c r="P73" s="404"/>
      <c r="Q73" s="404"/>
      <c r="R73" s="404"/>
      <c r="S73" s="404"/>
      <c r="T73" s="404"/>
      <c r="U73" s="404"/>
      <c r="V73" s="404"/>
      <c r="W73" s="404"/>
      <c r="X73" s="404"/>
      <c r="Y73" s="404"/>
      <c r="Z73" s="404"/>
      <c r="AA73" s="404"/>
      <c r="AB73" s="404"/>
      <c r="AC73" s="404"/>
    </row>
    <row r="74" spans="1:29" ht="15.75" customHeight="1">
      <c r="A74" s="404"/>
      <c r="B74" s="404"/>
      <c r="C74" s="494"/>
      <c r="D74" s="478"/>
      <c r="E74" s="478"/>
      <c r="F74" s="478"/>
      <c r="G74" s="478"/>
      <c r="H74" s="478"/>
      <c r="I74" s="478"/>
      <c r="J74" s="478"/>
      <c r="K74" s="478"/>
      <c r="L74" s="478"/>
      <c r="M74" s="478"/>
      <c r="N74" s="654"/>
      <c r="O74" s="404"/>
      <c r="P74" s="404"/>
      <c r="Q74" s="404"/>
      <c r="R74" s="404"/>
      <c r="S74" s="404"/>
      <c r="T74" s="404"/>
      <c r="U74" s="404"/>
      <c r="V74" s="404"/>
      <c r="W74" s="404"/>
      <c r="X74" s="404"/>
      <c r="Y74" s="404"/>
      <c r="Z74" s="404"/>
      <c r="AA74" s="404"/>
      <c r="AB74" s="404"/>
      <c r="AC74" s="404"/>
    </row>
    <row r="75" spans="1:29" ht="15.75" customHeight="1">
      <c r="A75" s="404"/>
      <c r="B75" s="404"/>
      <c r="C75" s="494"/>
      <c r="D75" s="478"/>
      <c r="E75" s="478"/>
      <c r="F75" s="478"/>
      <c r="G75" s="478"/>
      <c r="H75" s="478"/>
      <c r="I75" s="478"/>
      <c r="J75" s="478"/>
      <c r="K75" s="478"/>
      <c r="L75" s="478"/>
      <c r="M75" s="478"/>
      <c r="N75" s="654"/>
      <c r="O75" s="404"/>
      <c r="P75" s="404"/>
      <c r="Q75" s="404"/>
      <c r="R75" s="404"/>
      <c r="S75" s="404"/>
      <c r="T75" s="404"/>
      <c r="U75" s="404"/>
      <c r="V75" s="404"/>
      <c r="W75" s="404"/>
      <c r="X75" s="404"/>
      <c r="Y75" s="404"/>
      <c r="Z75" s="404"/>
      <c r="AA75" s="404"/>
      <c r="AB75" s="404"/>
      <c r="AC75" s="404"/>
    </row>
    <row r="76" spans="1:29" ht="15.75" customHeight="1">
      <c r="A76" s="404"/>
      <c r="B76" s="404"/>
      <c r="C76" s="494"/>
      <c r="D76" s="478"/>
      <c r="E76" s="478"/>
      <c r="F76" s="478"/>
      <c r="G76" s="478"/>
      <c r="H76" s="478"/>
      <c r="I76" s="478"/>
      <c r="J76" s="478"/>
      <c r="K76" s="478"/>
      <c r="L76" s="478"/>
      <c r="M76" s="478"/>
      <c r="N76" s="654"/>
      <c r="O76" s="404"/>
      <c r="P76" s="404"/>
      <c r="Q76" s="404"/>
      <c r="R76" s="404"/>
      <c r="S76" s="404"/>
      <c r="T76" s="404"/>
      <c r="U76" s="404"/>
      <c r="V76" s="404"/>
      <c r="W76" s="404"/>
      <c r="X76" s="404"/>
      <c r="Y76" s="404"/>
      <c r="Z76" s="404"/>
      <c r="AA76" s="404"/>
      <c r="AB76" s="404"/>
      <c r="AC76" s="404"/>
    </row>
    <row r="77" spans="1:29" ht="15.75" customHeight="1">
      <c r="A77" s="404"/>
      <c r="B77" s="404"/>
      <c r="C77" s="494"/>
      <c r="D77" s="478"/>
      <c r="E77" s="478"/>
      <c r="F77" s="478"/>
      <c r="G77" s="478"/>
      <c r="H77" s="478"/>
      <c r="I77" s="478"/>
      <c r="J77" s="478"/>
      <c r="K77" s="478"/>
      <c r="L77" s="478"/>
      <c r="M77" s="478"/>
      <c r="N77" s="654"/>
      <c r="O77" s="404"/>
      <c r="P77" s="404"/>
      <c r="Q77" s="404"/>
      <c r="R77" s="404"/>
      <c r="S77" s="404"/>
      <c r="T77" s="404"/>
      <c r="U77" s="404"/>
      <c r="V77" s="404"/>
      <c r="W77" s="404"/>
      <c r="X77" s="404"/>
      <c r="Y77" s="404"/>
      <c r="Z77" s="404"/>
      <c r="AA77" s="404"/>
      <c r="AB77" s="404"/>
      <c r="AC77" s="404"/>
    </row>
    <row r="78" spans="1:29" ht="15.75" customHeight="1">
      <c r="A78" s="404"/>
      <c r="B78" s="404"/>
      <c r="C78" s="494"/>
      <c r="D78" s="478"/>
      <c r="E78" s="478"/>
      <c r="F78" s="478"/>
      <c r="G78" s="478"/>
      <c r="H78" s="478"/>
      <c r="I78" s="478"/>
      <c r="J78" s="478"/>
      <c r="K78" s="478"/>
      <c r="L78" s="478"/>
      <c r="M78" s="478"/>
      <c r="N78" s="654"/>
      <c r="O78" s="404"/>
      <c r="P78" s="404"/>
      <c r="Q78" s="404"/>
      <c r="R78" s="404"/>
      <c r="S78" s="404"/>
      <c r="T78" s="404"/>
      <c r="U78" s="404"/>
      <c r="V78" s="404"/>
      <c r="W78" s="404"/>
      <c r="X78" s="404"/>
      <c r="Y78" s="404"/>
      <c r="Z78" s="404"/>
      <c r="AA78" s="404"/>
      <c r="AB78" s="404"/>
      <c r="AC78" s="404"/>
    </row>
    <row r="79" spans="1:29" ht="15.75" customHeight="1">
      <c r="A79" s="404"/>
      <c r="B79" s="404"/>
      <c r="C79" s="494"/>
      <c r="D79" s="478"/>
      <c r="E79" s="478"/>
      <c r="F79" s="478"/>
      <c r="G79" s="478"/>
      <c r="H79" s="478"/>
      <c r="I79" s="478"/>
      <c r="J79" s="478"/>
      <c r="K79" s="478"/>
      <c r="L79" s="478"/>
      <c r="M79" s="478"/>
      <c r="N79" s="654"/>
      <c r="O79" s="404"/>
      <c r="P79" s="404"/>
      <c r="Q79" s="404"/>
      <c r="R79" s="404"/>
      <c r="S79" s="404"/>
      <c r="T79" s="404"/>
      <c r="U79" s="404"/>
      <c r="V79" s="404"/>
      <c r="W79" s="404"/>
      <c r="X79" s="404"/>
      <c r="Y79" s="404"/>
      <c r="Z79" s="404"/>
      <c r="AA79" s="404"/>
      <c r="AB79" s="404"/>
      <c r="AC79" s="404"/>
    </row>
    <row r="80" spans="1:29" ht="15.75" customHeight="1">
      <c r="A80" s="404"/>
      <c r="B80" s="404"/>
      <c r="C80" s="494"/>
      <c r="D80" s="478"/>
      <c r="E80" s="478"/>
      <c r="F80" s="478"/>
      <c r="G80" s="478"/>
      <c r="H80" s="478"/>
      <c r="I80" s="478"/>
      <c r="J80" s="478"/>
      <c r="K80" s="478"/>
      <c r="L80" s="478"/>
      <c r="M80" s="478"/>
      <c r="N80" s="654"/>
      <c r="O80" s="404"/>
      <c r="P80" s="404"/>
      <c r="Q80" s="404"/>
      <c r="R80" s="404"/>
      <c r="S80" s="404"/>
      <c r="T80" s="404"/>
      <c r="U80" s="404"/>
      <c r="V80" s="404"/>
      <c r="W80" s="404"/>
      <c r="X80" s="404"/>
      <c r="Y80" s="404"/>
      <c r="Z80" s="404"/>
      <c r="AA80" s="404"/>
      <c r="AB80" s="404"/>
      <c r="AC80" s="404"/>
    </row>
    <row r="81" spans="1:29" ht="15.75" customHeight="1">
      <c r="A81" s="404"/>
      <c r="B81" s="404"/>
      <c r="C81" s="494"/>
      <c r="D81" s="478"/>
      <c r="E81" s="478"/>
      <c r="F81" s="478"/>
      <c r="G81" s="478"/>
      <c r="H81" s="478"/>
      <c r="I81" s="478"/>
      <c r="J81" s="478"/>
      <c r="K81" s="478"/>
      <c r="L81" s="478"/>
      <c r="M81" s="478"/>
      <c r="N81" s="654"/>
      <c r="O81" s="404"/>
      <c r="P81" s="404"/>
      <c r="Q81" s="404"/>
      <c r="R81" s="404"/>
      <c r="S81" s="404"/>
      <c r="T81" s="404"/>
      <c r="U81" s="404"/>
      <c r="V81" s="404"/>
      <c r="W81" s="404"/>
      <c r="X81" s="404"/>
      <c r="Y81" s="404"/>
      <c r="Z81" s="404"/>
      <c r="AA81" s="404"/>
      <c r="AB81" s="404"/>
      <c r="AC81" s="404"/>
    </row>
    <row r="82" spans="1:29" ht="15.75" customHeight="1">
      <c r="A82" s="404"/>
      <c r="B82" s="404"/>
      <c r="C82" s="494"/>
      <c r="D82" s="478"/>
      <c r="E82" s="478"/>
      <c r="F82" s="478"/>
      <c r="G82" s="478"/>
      <c r="H82" s="478"/>
      <c r="I82" s="478"/>
      <c r="J82" s="478"/>
      <c r="K82" s="478"/>
      <c r="L82" s="478"/>
      <c r="M82" s="478"/>
      <c r="N82" s="654"/>
      <c r="O82" s="404"/>
      <c r="P82" s="404"/>
      <c r="Q82" s="404"/>
      <c r="R82" s="404"/>
      <c r="S82" s="404"/>
      <c r="T82" s="404"/>
      <c r="U82" s="404"/>
      <c r="V82" s="404"/>
      <c r="W82" s="404"/>
      <c r="X82" s="404"/>
      <c r="Y82" s="404"/>
      <c r="Z82" s="404"/>
      <c r="AA82" s="404"/>
      <c r="AB82" s="404"/>
      <c r="AC82" s="404"/>
    </row>
    <row r="83" spans="1:29" ht="15.75" customHeight="1">
      <c r="A83" s="404"/>
      <c r="B83" s="404"/>
      <c r="C83" s="494"/>
      <c r="D83" s="478"/>
      <c r="E83" s="478"/>
      <c r="F83" s="478"/>
      <c r="G83" s="478"/>
      <c r="H83" s="478"/>
      <c r="I83" s="478"/>
      <c r="J83" s="478"/>
      <c r="K83" s="478"/>
      <c r="L83" s="478"/>
      <c r="M83" s="478"/>
      <c r="N83" s="654"/>
      <c r="O83" s="404"/>
      <c r="P83" s="404"/>
      <c r="Q83" s="404"/>
      <c r="R83" s="404"/>
      <c r="S83" s="404"/>
      <c r="T83" s="404"/>
      <c r="U83" s="404"/>
      <c r="V83" s="404"/>
      <c r="W83" s="404"/>
      <c r="X83" s="404"/>
      <c r="Y83" s="404"/>
      <c r="Z83" s="404"/>
      <c r="AA83" s="404"/>
      <c r="AB83" s="404"/>
      <c r="AC83" s="404"/>
    </row>
    <row r="84" spans="1:29" ht="15.75" customHeight="1">
      <c r="A84" s="404"/>
      <c r="B84" s="404"/>
      <c r="C84" s="494"/>
      <c r="D84" s="478"/>
      <c r="E84" s="478"/>
      <c r="F84" s="478"/>
      <c r="G84" s="478"/>
      <c r="H84" s="478"/>
      <c r="I84" s="478"/>
      <c r="J84" s="478"/>
      <c r="K84" s="478"/>
      <c r="L84" s="478"/>
      <c r="M84" s="478"/>
      <c r="N84" s="654"/>
      <c r="O84" s="404"/>
      <c r="P84" s="404"/>
      <c r="Q84" s="404"/>
      <c r="R84" s="404"/>
      <c r="S84" s="404"/>
      <c r="T84" s="404"/>
      <c r="U84" s="404"/>
      <c r="V84" s="404"/>
      <c r="W84" s="404"/>
      <c r="X84" s="404"/>
      <c r="Y84" s="404"/>
      <c r="Z84" s="404"/>
      <c r="AA84" s="404"/>
      <c r="AB84" s="404"/>
      <c r="AC84" s="404"/>
    </row>
    <row r="85" spans="1:29" ht="15.75" customHeight="1">
      <c r="A85" s="404"/>
      <c r="B85" s="404"/>
      <c r="C85" s="494"/>
      <c r="D85" s="478"/>
      <c r="E85" s="478"/>
      <c r="F85" s="478"/>
      <c r="G85" s="478"/>
      <c r="H85" s="478"/>
      <c r="I85" s="478"/>
      <c r="J85" s="478"/>
      <c r="K85" s="478"/>
      <c r="L85" s="478"/>
      <c r="M85" s="478"/>
      <c r="N85" s="654"/>
      <c r="O85" s="404"/>
      <c r="P85" s="404"/>
      <c r="Q85" s="404"/>
      <c r="R85" s="404"/>
      <c r="S85" s="404"/>
      <c r="T85" s="404"/>
      <c r="U85" s="404"/>
      <c r="V85" s="404"/>
      <c r="W85" s="404"/>
      <c r="X85" s="404"/>
      <c r="Y85" s="404"/>
      <c r="Z85" s="404"/>
      <c r="AA85" s="404"/>
      <c r="AB85" s="404"/>
      <c r="AC85" s="404"/>
    </row>
    <row r="86" spans="1:29" ht="15.75" customHeight="1">
      <c r="A86" s="404"/>
      <c r="B86" s="404"/>
      <c r="C86" s="494"/>
      <c r="D86" s="478"/>
      <c r="E86" s="478"/>
      <c r="F86" s="478"/>
      <c r="G86" s="478"/>
      <c r="H86" s="478"/>
      <c r="I86" s="478"/>
      <c r="J86" s="478"/>
      <c r="K86" s="478"/>
      <c r="L86" s="478"/>
      <c r="M86" s="478"/>
      <c r="N86" s="654"/>
      <c r="O86" s="404"/>
      <c r="P86" s="404"/>
      <c r="Q86" s="404"/>
      <c r="R86" s="404"/>
      <c r="S86" s="404"/>
      <c r="T86" s="404"/>
      <c r="U86" s="404"/>
      <c r="V86" s="404"/>
      <c r="W86" s="404"/>
      <c r="X86" s="404"/>
      <c r="Y86" s="404"/>
      <c r="Z86" s="404"/>
      <c r="AA86" s="404"/>
      <c r="AB86" s="404"/>
      <c r="AC86" s="404"/>
    </row>
    <row r="87" spans="1:29" ht="15.75" customHeight="1">
      <c r="A87" s="404"/>
      <c r="B87" s="404"/>
      <c r="C87" s="494"/>
      <c r="D87" s="478"/>
      <c r="E87" s="478"/>
      <c r="F87" s="478"/>
      <c r="G87" s="478"/>
      <c r="H87" s="478"/>
      <c r="I87" s="478"/>
      <c r="J87" s="478"/>
      <c r="K87" s="478"/>
      <c r="L87" s="478"/>
      <c r="M87" s="478"/>
      <c r="N87" s="654"/>
      <c r="O87" s="404"/>
      <c r="P87" s="404"/>
      <c r="Q87" s="404"/>
      <c r="R87" s="404"/>
      <c r="S87" s="404"/>
      <c r="T87" s="404"/>
      <c r="U87" s="404"/>
      <c r="V87" s="404"/>
      <c r="W87" s="404"/>
      <c r="X87" s="404"/>
      <c r="Y87" s="404"/>
      <c r="Z87" s="404"/>
      <c r="AA87" s="404"/>
      <c r="AB87" s="404"/>
      <c r="AC87" s="404"/>
    </row>
    <row r="88" spans="1:29" ht="15.75" customHeight="1">
      <c r="A88" s="404"/>
      <c r="B88" s="404"/>
      <c r="C88" s="494"/>
      <c r="D88" s="478"/>
      <c r="E88" s="478"/>
      <c r="F88" s="478"/>
      <c r="G88" s="478"/>
      <c r="H88" s="478"/>
      <c r="I88" s="478"/>
      <c r="J88" s="478"/>
      <c r="K88" s="478"/>
      <c r="L88" s="478"/>
      <c r="M88" s="478"/>
      <c r="N88" s="654"/>
      <c r="O88" s="404"/>
      <c r="P88" s="404"/>
      <c r="Q88" s="404"/>
      <c r="R88" s="404"/>
      <c r="S88" s="404"/>
      <c r="T88" s="404"/>
      <c r="U88" s="404"/>
      <c r="V88" s="404"/>
      <c r="W88" s="404"/>
      <c r="X88" s="404"/>
      <c r="Y88" s="404"/>
      <c r="Z88" s="404"/>
      <c r="AA88" s="404"/>
      <c r="AB88" s="404"/>
      <c r="AC88" s="404"/>
    </row>
    <row r="89" spans="1:29" ht="15.75" customHeight="1">
      <c r="A89" s="404"/>
      <c r="B89" s="404"/>
      <c r="C89" s="494"/>
      <c r="D89" s="478"/>
      <c r="E89" s="478"/>
      <c r="F89" s="478"/>
      <c r="G89" s="478"/>
      <c r="H89" s="478"/>
      <c r="I89" s="478"/>
      <c r="J89" s="478"/>
      <c r="K89" s="478"/>
      <c r="L89" s="478"/>
      <c r="M89" s="478"/>
      <c r="N89" s="654"/>
      <c r="O89" s="404"/>
      <c r="P89" s="404"/>
      <c r="Q89" s="404"/>
      <c r="R89" s="404"/>
      <c r="S89" s="404"/>
      <c r="T89" s="404"/>
      <c r="U89" s="404"/>
      <c r="V89" s="404"/>
      <c r="W89" s="404"/>
      <c r="X89" s="404"/>
      <c r="Y89" s="404"/>
      <c r="Z89" s="404"/>
      <c r="AA89" s="404"/>
      <c r="AB89" s="404"/>
      <c r="AC89" s="404"/>
    </row>
    <row r="90" spans="1:29" ht="15.75" customHeight="1">
      <c r="A90" s="404"/>
      <c r="B90" s="404"/>
      <c r="C90" s="494"/>
      <c r="D90" s="478"/>
      <c r="E90" s="478"/>
      <c r="F90" s="478"/>
      <c r="G90" s="478"/>
      <c r="H90" s="478"/>
      <c r="I90" s="478"/>
      <c r="J90" s="478"/>
      <c r="K90" s="478"/>
      <c r="L90" s="478"/>
      <c r="M90" s="478"/>
      <c r="N90" s="654"/>
      <c r="O90" s="404"/>
      <c r="P90" s="404"/>
      <c r="Q90" s="404"/>
      <c r="R90" s="404"/>
      <c r="S90" s="404"/>
      <c r="T90" s="404"/>
      <c r="U90" s="404"/>
      <c r="V90" s="404"/>
      <c r="W90" s="404"/>
      <c r="X90" s="404"/>
      <c r="Y90" s="404"/>
      <c r="Z90" s="404"/>
      <c r="AA90" s="404"/>
      <c r="AB90" s="404"/>
      <c r="AC90" s="404"/>
    </row>
    <row r="91" spans="1:29" ht="15.75" customHeight="1">
      <c r="A91" s="404"/>
      <c r="B91" s="404"/>
      <c r="C91" s="494"/>
      <c r="D91" s="478"/>
      <c r="E91" s="478"/>
      <c r="F91" s="478"/>
      <c r="G91" s="478"/>
      <c r="H91" s="478"/>
      <c r="I91" s="478"/>
      <c r="J91" s="478"/>
      <c r="K91" s="478"/>
      <c r="L91" s="478"/>
      <c r="M91" s="478"/>
      <c r="N91" s="654"/>
      <c r="O91" s="404"/>
      <c r="P91" s="404"/>
      <c r="Q91" s="404"/>
      <c r="R91" s="404"/>
      <c r="S91" s="404"/>
      <c r="T91" s="404"/>
      <c r="U91" s="404"/>
      <c r="V91" s="404"/>
      <c r="W91" s="404"/>
      <c r="X91" s="404"/>
      <c r="Y91" s="404"/>
      <c r="Z91" s="404"/>
      <c r="AA91" s="404"/>
      <c r="AB91" s="404"/>
      <c r="AC91" s="404"/>
    </row>
    <row r="92" spans="1:29" ht="15.75" customHeight="1">
      <c r="A92" s="404"/>
      <c r="B92" s="404"/>
      <c r="C92" s="494"/>
      <c r="D92" s="478"/>
      <c r="E92" s="478"/>
      <c r="F92" s="478"/>
      <c r="G92" s="478"/>
      <c r="H92" s="478"/>
      <c r="I92" s="478"/>
      <c r="J92" s="478"/>
      <c r="K92" s="478"/>
      <c r="L92" s="478"/>
      <c r="M92" s="478"/>
      <c r="N92" s="654"/>
      <c r="O92" s="404"/>
      <c r="P92" s="404"/>
      <c r="Q92" s="404"/>
      <c r="R92" s="404"/>
      <c r="S92" s="404"/>
      <c r="T92" s="404"/>
      <c r="U92" s="404"/>
      <c r="V92" s="404"/>
      <c r="W92" s="404"/>
      <c r="X92" s="404"/>
      <c r="Y92" s="404"/>
      <c r="Z92" s="404"/>
      <c r="AA92" s="404"/>
      <c r="AB92" s="404"/>
      <c r="AC92" s="404"/>
    </row>
    <row r="93" spans="1:29" ht="15.75" customHeight="1">
      <c r="A93" s="404"/>
      <c r="B93" s="404"/>
      <c r="C93" s="494"/>
      <c r="D93" s="478"/>
      <c r="E93" s="478"/>
      <c r="F93" s="478"/>
      <c r="G93" s="478"/>
      <c r="H93" s="478"/>
      <c r="I93" s="478"/>
      <c r="J93" s="478"/>
      <c r="K93" s="478"/>
      <c r="L93" s="478"/>
      <c r="M93" s="478"/>
      <c r="N93" s="654"/>
      <c r="O93" s="404"/>
      <c r="P93" s="404"/>
      <c r="Q93" s="404"/>
      <c r="R93" s="404"/>
      <c r="S93" s="404"/>
      <c r="T93" s="404"/>
      <c r="U93" s="404"/>
      <c r="V93" s="404"/>
      <c r="W93" s="404"/>
      <c r="X93" s="404"/>
      <c r="Y93" s="404"/>
      <c r="Z93" s="404"/>
      <c r="AA93" s="404"/>
      <c r="AB93" s="404"/>
      <c r="AC93" s="404"/>
    </row>
    <row r="94" spans="1:29" ht="15.75" customHeight="1">
      <c r="A94" s="404"/>
      <c r="B94" s="404"/>
      <c r="C94" s="494"/>
      <c r="D94" s="478"/>
      <c r="E94" s="478"/>
      <c r="F94" s="478"/>
      <c r="G94" s="478"/>
      <c r="H94" s="478"/>
      <c r="I94" s="478"/>
      <c r="J94" s="478"/>
      <c r="K94" s="478"/>
      <c r="L94" s="478"/>
      <c r="M94" s="478"/>
      <c r="N94" s="654"/>
      <c r="O94" s="404"/>
      <c r="P94" s="404"/>
      <c r="Q94" s="404"/>
      <c r="R94" s="404"/>
      <c r="S94" s="404"/>
      <c r="T94" s="404"/>
      <c r="U94" s="404"/>
      <c r="V94" s="404"/>
      <c r="W94" s="404"/>
      <c r="X94" s="404"/>
      <c r="Y94" s="404"/>
      <c r="Z94" s="404"/>
      <c r="AA94" s="404"/>
      <c r="AB94" s="404"/>
      <c r="AC94" s="404"/>
    </row>
    <row r="95" spans="1:29" ht="15.75" customHeight="1">
      <c r="A95" s="404"/>
      <c r="B95" s="404"/>
      <c r="C95" s="494"/>
      <c r="D95" s="478"/>
      <c r="E95" s="478"/>
      <c r="F95" s="478"/>
      <c r="G95" s="478"/>
      <c r="H95" s="478"/>
      <c r="I95" s="478"/>
      <c r="J95" s="478"/>
      <c r="K95" s="478"/>
      <c r="L95" s="478"/>
      <c r="M95" s="478"/>
      <c r="N95" s="654"/>
      <c r="O95" s="404"/>
      <c r="P95" s="404"/>
      <c r="Q95" s="404"/>
      <c r="R95" s="404"/>
      <c r="S95" s="404"/>
      <c r="T95" s="404"/>
      <c r="U95" s="404"/>
      <c r="V95" s="404"/>
      <c r="W95" s="404"/>
      <c r="X95" s="404"/>
      <c r="Y95" s="404"/>
      <c r="Z95" s="404"/>
      <c r="AA95" s="404"/>
      <c r="AB95" s="404"/>
      <c r="AC95" s="404"/>
    </row>
    <row r="96" spans="1:29" ht="15.75" customHeight="1">
      <c r="A96" s="404"/>
      <c r="B96" s="404"/>
      <c r="C96" s="494"/>
      <c r="D96" s="478"/>
      <c r="E96" s="478"/>
      <c r="F96" s="478"/>
      <c r="G96" s="478"/>
      <c r="H96" s="478"/>
      <c r="I96" s="478"/>
      <c r="J96" s="478"/>
      <c r="K96" s="478"/>
      <c r="L96" s="478"/>
      <c r="M96" s="478"/>
      <c r="N96" s="654"/>
      <c r="O96" s="404"/>
      <c r="P96" s="404"/>
      <c r="Q96" s="404"/>
      <c r="R96" s="404"/>
      <c r="S96" s="404"/>
      <c r="T96" s="404"/>
      <c r="U96" s="404"/>
      <c r="V96" s="404"/>
      <c r="W96" s="404"/>
      <c r="X96" s="404"/>
      <c r="Y96" s="404"/>
      <c r="Z96" s="404"/>
      <c r="AA96" s="404"/>
      <c r="AB96" s="404"/>
      <c r="AC96" s="404"/>
    </row>
    <row r="97" spans="1:50" ht="15.75" customHeight="1">
      <c r="A97" s="404"/>
      <c r="B97" s="404"/>
      <c r="C97" s="494"/>
      <c r="D97" s="478"/>
      <c r="E97" s="478"/>
      <c r="F97" s="478"/>
      <c r="G97" s="478"/>
      <c r="H97" s="478"/>
      <c r="I97" s="478"/>
      <c r="J97" s="478"/>
      <c r="K97" s="478"/>
      <c r="L97" s="478"/>
      <c r="M97" s="478"/>
      <c r="N97" s="654"/>
      <c r="O97" s="404"/>
      <c r="P97" s="404"/>
      <c r="Q97" s="404"/>
      <c r="R97" s="404"/>
      <c r="S97" s="404"/>
      <c r="T97" s="404"/>
      <c r="U97" s="404"/>
      <c r="V97" s="404"/>
      <c r="W97" s="404"/>
      <c r="X97" s="404"/>
      <c r="Y97" s="404"/>
      <c r="Z97" s="404"/>
      <c r="AA97" s="404"/>
      <c r="AB97" s="404"/>
      <c r="AC97" s="404"/>
    </row>
    <row r="98" spans="1:50" ht="15.75" customHeight="1">
      <c r="A98" s="404"/>
      <c r="B98" s="404"/>
      <c r="C98" s="494"/>
      <c r="D98" s="478"/>
      <c r="E98" s="478"/>
      <c r="F98" s="478"/>
      <c r="G98" s="478"/>
      <c r="H98" s="478"/>
      <c r="I98" s="478"/>
      <c r="J98" s="478"/>
      <c r="K98" s="478"/>
      <c r="L98" s="478"/>
      <c r="M98" s="478"/>
      <c r="N98" s="654"/>
      <c r="O98" s="404"/>
      <c r="P98" s="404"/>
      <c r="Q98" s="404"/>
      <c r="R98" s="404"/>
      <c r="S98" s="404"/>
      <c r="T98" s="404"/>
      <c r="U98" s="404"/>
      <c r="V98" s="404"/>
      <c r="W98" s="404"/>
      <c r="X98" s="404"/>
      <c r="Y98" s="404"/>
      <c r="Z98" s="404"/>
      <c r="AA98" s="404"/>
      <c r="AB98" s="404"/>
      <c r="AC98" s="404"/>
    </row>
    <row r="99" spans="1:50" ht="15.75" customHeight="1">
      <c r="A99" s="404"/>
      <c r="B99" s="404"/>
      <c r="C99" s="494"/>
      <c r="D99" s="478"/>
      <c r="E99" s="478"/>
      <c r="F99" s="478"/>
      <c r="G99" s="478"/>
      <c r="H99" s="478"/>
      <c r="I99" s="478"/>
      <c r="J99" s="478"/>
      <c r="K99" s="478"/>
      <c r="L99" s="478"/>
      <c r="M99" s="478"/>
      <c r="N99" s="654"/>
      <c r="O99" s="404"/>
      <c r="P99" s="404"/>
      <c r="Q99" s="404"/>
      <c r="R99" s="404"/>
      <c r="S99" s="404"/>
      <c r="T99" s="404"/>
      <c r="U99" s="404"/>
      <c r="V99" s="404"/>
      <c r="W99" s="404"/>
      <c r="X99" s="404"/>
      <c r="Y99" s="404"/>
      <c r="Z99" s="404"/>
      <c r="AA99" s="404"/>
      <c r="AB99" s="404"/>
      <c r="AC99" s="404"/>
    </row>
    <row r="100" spans="1:50" ht="15.75" customHeight="1">
      <c r="A100" s="404"/>
      <c r="B100" s="404"/>
      <c r="C100" s="494"/>
      <c r="D100" s="478"/>
      <c r="E100" s="478"/>
      <c r="F100" s="478"/>
      <c r="G100" s="478"/>
      <c r="H100" s="478"/>
      <c r="I100" s="478"/>
      <c r="J100" s="478"/>
      <c r="K100" s="478"/>
      <c r="L100" s="478"/>
      <c r="M100" s="478"/>
      <c r="N100" s="654"/>
      <c r="O100" s="404"/>
      <c r="P100" s="404"/>
      <c r="Q100" s="404"/>
      <c r="R100" s="404"/>
      <c r="S100" s="404"/>
      <c r="T100" s="404"/>
      <c r="U100" s="404"/>
      <c r="V100" s="404"/>
      <c r="W100" s="404"/>
      <c r="X100" s="404"/>
      <c r="Y100" s="404"/>
      <c r="Z100" s="404"/>
      <c r="AA100" s="404"/>
      <c r="AB100" s="404"/>
      <c r="AC100" s="404"/>
    </row>
    <row r="101" spans="1:50" ht="15.75" customHeight="1">
      <c r="A101" s="404"/>
      <c r="B101" s="404"/>
      <c r="C101" s="494"/>
      <c r="D101" s="478"/>
      <c r="E101" s="478"/>
      <c r="F101" s="478"/>
      <c r="G101" s="478"/>
      <c r="H101" s="478"/>
      <c r="I101" s="478"/>
      <c r="J101" s="478"/>
      <c r="K101" s="478"/>
      <c r="L101" s="478"/>
      <c r="M101" s="478"/>
      <c r="N101" s="654"/>
      <c r="O101" s="404"/>
      <c r="P101" s="404"/>
      <c r="Q101" s="404"/>
      <c r="R101" s="404"/>
      <c r="S101" s="404"/>
      <c r="T101" s="404"/>
      <c r="U101" s="404"/>
      <c r="V101" s="404"/>
      <c r="W101" s="404"/>
      <c r="X101" s="404"/>
      <c r="Y101" s="404"/>
      <c r="Z101" s="404"/>
      <c r="AA101" s="404"/>
      <c r="AB101" s="404"/>
      <c r="AC101" s="404"/>
    </row>
    <row r="102" spans="1:50" ht="15.75" customHeight="1">
      <c r="A102" s="404"/>
      <c r="B102" s="404"/>
      <c r="C102" s="494"/>
      <c r="D102" s="478"/>
      <c r="E102" s="478"/>
      <c r="F102" s="478"/>
      <c r="G102" s="478"/>
      <c r="H102" s="478"/>
      <c r="I102" s="478"/>
      <c r="J102" s="478"/>
      <c r="K102" s="478"/>
      <c r="L102" s="478"/>
      <c r="M102" s="478"/>
      <c r="N102" s="654"/>
      <c r="O102" s="404"/>
      <c r="P102" s="404"/>
      <c r="Q102" s="404"/>
      <c r="R102" s="404"/>
      <c r="S102" s="404"/>
      <c r="T102" s="404"/>
      <c r="U102" s="404"/>
      <c r="V102" s="404"/>
      <c r="W102" s="404"/>
      <c r="X102" s="404"/>
      <c r="Y102" s="404"/>
      <c r="Z102" s="404"/>
      <c r="AA102" s="404"/>
      <c r="AB102" s="404"/>
      <c r="AC102" s="404"/>
    </row>
    <row r="103" spans="1:50" ht="15.75" customHeight="1">
      <c r="A103" s="404"/>
      <c r="B103" s="404"/>
      <c r="C103" s="494"/>
      <c r="D103" s="478"/>
      <c r="E103" s="478"/>
      <c r="F103" s="478"/>
      <c r="G103" s="478"/>
      <c r="H103" s="478"/>
      <c r="I103" s="478"/>
      <c r="J103" s="478"/>
      <c r="K103" s="478"/>
      <c r="L103" s="478"/>
      <c r="M103" s="478"/>
      <c r="N103" s="654"/>
      <c r="O103" s="404"/>
      <c r="P103" s="404"/>
      <c r="Q103" s="404"/>
      <c r="R103" s="404"/>
      <c r="S103" s="404"/>
      <c r="T103" s="404"/>
      <c r="U103" s="404"/>
      <c r="V103" s="404"/>
      <c r="W103" s="404"/>
      <c r="X103" s="404"/>
      <c r="Y103" s="404"/>
      <c r="Z103" s="404"/>
      <c r="AA103" s="404"/>
      <c r="AB103" s="404"/>
      <c r="AC103" s="404"/>
    </row>
    <row r="104" spans="1:50" ht="15.75" customHeight="1">
      <c r="A104" s="404"/>
      <c r="B104" s="404"/>
      <c r="C104" s="494"/>
      <c r="D104" s="478"/>
      <c r="E104" s="478"/>
      <c r="F104" s="478"/>
      <c r="G104" s="478"/>
      <c r="H104" s="478"/>
      <c r="I104" s="478"/>
      <c r="J104" s="478"/>
      <c r="K104" s="478"/>
      <c r="L104" s="478"/>
      <c r="M104" s="478"/>
      <c r="N104" s="654"/>
      <c r="O104" s="404"/>
      <c r="P104" s="404"/>
      <c r="Q104" s="404"/>
      <c r="R104" s="404"/>
      <c r="S104" s="404"/>
      <c r="T104" s="404"/>
      <c r="U104" s="404"/>
      <c r="V104" s="404"/>
      <c r="W104" s="404"/>
      <c r="X104" s="404"/>
      <c r="Y104" s="404"/>
      <c r="Z104" s="404"/>
      <c r="AA104" s="404"/>
      <c r="AB104" s="404"/>
      <c r="AC104" s="404"/>
    </row>
    <row r="105" spans="1:50" ht="15.75" customHeight="1">
      <c r="A105" s="404"/>
      <c r="B105" s="404"/>
      <c r="C105" s="494"/>
      <c r="D105" s="478"/>
      <c r="E105" s="478"/>
      <c r="F105" s="478"/>
      <c r="G105" s="478"/>
      <c r="H105" s="478"/>
      <c r="I105" s="478"/>
      <c r="J105" s="478"/>
      <c r="K105" s="478"/>
      <c r="L105" s="478"/>
      <c r="M105" s="478"/>
      <c r="N105" s="654"/>
      <c r="O105" s="404"/>
      <c r="P105" s="404"/>
      <c r="Q105" s="404"/>
      <c r="R105" s="404"/>
      <c r="S105" s="404"/>
      <c r="T105" s="404"/>
      <c r="U105" s="404"/>
      <c r="V105" s="404"/>
      <c r="W105" s="404"/>
      <c r="X105" s="404"/>
      <c r="Y105" s="404"/>
      <c r="Z105" s="404"/>
      <c r="AA105" s="404"/>
      <c r="AB105" s="404"/>
      <c r="AC105" s="404"/>
    </row>
    <row r="106" spans="1:50" ht="15.75" customHeight="1">
      <c r="A106" s="404"/>
      <c r="B106" s="404"/>
      <c r="C106" s="494"/>
      <c r="D106" s="478"/>
      <c r="E106" s="478"/>
      <c r="F106" s="478"/>
      <c r="G106" s="478"/>
      <c r="H106" s="478"/>
      <c r="I106" s="478"/>
      <c r="J106" s="478"/>
      <c r="K106" s="478"/>
      <c r="L106" s="478"/>
      <c r="M106" s="478"/>
      <c r="N106" s="654"/>
      <c r="O106" s="404"/>
      <c r="P106" s="404"/>
      <c r="Q106" s="404"/>
      <c r="R106" s="404"/>
      <c r="S106" s="404"/>
      <c r="T106" s="404"/>
      <c r="U106" s="404"/>
      <c r="V106" s="404"/>
      <c r="W106" s="404"/>
      <c r="X106" s="404"/>
      <c r="Y106" s="404"/>
      <c r="Z106" s="404"/>
      <c r="AA106" s="404"/>
      <c r="AB106" s="404"/>
      <c r="AC106" s="404"/>
    </row>
    <row r="107" spans="1:50" ht="15.75" customHeight="1">
      <c r="A107" s="404"/>
      <c r="B107" s="404"/>
      <c r="C107" s="494"/>
      <c r="D107" s="478"/>
      <c r="E107" s="478"/>
      <c r="F107" s="478"/>
      <c r="G107" s="478"/>
      <c r="H107" s="478"/>
      <c r="I107" s="478"/>
      <c r="J107" s="478"/>
      <c r="K107" s="478"/>
      <c r="L107" s="478"/>
      <c r="M107" s="478"/>
      <c r="N107" s="654"/>
      <c r="O107" s="404"/>
      <c r="P107" s="404"/>
      <c r="Q107" s="404"/>
      <c r="R107" s="404"/>
      <c r="S107" s="404"/>
      <c r="T107" s="404"/>
      <c r="U107" s="404"/>
      <c r="V107" s="404"/>
      <c r="W107" s="404"/>
      <c r="X107" s="404"/>
      <c r="Y107" s="404"/>
      <c r="Z107" s="404"/>
      <c r="AA107" s="404"/>
      <c r="AB107" s="404"/>
      <c r="AC107" s="404"/>
    </row>
    <row r="108" spans="1:50" ht="15.75" customHeight="1">
      <c r="A108" s="404"/>
      <c r="B108" s="404"/>
      <c r="C108" s="494"/>
      <c r="D108" s="478"/>
      <c r="E108" s="478"/>
      <c r="F108" s="478"/>
      <c r="G108" s="478"/>
      <c r="H108" s="478"/>
      <c r="I108" s="478"/>
      <c r="J108" s="478"/>
      <c r="K108" s="478"/>
      <c r="L108" s="478"/>
      <c r="M108" s="478"/>
      <c r="N108" s="654"/>
      <c r="O108" s="404"/>
      <c r="P108" s="404"/>
      <c r="Q108" s="404"/>
      <c r="R108" s="404"/>
      <c r="S108" s="404"/>
      <c r="T108" s="404"/>
      <c r="U108" s="404"/>
      <c r="V108" s="404"/>
      <c r="W108" s="404"/>
      <c r="X108" s="404"/>
      <c r="Y108" s="404"/>
      <c r="Z108" s="404"/>
      <c r="AA108" s="404"/>
      <c r="AB108" s="404"/>
      <c r="AC108" s="404"/>
      <c r="AW108" s="371"/>
      <c r="AX108" s="371"/>
    </row>
    <row r="109" spans="1:50" ht="15.75" customHeight="1">
      <c r="A109" s="404"/>
      <c r="B109" s="404"/>
      <c r="C109" s="494"/>
      <c r="D109" s="478"/>
      <c r="E109" s="478"/>
      <c r="F109" s="478"/>
      <c r="G109" s="478"/>
      <c r="H109" s="478"/>
      <c r="I109" s="478"/>
      <c r="J109" s="478"/>
      <c r="K109" s="478"/>
      <c r="L109" s="478"/>
      <c r="M109" s="478"/>
      <c r="N109" s="654"/>
      <c r="O109" s="404"/>
      <c r="P109" s="404"/>
      <c r="Q109" s="404"/>
      <c r="R109" s="404"/>
      <c r="S109" s="404"/>
      <c r="T109" s="404"/>
      <c r="U109" s="404"/>
      <c r="V109" s="404"/>
      <c r="W109" s="404"/>
      <c r="X109" s="404"/>
      <c r="Y109" s="404"/>
      <c r="Z109" s="404"/>
      <c r="AA109" s="404"/>
      <c r="AB109" s="404"/>
      <c r="AC109" s="404"/>
      <c r="AW109" s="371"/>
      <c r="AX109" s="371"/>
    </row>
    <row r="110" spans="1:50" ht="15.75" customHeight="1">
      <c r="A110" s="404"/>
      <c r="B110" s="404"/>
      <c r="C110" s="494"/>
      <c r="D110" s="478"/>
      <c r="E110" s="478"/>
      <c r="F110" s="478"/>
      <c r="G110" s="478"/>
      <c r="H110" s="478"/>
      <c r="I110" s="478"/>
      <c r="J110" s="478"/>
      <c r="K110" s="478"/>
      <c r="L110" s="478"/>
      <c r="M110" s="478"/>
      <c r="N110" s="654"/>
      <c r="O110" s="404"/>
      <c r="P110" s="404"/>
      <c r="Q110" s="404"/>
      <c r="R110" s="404"/>
      <c r="S110" s="404"/>
      <c r="T110" s="404"/>
      <c r="U110" s="404"/>
      <c r="V110" s="404"/>
      <c r="W110" s="404"/>
      <c r="X110" s="404"/>
      <c r="Y110" s="404"/>
      <c r="Z110" s="404"/>
      <c r="AA110" s="404"/>
      <c r="AB110" s="404"/>
      <c r="AC110" s="404"/>
      <c r="AW110" s="371"/>
      <c r="AX110" s="371"/>
    </row>
    <row r="111" spans="1:50" ht="15.75" customHeight="1">
      <c r="A111" s="404"/>
      <c r="B111" s="404"/>
      <c r="C111" s="494"/>
      <c r="D111" s="478"/>
      <c r="E111" s="478"/>
      <c r="F111" s="478"/>
      <c r="G111" s="478"/>
      <c r="H111" s="478"/>
      <c r="I111" s="478"/>
      <c r="J111" s="478"/>
      <c r="K111" s="478"/>
      <c r="L111" s="478"/>
      <c r="M111" s="478"/>
      <c r="N111" s="654"/>
      <c r="O111" s="404"/>
      <c r="P111" s="404"/>
      <c r="Q111" s="404"/>
      <c r="R111" s="404"/>
      <c r="S111" s="404"/>
      <c r="T111" s="404"/>
      <c r="U111" s="404"/>
      <c r="V111" s="404"/>
      <c r="W111" s="404"/>
      <c r="X111" s="404"/>
      <c r="Y111" s="404"/>
      <c r="Z111" s="404"/>
      <c r="AA111" s="404"/>
      <c r="AB111" s="404"/>
      <c r="AC111" s="404"/>
      <c r="AW111" s="371"/>
      <c r="AX111" s="371"/>
    </row>
    <row r="112" spans="1:50" ht="15.75" customHeight="1">
      <c r="A112" s="404"/>
      <c r="B112" s="404"/>
      <c r="C112" s="494"/>
      <c r="D112" s="478"/>
      <c r="E112" s="478"/>
      <c r="F112" s="478"/>
      <c r="G112" s="478"/>
      <c r="H112" s="478"/>
      <c r="I112" s="478"/>
      <c r="J112" s="478"/>
      <c r="K112" s="478"/>
      <c r="L112" s="478"/>
      <c r="M112" s="478"/>
      <c r="N112" s="654"/>
      <c r="O112" s="404"/>
      <c r="P112" s="404"/>
      <c r="Q112" s="404"/>
      <c r="R112" s="404"/>
      <c r="S112" s="404"/>
      <c r="T112" s="404"/>
      <c r="U112" s="404"/>
      <c r="V112" s="404"/>
      <c r="W112" s="404"/>
      <c r="X112" s="404"/>
      <c r="Y112" s="404"/>
      <c r="Z112" s="404"/>
      <c r="AA112" s="404"/>
      <c r="AB112" s="404"/>
      <c r="AC112" s="404"/>
      <c r="AW112" s="371"/>
      <c r="AX112" s="371"/>
    </row>
    <row r="113" spans="1:29" ht="15.75" customHeight="1">
      <c r="A113" s="404"/>
      <c r="B113" s="404"/>
      <c r="C113" s="494"/>
      <c r="D113" s="478"/>
      <c r="E113" s="478"/>
      <c r="F113" s="478"/>
      <c r="G113" s="478"/>
      <c r="H113" s="478"/>
      <c r="I113" s="478"/>
      <c r="J113" s="478"/>
      <c r="K113" s="478"/>
      <c r="L113" s="478"/>
      <c r="M113" s="478"/>
      <c r="N113" s="654"/>
      <c r="O113" s="404"/>
      <c r="P113" s="404"/>
      <c r="Q113" s="404"/>
      <c r="R113" s="404"/>
      <c r="S113" s="404"/>
      <c r="T113" s="404"/>
      <c r="U113" s="404"/>
      <c r="V113" s="404"/>
      <c r="W113" s="404"/>
      <c r="X113" s="404"/>
      <c r="Y113" s="404"/>
      <c r="Z113" s="404"/>
      <c r="AA113" s="404"/>
      <c r="AB113" s="404"/>
      <c r="AC113" s="404"/>
    </row>
    <row r="114" spans="1:29" ht="15.75" customHeight="1">
      <c r="A114" s="404"/>
      <c r="B114" s="404"/>
      <c r="C114" s="494"/>
      <c r="D114" s="478"/>
      <c r="E114" s="478"/>
      <c r="F114" s="478"/>
      <c r="G114" s="478"/>
      <c r="H114" s="478"/>
      <c r="I114" s="478"/>
      <c r="J114" s="478"/>
      <c r="K114" s="478"/>
      <c r="L114" s="478"/>
      <c r="M114" s="478"/>
      <c r="N114" s="654"/>
      <c r="O114" s="404"/>
      <c r="P114" s="404"/>
      <c r="Q114" s="404"/>
      <c r="R114" s="404"/>
      <c r="S114" s="404"/>
      <c r="T114" s="404"/>
      <c r="U114" s="404"/>
      <c r="V114" s="404"/>
      <c r="W114" s="404"/>
      <c r="X114" s="404"/>
      <c r="Y114" s="404"/>
      <c r="Z114" s="404"/>
      <c r="AA114" s="404"/>
      <c r="AB114" s="404"/>
      <c r="AC114" s="404"/>
    </row>
    <row r="115" spans="1:29" ht="15.75" customHeight="1">
      <c r="A115" s="404"/>
      <c r="B115" s="404"/>
      <c r="C115" s="494"/>
      <c r="D115" s="478"/>
      <c r="E115" s="478"/>
      <c r="F115" s="478"/>
      <c r="G115" s="478"/>
      <c r="H115" s="478"/>
      <c r="I115" s="478"/>
      <c r="J115" s="478"/>
      <c r="K115" s="478"/>
      <c r="L115" s="478"/>
      <c r="M115" s="478"/>
      <c r="N115" s="654"/>
      <c r="O115" s="404"/>
      <c r="P115" s="404"/>
      <c r="Q115" s="404"/>
      <c r="R115" s="404"/>
      <c r="S115" s="404"/>
      <c r="T115" s="404"/>
      <c r="U115" s="404"/>
      <c r="V115" s="404"/>
      <c r="W115" s="404"/>
      <c r="X115" s="404"/>
      <c r="Y115" s="404"/>
      <c r="Z115" s="404"/>
      <c r="AA115" s="404"/>
      <c r="AB115" s="404"/>
      <c r="AC115" s="404"/>
    </row>
    <row r="116" spans="1:29" ht="15.75" customHeight="1">
      <c r="A116" s="404"/>
      <c r="B116" s="404"/>
      <c r="C116" s="494"/>
      <c r="D116" s="478"/>
      <c r="E116" s="478"/>
      <c r="F116" s="478"/>
      <c r="G116" s="478"/>
      <c r="H116" s="478"/>
      <c r="I116" s="478"/>
      <c r="J116" s="478"/>
      <c r="K116" s="478"/>
      <c r="L116" s="478"/>
      <c r="M116" s="478"/>
      <c r="N116" s="654"/>
      <c r="O116" s="404"/>
      <c r="P116" s="404"/>
      <c r="Q116" s="404"/>
      <c r="R116" s="404"/>
      <c r="S116" s="404"/>
      <c r="T116" s="404"/>
      <c r="U116" s="404"/>
      <c r="V116" s="404"/>
      <c r="W116" s="404"/>
      <c r="X116" s="404"/>
      <c r="Y116" s="404"/>
      <c r="Z116" s="404"/>
      <c r="AA116" s="404"/>
      <c r="AB116" s="404"/>
      <c r="AC116" s="404"/>
    </row>
    <row r="117" spans="1:29" ht="15.75" customHeight="1">
      <c r="A117" s="404"/>
      <c r="B117" s="404"/>
      <c r="C117" s="494"/>
      <c r="D117" s="478"/>
      <c r="E117" s="478"/>
      <c r="F117" s="478"/>
      <c r="G117" s="478"/>
      <c r="H117" s="478"/>
      <c r="I117" s="478"/>
      <c r="J117" s="478"/>
      <c r="K117" s="478"/>
      <c r="L117" s="478"/>
      <c r="M117" s="478"/>
      <c r="N117" s="654"/>
      <c r="O117" s="404"/>
      <c r="P117" s="404"/>
      <c r="Q117" s="404"/>
      <c r="R117" s="404"/>
      <c r="S117" s="404"/>
      <c r="T117" s="404"/>
      <c r="U117" s="404"/>
      <c r="V117" s="404"/>
      <c r="W117" s="404"/>
      <c r="X117" s="404"/>
      <c r="Y117" s="404"/>
      <c r="Z117" s="404"/>
      <c r="AA117" s="404"/>
      <c r="AB117" s="404"/>
      <c r="AC117" s="404"/>
    </row>
  </sheetData>
  <mergeCells count="12">
    <mergeCell ref="D5:D6"/>
    <mergeCell ref="A1:M1"/>
    <mergeCell ref="Q4:S4"/>
    <mergeCell ref="A2:M2"/>
    <mergeCell ref="A3:M3"/>
    <mergeCell ref="C5:C6"/>
    <mergeCell ref="B5:B6"/>
    <mergeCell ref="A5:A6"/>
    <mergeCell ref="E5:H5"/>
    <mergeCell ref="K5:L5"/>
    <mergeCell ref="M5:M6"/>
    <mergeCell ref="I5:J5"/>
  </mergeCells>
  <printOptions horizontalCentered="1"/>
  <pageMargins left="0.39370078740157483" right="0.39370078740157483" top="0.6692913385826772" bottom="0.36" header="0.23622047244094491" footer="0.23622047244094491"/>
  <pageSetup paperSize="9" scale="97" fitToHeight="0" orientation="portrait" r:id="rId1"/>
  <headerFooter>
    <evenFooter>Page &amp;P</evenFooter>
  </headerFooter>
</worksheet>
</file>

<file path=xl/worksheets/sheet1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Y115"/>
  <sheetViews>
    <sheetView topLeftCell="A30" zoomScaleNormal="100" zoomScaleSheetLayoutView="100" workbookViewId="0">
      <selection activeCell="C36" sqref="C36"/>
    </sheetView>
  </sheetViews>
  <sheetFormatPr defaultColWidth="9" defaultRowHeight="15.75" customHeight="1"/>
  <cols>
    <col min="1" max="1" width="5" style="353" customWidth="1"/>
    <col min="2" max="2" width="32.375" style="353" customWidth="1"/>
    <col min="3" max="3" width="9.375" style="353" customWidth="1"/>
    <col min="4" max="4" width="8.75" style="353" hidden="1" customWidth="1"/>
    <col min="5" max="5" width="7.125" style="353" hidden="1" customWidth="1"/>
    <col min="6" max="6" width="7.5" style="353" hidden="1" customWidth="1"/>
    <col min="7" max="7" width="7.25" style="353" customWidth="1"/>
    <col min="8" max="8" width="3.75" style="353" hidden="1" customWidth="1"/>
    <col min="9" max="9" width="7.875" style="353" hidden="1" customWidth="1"/>
    <col min="10" max="10" width="7.5" style="353" bestFit="1" customWidth="1"/>
    <col min="11" max="11" width="7.5" style="353" customWidth="1"/>
    <col min="12" max="12" width="10" style="353" customWidth="1"/>
    <col min="13" max="13" width="8.75" style="353" customWidth="1"/>
    <col min="14" max="14" width="5.375" style="353" customWidth="1"/>
    <col min="15" max="15" width="9" style="352"/>
    <col min="16" max="17" width="0" style="404" hidden="1" customWidth="1"/>
    <col min="18" max="19" width="9" style="404"/>
    <col min="20" max="20" width="11.875" style="404" bestFit="1" customWidth="1"/>
    <col min="21" max="16384" width="9" style="404"/>
  </cols>
  <sheetData>
    <row r="1" spans="1:20" s="353" customFormat="1" ht="21.95" customHeight="1">
      <c r="A1" s="2083" t="s">
        <v>785</v>
      </c>
      <c r="B1" s="2083"/>
      <c r="C1" s="2083"/>
      <c r="D1" s="2083"/>
      <c r="E1" s="2083"/>
      <c r="F1" s="2083"/>
      <c r="G1" s="2083"/>
      <c r="H1" s="2083"/>
      <c r="I1" s="2083"/>
      <c r="J1" s="2083"/>
      <c r="K1" s="2083"/>
      <c r="L1" s="2083"/>
      <c r="M1" s="2083"/>
      <c r="N1" s="2083"/>
      <c r="O1" s="352"/>
    </row>
    <row r="2" spans="1:20" s="353" customFormat="1" ht="21.95" customHeight="1">
      <c r="A2" s="2084" t="s">
        <v>788</v>
      </c>
      <c r="B2" s="2084"/>
      <c r="C2" s="2084"/>
      <c r="D2" s="2084"/>
      <c r="E2" s="2084"/>
      <c r="F2" s="2084"/>
      <c r="G2" s="2084"/>
      <c r="H2" s="2084"/>
      <c r="I2" s="2084"/>
      <c r="J2" s="2084"/>
      <c r="K2" s="2084"/>
      <c r="L2" s="2084"/>
      <c r="M2" s="2084"/>
      <c r="N2" s="2084"/>
      <c r="O2" s="352"/>
    </row>
    <row r="3" spans="1:20" s="353" customFormat="1" ht="21.95" customHeight="1">
      <c r="A3" s="2087" t="str">
        <f>'B7 LD&amp;VL-XDGN'!A3:$BZ$3</f>
        <v>(Kèm theo Báo cáo số:  1525 /BC-UBND, ngày   30  tháng 5 năm 2025 của UBND huyện Mường Tè)</v>
      </c>
      <c r="B3" s="2087"/>
      <c r="C3" s="2087"/>
      <c r="D3" s="2087"/>
      <c r="E3" s="2087"/>
      <c r="F3" s="2087"/>
      <c r="G3" s="2087"/>
      <c r="H3" s="2087"/>
      <c r="I3" s="2087"/>
      <c r="J3" s="2087"/>
      <c r="K3" s="2087"/>
      <c r="L3" s="2087"/>
      <c r="M3" s="2087"/>
      <c r="N3" s="2087"/>
      <c r="O3" s="352"/>
    </row>
    <row r="4" spans="1:20" s="353" customFormat="1" ht="18.75" customHeight="1">
      <c r="A4" s="2085"/>
      <c r="B4" s="2086"/>
      <c r="C4" s="2086"/>
      <c r="D4" s="2086"/>
      <c r="E4" s="2086"/>
      <c r="F4" s="2086"/>
      <c r="G4" s="2086"/>
      <c r="H4" s="2086"/>
      <c r="I4" s="2086"/>
      <c r="J4" s="2086"/>
      <c r="K4" s="2086"/>
      <c r="L4" s="2086"/>
      <c r="M4" s="2086"/>
      <c r="N4" s="2086"/>
      <c r="O4" s="540"/>
    </row>
    <row r="5" spans="1:20" s="353" customFormat="1" ht="38.1" customHeight="1">
      <c r="A5" s="2021" t="s">
        <v>178</v>
      </c>
      <c r="B5" s="2021" t="s">
        <v>56</v>
      </c>
      <c r="C5" s="2021" t="s">
        <v>220</v>
      </c>
      <c r="D5" s="2017" t="s">
        <v>812</v>
      </c>
      <c r="E5" s="2017" t="s">
        <v>880</v>
      </c>
      <c r="F5" s="2017" t="s">
        <v>865</v>
      </c>
      <c r="G5" s="2017"/>
      <c r="H5" s="2017"/>
      <c r="I5" s="2017"/>
      <c r="J5" s="2014" t="s">
        <v>952</v>
      </c>
      <c r="K5" s="2088"/>
      <c r="L5" s="2017" t="s">
        <v>866</v>
      </c>
      <c r="M5" s="2017"/>
      <c r="N5" s="2021" t="s">
        <v>656</v>
      </c>
      <c r="O5" s="352"/>
    </row>
    <row r="6" spans="1:20" s="353" customFormat="1" ht="81.75" customHeight="1">
      <c r="A6" s="2021"/>
      <c r="B6" s="2021"/>
      <c r="C6" s="2021"/>
      <c r="D6" s="2017"/>
      <c r="E6" s="2017"/>
      <c r="F6" s="1786" t="s">
        <v>765</v>
      </c>
      <c r="G6" s="1781" t="s">
        <v>972</v>
      </c>
      <c r="H6" s="1781" t="s">
        <v>871</v>
      </c>
      <c r="I6" s="1781" t="s">
        <v>797</v>
      </c>
      <c r="J6" s="1679" t="s">
        <v>11</v>
      </c>
      <c r="K6" s="1786" t="s">
        <v>973</v>
      </c>
      <c r="L6" s="1781" t="str">
        <f>'B5 TM-DV '!K6</f>
        <v>Ước TH 6 tháng năm 2025/TH 6 tháng năm 2024</v>
      </c>
      <c r="M6" s="1781" t="str">
        <f>'B5 TM-DV '!L6</f>
        <v>Ước TH 6 tháng năm 2025/KH huyện</v>
      </c>
      <c r="N6" s="2021"/>
      <c r="O6" s="352"/>
      <c r="R6" s="2081"/>
      <c r="S6" s="2081"/>
      <c r="T6" s="2081"/>
    </row>
    <row r="7" spans="1:20" s="353" customFormat="1" ht="8.25" hidden="1" customHeight="1">
      <c r="A7" s="834" t="s">
        <v>73</v>
      </c>
      <c r="B7" s="835" t="s">
        <v>221</v>
      </c>
      <c r="C7" s="837"/>
      <c r="D7" s="839"/>
      <c r="E7" s="839"/>
      <c r="F7" s="839"/>
      <c r="G7" s="839"/>
      <c r="H7" s="839"/>
      <c r="I7" s="839"/>
      <c r="J7" s="839"/>
      <c r="K7" s="839"/>
      <c r="L7" s="839"/>
      <c r="M7" s="839"/>
      <c r="N7" s="839"/>
      <c r="O7" s="352"/>
      <c r="R7" s="831" t="s">
        <v>11</v>
      </c>
      <c r="S7" s="831" t="s">
        <v>795</v>
      </c>
      <c r="T7" s="831" t="s">
        <v>796</v>
      </c>
    </row>
    <row r="8" spans="1:20" s="353" customFormat="1" ht="24.95" hidden="1" customHeight="1">
      <c r="A8" s="834" t="s">
        <v>83</v>
      </c>
      <c r="B8" s="1048" t="s">
        <v>222</v>
      </c>
      <c r="C8" s="834"/>
      <c r="D8" s="839"/>
      <c r="E8" s="839"/>
      <c r="F8" s="839"/>
      <c r="G8" s="839"/>
      <c r="H8" s="839"/>
      <c r="I8" s="839"/>
      <c r="J8" s="839"/>
      <c r="K8" s="839"/>
      <c r="L8" s="839"/>
      <c r="M8" s="839"/>
      <c r="N8" s="839"/>
      <c r="O8" s="352"/>
    </row>
    <row r="9" spans="1:20" s="353" customFormat="1" ht="24.95" hidden="1" customHeight="1">
      <c r="A9" s="837">
        <v>1</v>
      </c>
      <c r="B9" s="839" t="s">
        <v>223</v>
      </c>
      <c r="C9" s="837" t="s">
        <v>224</v>
      </c>
      <c r="D9" s="839"/>
      <c r="E9" s="839"/>
      <c r="F9" s="839"/>
      <c r="G9" s="839"/>
      <c r="H9" s="839"/>
      <c r="I9" s="839"/>
      <c r="J9" s="839"/>
      <c r="K9" s="839"/>
      <c r="L9" s="839"/>
      <c r="M9" s="839"/>
      <c r="N9" s="839"/>
      <c r="O9" s="352"/>
    </row>
    <row r="10" spans="1:20" s="353" customFormat="1" ht="24.95" hidden="1" customHeight="1">
      <c r="A10" s="837">
        <v>2</v>
      </c>
      <c r="B10" s="839" t="s">
        <v>225</v>
      </c>
      <c r="C10" s="837" t="s">
        <v>25</v>
      </c>
      <c r="D10" s="839"/>
      <c r="E10" s="839"/>
      <c r="F10" s="839"/>
      <c r="G10" s="839"/>
      <c r="H10" s="839"/>
      <c r="I10" s="839"/>
      <c r="J10" s="839"/>
      <c r="K10" s="839"/>
      <c r="L10" s="839"/>
      <c r="M10" s="839"/>
      <c r="N10" s="839"/>
      <c r="O10" s="352"/>
    </row>
    <row r="11" spans="1:20" s="353" customFormat="1" ht="24.95" hidden="1" customHeight="1">
      <c r="A11" s="837">
        <v>3</v>
      </c>
      <c r="B11" s="839" t="s">
        <v>226</v>
      </c>
      <c r="C11" s="837" t="s">
        <v>25</v>
      </c>
      <c r="D11" s="839"/>
      <c r="E11" s="839"/>
      <c r="F11" s="839"/>
      <c r="G11" s="839"/>
      <c r="H11" s="839"/>
      <c r="I11" s="839"/>
      <c r="J11" s="839"/>
      <c r="K11" s="839"/>
      <c r="L11" s="839"/>
      <c r="M11" s="839"/>
      <c r="N11" s="839"/>
      <c r="O11" s="352"/>
    </row>
    <row r="12" spans="1:20" s="353" customFormat="1" ht="24.95" hidden="1" customHeight="1">
      <c r="A12" s="837">
        <v>4</v>
      </c>
      <c r="B12" s="839" t="s">
        <v>227</v>
      </c>
      <c r="C12" s="837" t="s">
        <v>25</v>
      </c>
      <c r="D12" s="839"/>
      <c r="E12" s="839"/>
      <c r="F12" s="839"/>
      <c r="G12" s="839"/>
      <c r="H12" s="839"/>
      <c r="I12" s="839"/>
      <c r="J12" s="839"/>
      <c r="K12" s="839"/>
      <c r="L12" s="839"/>
      <c r="M12" s="839"/>
      <c r="N12" s="839"/>
      <c r="O12" s="352"/>
    </row>
    <row r="13" spans="1:20" s="353" customFormat="1" ht="24.95" hidden="1" customHeight="1">
      <c r="A13" s="837">
        <v>5</v>
      </c>
      <c r="B13" s="839" t="s">
        <v>228</v>
      </c>
      <c r="C13" s="837" t="s">
        <v>25</v>
      </c>
      <c r="D13" s="839"/>
      <c r="E13" s="839"/>
      <c r="F13" s="839"/>
      <c r="G13" s="839"/>
      <c r="H13" s="839"/>
      <c r="I13" s="839"/>
      <c r="J13" s="839"/>
      <c r="K13" s="839"/>
      <c r="L13" s="839"/>
      <c r="M13" s="839"/>
      <c r="N13" s="839"/>
      <c r="O13" s="352"/>
    </row>
    <row r="14" spans="1:20" s="541" customFormat="1" ht="36.75" hidden="1" customHeight="1">
      <c r="A14" s="1119"/>
      <c r="B14" s="1131" t="s">
        <v>229</v>
      </c>
      <c r="C14" s="846"/>
      <c r="D14" s="838"/>
      <c r="E14" s="838"/>
      <c r="F14" s="838"/>
      <c r="G14" s="838"/>
      <c r="H14" s="838"/>
      <c r="I14" s="838"/>
      <c r="J14" s="838"/>
      <c r="K14" s="838"/>
      <c r="L14" s="838"/>
      <c r="M14" s="838"/>
      <c r="N14" s="838"/>
      <c r="O14" s="540"/>
    </row>
    <row r="15" spans="1:20" s="541" customFormat="1" ht="24.95" hidden="1" customHeight="1">
      <c r="A15" s="1119"/>
      <c r="B15" s="1131" t="s">
        <v>230</v>
      </c>
      <c r="C15" s="846"/>
      <c r="D15" s="838"/>
      <c r="E15" s="838"/>
      <c r="F15" s="838"/>
      <c r="G15" s="838"/>
      <c r="H15" s="838"/>
      <c r="I15" s="838"/>
      <c r="J15" s="838"/>
      <c r="K15" s="838"/>
      <c r="L15" s="838"/>
      <c r="M15" s="838"/>
      <c r="N15" s="838"/>
      <c r="O15" s="540"/>
    </row>
    <row r="16" spans="1:20" s="541" customFormat="1" ht="39.75" hidden="1" customHeight="1">
      <c r="A16" s="1119"/>
      <c r="B16" s="1131" t="s">
        <v>231</v>
      </c>
      <c r="C16" s="846"/>
      <c r="D16" s="838"/>
      <c r="E16" s="838"/>
      <c r="F16" s="838"/>
      <c r="G16" s="838"/>
      <c r="H16" s="838"/>
      <c r="I16" s="838"/>
      <c r="J16" s="838"/>
      <c r="K16" s="838"/>
      <c r="L16" s="838"/>
      <c r="M16" s="838"/>
      <c r="N16" s="838"/>
      <c r="O16" s="540"/>
    </row>
    <row r="17" spans="1:18" s="353" customFormat="1" ht="24.95" hidden="1" customHeight="1">
      <c r="A17" s="834" t="s">
        <v>100</v>
      </c>
      <c r="B17" s="1048" t="s">
        <v>232</v>
      </c>
      <c r="C17" s="834"/>
      <c r="D17" s="839"/>
      <c r="E17" s="839"/>
      <c r="F17" s="839"/>
      <c r="G17" s="839"/>
      <c r="H17" s="839"/>
      <c r="I17" s="839"/>
      <c r="J17" s="839"/>
      <c r="K17" s="839"/>
      <c r="L17" s="839"/>
      <c r="M17" s="839"/>
      <c r="N17" s="839"/>
      <c r="O17" s="352"/>
    </row>
    <row r="18" spans="1:18" s="353" customFormat="1" ht="39.950000000000003" hidden="1" customHeight="1">
      <c r="A18" s="837">
        <v>1</v>
      </c>
      <c r="B18" s="1049" t="s">
        <v>233</v>
      </c>
      <c r="C18" s="837" t="s">
        <v>234</v>
      </c>
      <c r="D18" s="839"/>
      <c r="E18" s="839"/>
      <c r="F18" s="839"/>
      <c r="G18" s="839"/>
      <c r="H18" s="839"/>
      <c r="I18" s="839"/>
      <c r="J18" s="839"/>
      <c r="K18" s="839"/>
      <c r="L18" s="839"/>
      <c r="M18" s="839"/>
      <c r="N18" s="839"/>
      <c r="O18" s="352"/>
    </row>
    <row r="19" spans="1:18" s="541" customFormat="1" ht="39.950000000000003" hidden="1" customHeight="1">
      <c r="A19" s="837">
        <v>2</v>
      </c>
      <c r="B19" s="839" t="s">
        <v>235</v>
      </c>
      <c r="C19" s="837" t="s">
        <v>224</v>
      </c>
      <c r="D19" s="838"/>
      <c r="E19" s="838"/>
      <c r="F19" s="838"/>
      <c r="G19" s="838"/>
      <c r="H19" s="838"/>
      <c r="I19" s="838"/>
      <c r="J19" s="838"/>
      <c r="K19" s="838"/>
      <c r="L19" s="838"/>
      <c r="M19" s="838"/>
      <c r="N19" s="838"/>
      <c r="O19" s="540"/>
    </row>
    <row r="20" spans="1:18" s="353" customFormat="1" ht="39.950000000000003" hidden="1" customHeight="1">
      <c r="A20" s="846"/>
      <c r="B20" s="838" t="s">
        <v>236</v>
      </c>
      <c r="C20" s="846"/>
      <c r="D20" s="839"/>
      <c r="E20" s="839"/>
      <c r="F20" s="839"/>
      <c r="G20" s="839"/>
      <c r="H20" s="839"/>
      <c r="I20" s="839"/>
      <c r="J20" s="839"/>
      <c r="K20" s="839"/>
      <c r="L20" s="839"/>
      <c r="M20" s="839"/>
      <c r="N20" s="839"/>
      <c r="O20" s="352"/>
    </row>
    <row r="21" spans="1:18" s="353" customFormat="1" ht="39.950000000000003" hidden="1" customHeight="1">
      <c r="A21" s="837">
        <v>3</v>
      </c>
      <c r="B21" s="1049" t="s">
        <v>237</v>
      </c>
      <c r="C21" s="837" t="s">
        <v>224</v>
      </c>
      <c r="D21" s="839"/>
      <c r="E21" s="839"/>
      <c r="F21" s="839"/>
      <c r="G21" s="839"/>
      <c r="H21" s="839"/>
      <c r="I21" s="839"/>
      <c r="J21" s="839"/>
      <c r="K21" s="839"/>
      <c r="L21" s="839"/>
      <c r="M21" s="839"/>
      <c r="N21" s="839"/>
      <c r="O21" s="352"/>
    </row>
    <row r="22" spans="1:18" s="541" customFormat="1" ht="39.950000000000003" hidden="1" customHeight="1">
      <c r="A22" s="837">
        <v>4</v>
      </c>
      <c r="B22" s="1049" t="s">
        <v>238</v>
      </c>
      <c r="C22" s="837" t="s">
        <v>224</v>
      </c>
      <c r="D22" s="838"/>
      <c r="E22" s="838"/>
      <c r="F22" s="838"/>
      <c r="G22" s="838"/>
      <c r="H22" s="838"/>
      <c r="I22" s="838"/>
      <c r="J22" s="838"/>
      <c r="K22" s="838"/>
      <c r="L22" s="838"/>
      <c r="M22" s="838"/>
      <c r="N22" s="838"/>
      <c r="O22" s="540"/>
    </row>
    <row r="23" spans="1:18" s="353" customFormat="1" ht="39.950000000000003" hidden="1" customHeight="1">
      <c r="A23" s="846"/>
      <c r="B23" s="838" t="s">
        <v>239</v>
      </c>
      <c r="C23" s="846"/>
      <c r="D23" s="839"/>
      <c r="E23" s="839"/>
      <c r="F23" s="839"/>
      <c r="G23" s="839"/>
      <c r="H23" s="839"/>
      <c r="I23" s="839"/>
      <c r="J23" s="839"/>
      <c r="K23" s="839"/>
      <c r="L23" s="839"/>
      <c r="M23" s="839"/>
      <c r="N23" s="839"/>
      <c r="O23" s="352"/>
    </row>
    <row r="24" spans="1:18" s="353" customFormat="1" ht="24.95" hidden="1" customHeight="1">
      <c r="A24" s="837">
        <v>5</v>
      </c>
      <c r="B24" s="1049" t="s">
        <v>240</v>
      </c>
      <c r="C24" s="837" t="s">
        <v>224</v>
      </c>
      <c r="D24" s="839"/>
      <c r="E24" s="839"/>
      <c r="F24" s="839"/>
      <c r="G24" s="839"/>
      <c r="H24" s="839"/>
      <c r="I24" s="839"/>
      <c r="J24" s="839"/>
      <c r="K24" s="839"/>
      <c r="L24" s="839"/>
      <c r="M24" s="839"/>
      <c r="N24" s="839"/>
      <c r="O24" s="352"/>
    </row>
    <row r="25" spans="1:18" s="353" customFormat="1" ht="24.95" hidden="1" customHeight="1">
      <c r="A25" s="837">
        <v>6</v>
      </c>
      <c r="B25" s="839" t="s">
        <v>241</v>
      </c>
      <c r="C25" s="837" t="s">
        <v>224</v>
      </c>
      <c r="D25" s="839"/>
      <c r="E25" s="839"/>
      <c r="F25" s="839"/>
      <c r="G25" s="839"/>
      <c r="H25" s="839"/>
      <c r="I25" s="839"/>
      <c r="J25" s="839"/>
      <c r="K25" s="839"/>
      <c r="L25" s="839"/>
      <c r="M25" s="839"/>
      <c r="N25" s="839"/>
      <c r="O25" s="352"/>
    </row>
    <row r="26" spans="1:18" s="353" customFormat="1" ht="24.95" hidden="1" customHeight="1">
      <c r="A26" s="837">
        <v>7</v>
      </c>
      <c r="B26" s="839" t="s">
        <v>242</v>
      </c>
      <c r="C26" s="837" t="s">
        <v>49</v>
      </c>
      <c r="D26" s="839"/>
      <c r="E26" s="839"/>
      <c r="F26" s="839"/>
      <c r="G26" s="839"/>
      <c r="H26" s="839"/>
      <c r="I26" s="839"/>
      <c r="J26" s="839"/>
      <c r="K26" s="839"/>
      <c r="L26" s="839"/>
      <c r="M26" s="839"/>
      <c r="N26" s="839"/>
      <c r="O26" s="352"/>
    </row>
    <row r="27" spans="1:18" s="353" customFormat="1" ht="24.95" hidden="1" customHeight="1">
      <c r="A27" s="837">
        <v>8</v>
      </c>
      <c r="B27" s="839" t="s">
        <v>243</v>
      </c>
      <c r="C27" s="837" t="s">
        <v>25</v>
      </c>
      <c r="D27" s="839"/>
      <c r="E27" s="839"/>
      <c r="F27" s="839"/>
      <c r="G27" s="839"/>
      <c r="H27" s="839"/>
      <c r="I27" s="839"/>
      <c r="J27" s="839"/>
      <c r="K27" s="839"/>
      <c r="L27" s="839"/>
      <c r="M27" s="839"/>
      <c r="N27" s="839"/>
      <c r="O27" s="352"/>
    </row>
    <row r="28" spans="1:18" s="353" customFormat="1" ht="34.5" hidden="1" customHeight="1">
      <c r="A28" s="837">
        <v>9</v>
      </c>
      <c r="B28" s="839" t="s">
        <v>244</v>
      </c>
      <c r="C28" s="837" t="s">
        <v>25</v>
      </c>
      <c r="D28" s="839"/>
      <c r="E28" s="839"/>
      <c r="F28" s="839"/>
      <c r="G28" s="839"/>
      <c r="H28" s="839"/>
      <c r="I28" s="839"/>
      <c r="J28" s="839"/>
      <c r="K28" s="839"/>
      <c r="L28" s="839"/>
      <c r="M28" s="839"/>
      <c r="N28" s="839"/>
      <c r="O28" s="352"/>
    </row>
    <row r="29" spans="1:18" s="469" customFormat="1" ht="15.75" hidden="1" customHeight="1">
      <c r="A29" s="837">
        <v>10</v>
      </c>
      <c r="B29" s="839" t="s">
        <v>245</v>
      </c>
      <c r="C29" s="837" t="s">
        <v>25</v>
      </c>
      <c r="D29" s="835"/>
      <c r="E29" s="835"/>
      <c r="F29" s="835"/>
      <c r="G29" s="835"/>
      <c r="H29" s="835"/>
      <c r="I29" s="835"/>
      <c r="J29" s="835"/>
      <c r="K29" s="835"/>
      <c r="L29" s="835"/>
      <c r="M29" s="835"/>
      <c r="N29" s="835"/>
      <c r="O29" s="542"/>
    </row>
    <row r="30" spans="1:18" s="353" customFormat="1" ht="21.95" customHeight="1">
      <c r="A30" s="834" t="s">
        <v>73</v>
      </c>
      <c r="B30" s="835" t="s">
        <v>246</v>
      </c>
      <c r="C30" s="834"/>
      <c r="D30" s="839"/>
      <c r="E30" s="839"/>
      <c r="F30" s="839"/>
      <c r="G30" s="839"/>
      <c r="H30" s="839"/>
      <c r="I30" s="839"/>
      <c r="J30" s="839"/>
      <c r="K30" s="839"/>
      <c r="L30" s="839"/>
      <c r="M30" s="839"/>
      <c r="N30" s="839"/>
      <c r="O30" s="352"/>
    </row>
    <row r="31" spans="1:18" s="541" customFormat="1" ht="21.95" customHeight="1">
      <c r="A31" s="834" t="s">
        <v>83</v>
      </c>
      <c r="B31" s="835" t="s">
        <v>247</v>
      </c>
      <c r="C31" s="837"/>
      <c r="D31" s="838"/>
      <c r="E31" s="838"/>
      <c r="F31" s="838"/>
      <c r="G31" s="838"/>
      <c r="H31" s="838"/>
      <c r="I31" s="838"/>
      <c r="J31" s="838"/>
      <c r="K31" s="838"/>
      <c r="L31" s="838"/>
      <c r="M31" s="838"/>
      <c r="N31" s="838"/>
      <c r="O31" s="540"/>
    </row>
    <row r="32" spans="1:18" s="353" customFormat="1" ht="21.95" customHeight="1">
      <c r="A32" s="837">
        <v>1</v>
      </c>
      <c r="B32" s="839" t="s">
        <v>805</v>
      </c>
      <c r="C32" s="837" t="s">
        <v>248</v>
      </c>
      <c r="D32" s="1132">
        <v>42</v>
      </c>
      <c r="E32" s="1132">
        <v>46</v>
      </c>
      <c r="F32" s="1132">
        <f>E32+F33-F34</f>
        <v>45</v>
      </c>
      <c r="G32" s="1132">
        <v>45</v>
      </c>
      <c r="H32" s="1132">
        <v>49</v>
      </c>
      <c r="I32" s="1132">
        <f>E32+I33-I34</f>
        <v>52</v>
      </c>
      <c r="J32" s="1132">
        <f>I32+J33-J34</f>
        <v>52</v>
      </c>
      <c r="K32" s="1132">
        <f>J32+K33-K34</f>
        <v>50</v>
      </c>
      <c r="L32" s="1107">
        <f>K32/G32%</f>
        <v>111.11111111111111</v>
      </c>
      <c r="M32" s="1107">
        <f>K32/J32%</f>
        <v>96.153846153846146</v>
      </c>
      <c r="N32" s="1132"/>
      <c r="O32" s="352"/>
      <c r="R32" s="466"/>
    </row>
    <row r="33" spans="1:22" s="541" customFormat="1" ht="21.95" customHeight="1">
      <c r="A33" s="846"/>
      <c r="B33" s="838" t="s">
        <v>738</v>
      </c>
      <c r="C33" s="846" t="s">
        <v>248</v>
      </c>
      <c r="D33" s="1133">
        <v>2</v>
      </c>
      <c r="E33" s="1133">
        <v>4</v>
      </c>
      <c r="F33" s="1133">
        <v>2</v>
      </c>
      <c r="G33" s="1133">
        <v>2</v>
      </c>
      <c r="H33" s="1133">
        <v>3</v>
      </c>
      <c r="I33" s="1133">
        <v>7</v>
      </c>
      <c r="J33" s="1133">
        <v>3</v>
      </c>
      <c r="K33" s="1133">
        <v>1</v>
      </c>
      <c r="L33" s="1107">
        <f t="shared" ref="L33:L40" si="0">K33/G33%</f>
        <v>50</v>
      </c>
      <c r="M33" s="1107">
        <f t="shared" ref="M33:M40" si="1">K33/J33%</f>
        <v>33.333333333333336</v>
      </c>
      <c r="N33" s="1133"/>
      <c r="O33" s="540"/>
      <c r="R33" s="708"/>
      <c r="S33" s="815"/>
    </row>
    <row r="34" spans="1:22" s="541" customFormat="1" ht="21.95" customHeight="1">
      <c r="A34" s="846"/>
      <c r="B34" s="838" t="s">
        <v>249</v>
      </c>
      <c r="C34" s="846" t="s">
        <v>248</v>
      </c>
      <c r="D34" s="1125">
        <v>0</v>
      </c>
      <c r="E34" s="1125"/>
      <c r="F34" s="1125">
        <v>3</v>
      </c>
      <c r="G34" s="1125"/>
      <c r="H34" s="1125">
        <v>0</v>
      </c>
      <c r="I34" s="1125">
        <v>1</v>
      </c>
      <c r="J34" s="1125">
        <v>3</v>
      </c>
      <c r="K34" s="1125">
        <v>3</v>
      </c>
      <c r="L34" s="1107"/>
      <c r="M34" s="1107">
        <f t="shared" si="1"/>
        <v>100</v>
      </c>
      <c r="N34" s="1125"/>
      <c r="O34" s="540"/>
      <c r="R34" s="708"/>
    </row>
    <row r="35" spans="1:22" s="353" customFormat="1" ht="21.95" customHeight="1">
      <c r="A35" s="837">
        <v>3</v>
      </c>
      <c r="B35" s="839" t="s">
        <v>250</v>
      </c>
      <c r="C35" s="837" t="s">
        <v>49</v>
      </c>
      <c r="D35" s="1132">
        <v>330</v>
      </c>
      <c r="E35" s="1132">
        <v>360</v>
      </c>
      <c r="F35" s="1132">
        <v>355</v>
      </c>
      <c r="G35" s="1132">
        <v>355</v>
      </c>
      <c r="H35" s="1132">
        <v>385</v>
      </c>
      <c r="I35" s="1132">
        <f>400+5</f>
        <v>405</v>
      </c>
      <c r="J35" s="1132">
        <f>I35+20</f>
        <v>425</v>
      </c>
      <c r="K35" s="1132">
        <v>413</v>
      </c>
      <c r="L35" s="1107">
        <f t="shared" si="0"/>
        <v>116.33802816901409</v>
      </c>
      <c r="M35" s="1107">
        <f t="shared" si="1"/>
        <v>97.17647058823529</v>
      </c>
      <c r="N35" s="1132"/>
      <c r="O35" s="352"/>
    </row>
    <row r="36" spans="1:22" s="353" customFormat="1" ht="38.1" customHeight="1">
      <c r="A36" s="837">
        <v>4</v>
      </c>
      <c r="B36" s="839" t="s">
        <v>814</v>
      </c>
      <c r="C36" s="837" t="s">
        <v>820</v>
      </c>
      <c r="D36" s="1132">
        <f>17930/D32</f>
        <v>426.90476190476193</v>
      </c>
      <c r="E36" s="1135">
        <v>419</v>
      </c>
      <c r="F36" s="1135">
        <v>500</v>
      </c>
      <c r="G36" s="1135">
        <v>500</v>
      </c>
      <c r="H36" s="1135">
        <v>435</v>
      </c>
      <c r="I36" s="1135">
        <v>537</v>
      </c>
      <c r="J36" s="1135">
        <v>600</v>
      </c>
      <c r="K36" s="1135">
        <v>325</v>
      </c>
      <c r="L36" s="1107">
        <f t="shared" si="0"/>
        <v>65</v>
      </c>
      <c r="M36" s="1107">
        <f t="shared" si="1"/>
        <v>54.166666666666664</v>
      </c>
      <c r="N36" s="1135"/>
      <c r="O36" s="816"/>
      <c r="S36" s="817"/>
      <c r="T36" s="818"/>
    </row>
    <row r="37" spans="1:22" s="541" customFormat="1" ht="38.1" customHeight="1">
      <c r="A37" s="846"/>
      <c r="B37" s="1050" t="s">
        <v>794</v>
      </c>
      <c r="C37" s="846" t="s">
        <v>820</v>
      </c>
      <c r="D37" s="1134">
        <v>50</v>
      </c>
      <c r="E37" s="1136">
        <v>50</v>
      </c>
      <c r="F37" s="1136">
        <v>62</v>
      </c>
      <c r="G37" s="1136">
        <v>62</v>
      </c>
      <c r="H37" s="1136">
        <v>52</v>
      </c>
      <c r="I37" s="1136">
        <v>56.3</v>
      </c>
      <c r="J37" s="1136">
        <v>60</v>
      </c>
      <c r="K37" s="1136"/>
      <c r="L37" s="1107"/>
      <c r="M37" s="1107"/>
      <c r="N37" s="1136"/>
      <c r="O37" s="540"/>
      <c r="R37" s="812"/>
    </row>
    <row r="38" spans="1:22" ht="21.95" customHeight="1">
      <c r="A38" s="837">
        <v>4</v>
      </c>
      <c r="B38" s="839" t="s">
        <v>251</v>
      </c>
      <c r="C38" s="837" t="s">
        <v>49</v>
      </c>
      <c r="D38" s="1132" t="e">
        <f>#REF!</f>
        <v>#REF!</v>
      </c>
      <c r="E38" s="1132">
        <v>544</v>
      </c>
      <c r="F38" s="1132">
        <v>450</v>
      </c>
      <c r="G38" s="1132">
        <v>450</v>
      </c>
      <c r="H38" s="1132">
        <v>450</v>
      </c>
      <c r="I38" s="1132">
        <f>614+10</f>
        <v>624</v>
      </c>
      <c r="J38" s="1132">
        <f>I38+30</f>
        <v>654</v>
      </c>
      <c r="K38" s="1132">
        <v>622</v>
      </c>
      <c r="L38" s="1107">
        <f t="shared" si="0"/>
        <v>138.22222222222223</v>
      </c>
      <c r="M38" s="1107">
        <f t="shared" si="1"/>
        <v>95.107033639143737</v>
      </c>
      <c r="N38" s="1132"/>
    </row>
    <row r="39" spans="1:22" s="541" customFormat="1" ht="38.1" customHeight="1">
      <c r="A39" s="846"/>
      <c r="B39" s="1050" t="s">
        <v>252</v>
      </c>
      <c r="C39" s="846" t="s">
        <v>49</v>
      </c>
      <c r="D39" s="1133">
        <v>196</v>
      </c>
      <c r="E39" s="1133">
        <v>210</v>
      </c>
      <c r="F39" s="1133">
        <v>200</v>
      </c>
      <c r="G39" s="1133">
        <v>200</v>
      </c>
      <c r="H39" s="1133">
        <v>200</v>
      </c>
      <c r="I39" s="1133">
        <f>10*32</f>
        <v>320</v>
      </c>
      <c r="J39" s="1133">
        <f>I39+30</f>
        <v>350</v>
      </c>
      <c r="K39" s="1133">
        <v>224</v>
      </c>
      <c r="L39" s="1107">
        <f t="shared" si="0"/>
        <v>112</v>
      </c>
      <c r="M39" s="1107">
        <f t="shared" si="1"/>
        <v>64</v>
      </c>
      <c r="N39" s="1133"/>
      <c r="O39" s="540"/>
      <c r="T39" s="815"/>
    </row>
    <row r="40" spans="1:22" ht="38.1" customHeight="1">
      <c r="A40" s="837">
        <v>5</v>
      </c>
      <c r="B40" s="839" t="s">
        <v>253</v>
      </c>
      <c r="C40" s="837" t="s">
        <v>821</v>
      </c>
      <c r="D40" s="964">
        <v>60</v>
      </c>
      <c r="E40" s="1137">
        <v>60</v>
      </c>
      <c r="F40" s="1137">
        <v>62</v>
      </c>
      <c r="G40" s="1137">
        <v>62</v>
      </c>
      <c r="H40" s="1137">
        <v>63</v>
      </c>
      <c r="I40" s="1137">
        <v>62</v>
      </c>
      <c r="J40" s="1137">
        <v>63</v>
      </c>
      <c r="K40" s="1137">
        <v>62</v>
      </c>
      <c r="L40" s="1107">
        <f t="shared" si="0"/>
        <v>100</v>
      </c>
      <c r="M40" s="1107">
        <f t="shared" si="1"/>
        <v>98.412698412698418</v>
      </c>
      <c r="N40" s="1137"/>
      <c r="R40" s="1738"/>
      <c r="S40" s="813"/>
      <c r="T40" s="814"/>
    </row>
    <row r="41" spans="1:22" ht="15.75" hidden="1" customHeight="1">
      <c r="A41" s="354" t="s">
        <v>100</v>
      </c>
      <c r="B41" s="355" t="s">
        <v>254</v>
      </c>
      <c r="C41" s="543"/>
      <c r="D41" s="544"/>
      <c r="E41" s="544"/>
      <c r="F41" s="545"/>
      <c r="G41" s="545"/>
      <c r="H41" s="545"/>
      <c r="I41" s="545"/>
      <c r="J41" s="545"/>
      <c r="K41" s="545"/>
      <c r="L41" s="545"/>
      <c r="M41" s="545"/>
      <c r="N41" s="545"/>
    </row>
    <row r="42" spans="1:22" ht="15.75" hidden="1" customHeight="1">
      <c r="A42" s="356">
        <v>1</v>
      </c>
      <c r="B42" s="357" t="s">
        <v>255</v>
      </c>
      <c r="C42" s="546" t="s">
        <v>254</v>
      </c>
      <c r="D42" s="547"/>
      <c r="E42" s="547"/>
      <c r="F42" s="545"/>
      <c r="G42" s="545"/>
      <c r="H42" s="545"/>
      <c r="I42" s="545"/>
      <c r="J42" s="545"/>
      <c r="K42" s="545"/>
      <c r="L42" s="545"/>
      <c r="M42" s="545"/>
      <c r="N42" s="545"/>
    </row>
    <row r="43" spans="1:22" ht="15.75" hidden="1" customHeight="1">
      <c r="A43" s="356"/>
      <c r="B43" s="357" t="s">
        <v>256</v>
      </c>
      <c r="C43" s="546" t="s">
        <v>254</v>
      </c>
      <c r="D43" s="547"/>
      <c r="E43" s="547"/>
      <c r="F43" s="545"/>
      <c r="G43" s="545"/>
      <c r="H43" s="545"/>
      <c r="I43" s="545"/>
      <c r="J43" s="545"/>
      <c r="K43" s="545"/>
      <c r="L43" s="545"/>
      <c r="M43" s="545"/>
      <c r="N43" s="545"/>
    </row>
    <row r="44" spans="1:22" ht="15.75" hidden="1" customHeight="1">
      <c r="A44" s="358">
        <v>2</v>
      </c>
      <c r="B44" s="359" t="s">
        <v>257</v>
      </c>
      <c r="C44" s="548" t="s">
        <v>49</v>
      </c>
      <c r="D44" s="547"/>
      <c r="E44" s="547"/>
      <c r="F44" s="545"/>
      <c r="G44" s="545"/>
      <c r="H44" s="545"/>
      <c r="I44" s="545"/>
      <c r="J44" s="545"/>
      <c r="K44" s="545"/>
      <c r="L44" s="545"/>
      <c r="M44" s="545"/>
      <c r="N44" s="545"/>
    </row>
    <row r="45" spans="1:22">
      <c r="A45" s="457"/>
      <c r="B45" s="457"/>
      <c r="C45" s="360"/>
      <c r="D45" s="457"/>
      <c r="E45" s="457"/>
      <c r="F45" s="457"/>
      <c r="G45" s="457"/>
      <c r="H45" s="457"/>
      <c r="I45" s="457"/>
      <c r="J45" s="457"/>
      <c r="K45" s="457"/>
      <c r="L45" s="457"/>
      <c r="M45" s="457"/>
      <c r="N45" s="457"/>
    </row>
    <row r="46" spans="1:22" ht="39" customHeight="1">
      <c r="A46" s="2082"/>
      <c r="B46" s="2082"/>
      <c r="C46" s="2082"/>
      <c r="D46" s="2082"/>
      <c r="E46" s="2082"/>
      <c r="F46" s="2082"/>
      <c r="G46" s="2082"/>
      <c r="H46" s="2082"/>
      <c r="I46" s="2082"/>
      <c r="J46" s="2082"/>
      <c r="K46" s="2082"/>
      <c r="L46" s="2082"/>
      <c r="M46" s="2082"/>
      <c r="N46" s="2082"/>
      <c r="V46" s="404">
        <f>53-5-1</f>
        <v>47</v>
      </c>
    </row>
    <row r="47" spans="1:22" ht="15.75" customHeight="1">
      <c r="A47" s="2082"/>
      <c r="B47" s="2082"/>
      <c r="C47" s="2082"/>
      <c r="D47" s="2082"/>
      <c r="E47" s="2082"/>
      <c r="F47" s="2082"/>
      <c r="G47" s="2082"/>
      <c r="H47" s="2082"/>
      <c r="I47" s="2082"/>
      <c r="J47" s="2082"/>
      <c r="K47" s="2082"/>
      <c r="L47" s="2082"/>
      <c r="M47" s="2082"/>
      <c r="N47" s="2082"/>
    </row>
    <row r="111" spans="50:51" ht="15.75" customHeight="1">
      <c r="AX111" s="406"/>
      <c r="AY111" s="406"/>
    </row>
    <row r="112" spans="50:51" ht="15.75" customHeight="1">
      <c r="AX112" s="406"/>
      <c r="AY112" s="406"/>
    </row>
    <row r="113" spans="50:51" ht="15.75" customHeight="1">
      <c r="AX113" s="406"/>
      <c r="AY113" s="406"/>
    </row>
    <row r="114" spans="50:51" ht="15.75" customHeight="1">
      <c r="AX114" s="406"/>
      <c r="AY114" s="406"/>
    </row>
    <row r="115" spans="50:51" ht="15.75" customHeight="1">
      <c r="AX115" s="406"/>
      <c r="AY115" s="406"/>
    </row>
  </sheetData>
  <mergeCells count="16">
    <mergeCell ref="R6:T6"/>
    <mergeCell ref="A47:N47"/>
    <mergeCell ref="A46:N46"/>
    <mergeCell ref="A1:N1"/>
    <mergeCell ref="A2:N2"/>
    <mergeCell ref="A5:A6"/>
    <mergeCell ref="B5:B6"/>
    <mergeCell ref="C5:C6"/>
    <mergeCell ref="A4:N4"/>
    <mergeCell ref="A3:N3"/>
    <mergeCell ref="D5:D6"/>
    <mergeCell ref="F5:I5"/>
    <mergeCell ref="L5:M5"/>
    <mergeCell ref="N5:N6"/>
    <mergeCell ref="E5:E6"/>
    <mergeCell ref="J5:K5"/>
  </mergeCells>
  <printOptions horizontalCentered="1"/>
  <pageMargins left="0.39370078740157483" right="0.39370078740157483" top="0.6692913385826772" bottom="0.39370078740157483" header="0.19685039370078741" footer="0.19685039370078741"/>
  <pageSetup paperSize="9" scale="96" fitToHeight="0" orientation="portrait" r:id="rId1"/>
  <headerFooter>
    <evenFooter>Page &amp;P</evenFooter>
  </headerFooter>
</worksheet>
</file>

<file path=xl/worksheets/sheet1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CD149"/>
  <sheetViews>
    <sheetView zoomScaleNormal="100" zoomScaleSheetLayoutView="85" workbookViewId="0">
      <pane xSplit="46" ySplit="7" topLeftCell="BI8" activePane="bottomRight" state="frozen"/>
      <selection activeCell="AP143" sqref="AP143"/>
      <selection pane="topRight" activeCell="AP143" sqref="AP143"/>
      <selection pane="bottomLeft" activeCell="AP143" sqref="AP143"/>
      <selection pane="bottomRight" activeCell="BK25" sqref="BK25"/>
    </sheetView>
  </sheetViews>
  <sheetFormatPr defaultColWidth="9" defaultRowHeight="15.75" customHeight="1"/>
  <cols>
    <col min="1" max="1" width="5.25" style="471" customWidth="1"/>
    <col min="2" max="2" width="24" style="536" customWidth="1"/>
    <col min="3" max="3" width="5.75" style="535" customWidth="1"/>
    <col min="4" max="4" width="7.25" style="526" hidden="1" customWidth="1"/>
    <col min="5" max="6" width="7.125" style="526" hidden="1" customWidth="1"/>
    <col min="7" max="7" width="6.25" style="526" hidden="1" customWidth="1"/>
    <col min="8" max="8" width="6.75" style="526" hidden="1" customWidth="1"/>
    <col min="9" max="9" width="7.125" style="526" hidden="1" customWidth="1"/>
    <col min="10" max="10" width="6.25" style="526" hidden="1" customWidth="1"/>
    <col min="11" max="13" width="7.125" style="526" hidden="1" customWidth="1"/>
    <col min="14" max="14" width="6.25" style="526" hidden="1" customWidth="1"/>
    <col min="15" max="16" width="7.125" style="526" hidden="1" customWidth="1"/>
    <col min="17" max="17" width="6.25" style="526" hidden="1" customWidth="1"/>
    <col min="18" max="18" width="6.875" style="526" hidden="1" customWidth="1"/>
    <col min="19" max="21" width="7.25" style="526" hidden="1" customWidth="1"/>
    <col min="22" max="25" width="6.75" style="1047" hidden="1" customWidth="1"/>
    <col min="26" max="26" width="7.125" style="1047" hidden="1" customWidth="1"/>
    <col min="27" max="27" width="7.75" style="1047" hidden="1" customWidth="1"/>
    <col min="28" max="28" width="7.25" style="1047" hidden="1" customWidth="1"/>
    <col min="29" max="29" width="7.25" style="1047" customWidth="1"/>
    <col min="30" max="30" width="8" style="1047" hidden="1" customWidth="1"/>
    <col min="31" max="31" width="7.375" style="1047" hidden="1" customWidth="1"/>
    <col min="32" max="45" width="7.25" style="1047" hidden="1" customWidth="1"/>
    <col min="46" max="46" width="7.25" style="1047" customWidth="1"/>
    <col min="47" max="60" width="7.25" style="1047" hidden="1" customWidth="1"/>
    <col min="61" max="75" width="7.25" style="1775" customWidth="1"/>
    <col min="76" max="76" width="8.375" style="1047" customWidth="1"/>
    <col min="77" max="77" width="7.875" style="1047" customWidth="1"/>
    <col min="78" max="78" width="4.875" style="1047" customWidth="1"/>
    <col min="79" max="79" width="12.625" style="136" hidden="1" customWidth="1"/>
    <col min="80" max="80" width="9.75" style="1239" hidden="1" customWidth="1"/>
    <col min="81" max="81" width="13.875" style="620" customWidth="1"/>
    <col min="82" max="82" width="13.875" style="404" customWidth="1"/>
    <col min="83" max="83" width="16.75" style="404" customWidth="1"/>
    <col min="84" max="16384" width="9" style="404"/>
  </cols>
  <sheetData>
    <row r="1" spans="1:82" s="185" customFormat="1" ht="21.95" customHeight="1">
      <c r="A1" s="2083" t="s">
        <v>787</v>
      </c>
      <c r="B1" s="2083"/>
      <c r="C1" s="2083"/>
      <c r="D1" s="2083"/>
      <c r="E1" s="2083"/>
      <c r="F1" s="2083"/>
      <c r="G1" s="2083"/>
      <c r="H1" s="2083"/>
      <c r="I1" s="2083"/>
      <c r="J1" s="2083"/>
      <c r="K1" s="2083"/>
      <c r="L1" s="2083"/>
      <c r="M1" s="2083"/>
      <c r="N1" s="2083"/>
      <c r="O1" s="2083"/>
      <c r="P1" s="2083"/>
      <c r="Q1" s="2083"/>
      <c r="R1" s="2083"/>
      <c r="S1" s="2083"/>
      <c r="T1" s="2083"/>
      <c r="U1" s="2083"/>
      <c r="V1" s="2083"/>
      <c r="W1" s="2083"/>
      <c r="X1" s="2083"/>
      <c r="Y1" s="2083"/>
      <c r="Z1" s="2083"/>
      <c r="AA1" s="2083"/>
      <c r="AB1" s="2083"/>
      <c r="AC1" s="2083"/>
      <c r="AD1" s="2083"/>
      <c r="AE1" s="2083"/>
      <c r="AF1" s="2083"/>
      <c r="AG1" s="2083"/>
      <c r="AH1" s="2083"/>
      <c r="AI1" s="2083"/>
      <c r="AJ1" s="2083"/>
      <c r="AK1" s="2083"/>
      <c r="AL1" s="2083"/>
      <c r="AM1" s="2083"/>
      <c r="AN1" s="2083"/>
      <c r="AO1" s="2083"/>
      <c r="AP1" s="2083"/>
      <c r="AQ1" s="2083"/>
      <c r="AR1" s="2083"/>
      <c r="AS1" s="2083"/>
      <c r="AT1" s="2083"/>
      <c r="AU1" s="2083"/>
      <c r="AV1" s="2083"/>
      <c r="AW1" s="2083"/>
      <c r="AX1" s="2083"/>
      <c r="AY1" s="2083"/>
      <c r="AZ1" s="2083"/>
      <c r="BA1" s="2083"/>
      <c r="BB1" s="2083"/>
      <c r="BC1" s="2083"/>
      <c r="BD1" s="2083"/>
      <c r="BE1" s="2083"/>
      <c r="BF1" s="2083"/>
      <c r="BG1" s="2083"/>
      <c r="BH1" s="2083"/>
      <c r="BI1" s="2083"/>
      <c r="BJ1" s="2083"/>
      <c r="BK1" s="2083"/>
      <c r="BL1" s="2083"/>
      <c r="BM1" s="2083"/>
      <c r="BN1" s="2083"/>
      <c r="BO1" s="2083"/>
      <c r="BP1" s="2083"/>
      <c r="BQ1" s="2083"/>
      <c r="BR1" s="2083"/>
      <c r="BS1" s="2083"/>
      <c r="BT1" s="2083"/>
      <c r="BU1" s="2083"/>
      <c r="BV1" s="2083"/>
      <c r="BW1" s="2083"/>
      <c r="BX1" s="2083"/>
      <c r="BY1" s="2083"/>
      <c r="BZ1" s="2083"/>
      <c r="CA1" s="136"/>
      <c r="CB1" s="1239"/>
      <c r="CC1" s="186"/>
    </row>
    <row r="2" spans="1:82" s="185" customFormat="1" ht="21.95" customHeight="1">
      <c r="A2" s="2093" t="s">
        <v>786</v>
      </c>
      <c r="B2" s="2093"/>
      <c r="C2" s="2093"/>
      <c r="D2" s="2093"/>
      <c r="E2" s="2093"/>
      <c r="F2" s="2093"/>
      <c r="G2" s="2093"/>
      <c r="H2" s="2093"/>
      <c r="I2" s="2093"/>
      <c r="J2" s="2093"/>
      <c r="K2" s="2093"/>
      <c r="L2" s="2093"/>
      <c r="M2" s="2093"/>
      <c r="N2" s="2093"/>
      <c r="O2" s="2093"/>
      <c r="P2" s="2093"/>
      <c r="Q2" s="2093"/>
      <c r="R2" s="2093"/>
      <c r="S2" s="2093"/>
      <c r="T2" s="2093"/>
      <c r="U2" s="2093"/>
      <c r="V2" s="2093"/>
      <c r="W2" s="2093"/>
      <c r="X2" s="2093"/>
      <c r="Y2" s="2093"/>
      <c r="Z2" s="2093"/>
      <c r="AA2" s="2093"/>
      <c r="AB2" s="2093"/>
      <c r="AC2" s="2093"/>
      <c r="AD2" s="2093"/>
      <c r="AE2" s="2093"/>
      <c r="AF2" s="2093"/>
      <c r="AG2" s="2093"/>
      <c r="AH2" s="2093"/>
      <c r="AI2" s="2093"/>
      <c r="AJ2" s="2093"/>
      <c r="AK2" s="2093"/>
      <c r="AL2" s="2093"/>
      <c r="AM2" s="2093"/>
      <c r="AN2" s="2093"/>
      <c r="AO2" s="2093"/>
      <c r="AP2" s="2093"/>
      <c r="AQ2" s="2093"/>
      <c r="AR2" s="2093"/>
      <c r="AS2" s="2093"/>
      <c r="AT2" s="2093"/>
      <c r="AU2" s="2093"/>
      <c r="AV2" s="2093"/>
      <c r="AW2" s="2093"/>
      <c r="AX2" s="2093"/>
      <c r="AY2" s="2093"/>
      <c r="AZ2" s="2093"/>
      <c r="BA2" s="2093"/>
      <c r="BB2" s="2093"/>
      <c r="BC2" s="2093"/>
      <c r="BD2" s="2093"/>
      <c r="BE2" s="2093"/>
      <c r="BF2" s="2093"/>
      <c r="BG2" s="2093"/>
      <c r="BH2" s="2093"/>
      <c r="BI2" s="2093"/>
      <c r="BJ2" s="2093"/>
      <c r="BK2" s="2093"/>
      <c r="BL2" s="2093"/>
      <c r="BM2" s="2093"/>
      <c r="BN2" s="2093"/>
      <c r="BO2" s="2093"/>
      <c r="BP2" s="2093"/>
      <c r="BQ2" s="2093"/>
      <c r="BR2" s="2093"/>
      <c r="BS2" s="2093"/>
      <c r="BT2" s="2093"/>
      <c r="BU2" s="2093"/>
      <c r="BV2" s="2093"/>
      <c r="BW2" s="2093"/>
      <c r="BX2" s="2093"/>
      <c r="BY2" s="2093"/>
      <c r="BZ2" s="2093"/>
      <c r="CA2" s="136"/>
      <c r="CB2" s="1239"/>
      <c r="CC2" s="186"/>
    </row>
    <row r="3" spans="1:82" s="185" customFormat="1" ht="21.95" customHeight="1">
      <c r="A3" s="2091" t="str">
        <f>'B1 Bieu TH '!A3:Q3</f>
        <v>(Kèm theo Báo cáo số:  1525 /BC-UBND, ngày   30  tháng 5 năm 2025 của UBND huyện Mường Tè)</v>
      </c>
      <c r="B3" s="2092"/>
      <c r="C3" s="2092"/>
      <c r="D3" s="2092"/>
      <c r="E3" s="2092"/>
      <c r="F3" s="2092"/>
      <c r="G3" s="2092"/>
      <c r="H3" s="2092"/>
      <c r="I3" s="2092"/>
      <c r="J3" s="2092"/>
      <c r="K3" s="2092"/>
      <c r="L3" s="2092"/>
      <c r="M3" s="2092"/>
      <c r="N3" s="2092"/>
      <c r="O3" s="2092"/>
      <c r="P3" s="2092"/>
      <c r="Q3" s="2092"/>
      <c r="R3" s="2092"/>
      <c r="S3" s="2092"/>
      <c r="T3" s="2092"/>
      <c r="U3" s="2092"/>
      <c r="V3" s="2092"/>
      <c r="W3" s="2092"/>
      <c r="X3" s="2092"/>
      <c r="Y3" s="2092"/>
      <c r="Z3" s="2092"/>
      <c r="AA3" s="2092"/>
      <c r="AB3" s="2092"/>
      <c r="AC3" s="2092"/>
      <c r="AD3" s="2092"/>
      <c r="AE3" s="2092"/>
      <c r="AF3" s="2092"/>
      <c r="AG3" s="2092"/>
      <c r="AH3" s="2092"/>
      <c r="AI3" s="2092"/>
      <c r="AJ3" s="2092"/>
      <c r="AK3" s="2092"/>
      <c r="AL3" s="2092"/>
      <c r="AM3" s="2092"/>
      <c r="AN3" s="2092"/>
      <c r="AO3" s="2092"/>
      <c r="AP3" s="2092"/>
      <c r="AQ3" s="2092"/>
      <c r="AR3" s="2092"/>
      <c r="AS3" s="2092"/>
      <c r="AT3" s="2092"/>
      <c r="AU3" s="2092"/>
      <c r="AV3" s="2092"/>
      <c r="AW3" s="2092"/>
      <c r="AX3" s="2092"/>
      <c r="AY3" s="2092"/>
      <c r="AZ3" s="2092"/>
      <c r="BA3" s="2092"/>
      <c r="BB3" s="2092"/>
      <c r="BC3" s="2092"/>
      <c r="BD3" s="2092"/>
      <c r="BE3" s="2092"/>
      <c r="BF3" s="2092"/>
      <c r="BG3" s="2092"/>
      <c r="BH3" s="2092"/>
      <c r="BI3" s="2092"/>
      <c r="BJ3" s="2092"/>
      <c r="BK3" s="2092"/>
      <c r="BL3" s="2092"/>
      <c r="BM3" s="2092"/>
      <c r="BN3" s="2092"/>
      <c r="BO3" s="2092"/>
      <c r="BP3" s="2092"/>
      <c r="BQ3" s="2092"/>
      <c r="BR3" s="2092"/>
      <c r="BS3" s="2092"/>
      <c r="BT3" s="2092"/>
      <c r="BU3" s="2092"/>
      <c r="BV3" s="2092"/>
      <c r="BW3" s="2092"/>
      <c r="BX3" s="2092"/>
      <c r="BY3" s="2092"/>
      <c r="BZ3" s="2092"/>
      <c r="CA3" s="136"/>
      <c r="CB3" s="1239"/>
      <c r="CC3" s="186"/>
    </row>
    <row r="4" spans="1:82" s="32" customFormat="1" ht="21.75" customHeight="1">
      <c r="A4" s="527"/>
      <c r="D4" s="528"/>
      <c r="E4" s="528"/>
      <c r="F4" s="528"/>
      <c r="G4" s="528"/>
      <c r="H4" s="528"/>
      <c r="I4" s="528"/>
      <c r="J4" s="528"/>
      <c r="K4" s="528"/>
      <c r="L4" s="528"/>
      <c r="M4" s="528"/>
      <c r="N4" s="528"/>
      <c r="O4" s="528"/>
      <c r="P4" s="528"/>
      <c r="Q4" s="528"/>
      <c r="R4" s="528"/>
      <c r="S4" s="528"/>
      <c r="T4" s="528"/>
      <c r="U4" s="528"/>
      <c r="V4" s="977"/>
      <c r="W4" s="977"/>
      <c r="X4" s="977"/>
      <c r="Y4" s="977"/>
      <c r="Z4" s="977"/>
      <c r="AA4" s="977"/>
      <c r="AB4" s="977"/>
      <c r="AC4" s="977"/>
      <c r="AD4" s="977"/>
      <c r="AE4" s="977"/>
      <c r="AF4" s="977"/>
      <c r="AG4" s="977"/>
      <c r="AH4" s="977"/>
      <c r="AI4" s="977"/>
      <c r="AJ4" s="977"/>
      <c r="AK4" s="977"/>
      <c r="AL4" s="977"/>
      <c r="AM4" s="977"/>
      <c r="AN4" s="977"/>
      <c r="AO4" s="977"/>
      <c r="AP4" s="977"/>
      <c r="AQ4" s="977"/>
      <c r="AR4" s="977"/>
      <c r="AS4" s="977"/>
      <c r="AT4" s="1240"/>
      <c r="AU4" s="977"/>
      <c r="AV4" s="977"/>
      <c r="AW4" s="1240"/>
      <c r="AX4" s="977"/>
      <c r="AY4" s="977"/>
      <c r="AZ4" s="977"/>
      <c r="BA4" s="977"/>
      <c r="BB4" s="977"/>
      <c r="BC4" s="977"/>
      <c r="BD4" s="977"/>
      <c r="BE4" s="977"/>
      <c r="BF4" s="977"/>
      <c r="BG4" s="977"/>
      <c r="BH4" s="977"/>
      <c r="BI4" s="1743"/>
      <c r="BJ4" s="1744"/>
      <c r="BK4" s="1744"/>
      <c r="BL4" s="1743"/>
      <c r="BM4" s="1744"/>
      <c r="BN4" s="1744"/>
      <c r="BO4" s="1744"/>
      <c r="BP4" s="1744"/>
      <c r="BQ4" s="1744"/>
      <c r="BR4" s="1744"/>
      <c r="BS4" s="1744"/>
      <c r="BT4" s="1744"/>
      <c r="BU4" s="1744"/>
      <c r="BV4" s="1744"/>
      <c r="BW4" s="1744"/>
      <c r="BX4" s="977"/>
      <c r="BY4" s="977"/>
      <c r="BZ4" s="977"/>
      <c r="CA4" s="1241"/>
      <c r="CB4" s="1242"/>
      <c r="CC4" s="1243"/>
    </row>
    <row r="5" spans="1:82" s="185" customFormat="1" ht="26.25" customHeight="1">
      <c r="A5" s="2033" t="s">
        <v>178</v>
      </c>
      <c r="B5" s="2033" t="s">
        <v>56</v>
      </c>
      <c r="C5" s="2033" t="s">
        <v>57</v>
      </c>
      <c r="D5" s="1790"/>
      <c r="E5" s="1790"/>
      <c r="F5" s="1790"/>
      <c r="G5" s="1790"/>
      <c r="H5" s="1790"/>
      <c r="I5" s="1790"/>
      <c r="J5" s="1790"/>
      <c r="K5" s="1790"/>
      <c r="L5" s="1790"/>
      <c r="M5" s="1790"/>
      <c r="N5" s="1790"/>
      <c r="O5" s="1790"/>
      <c r="P5" s="1790"/>
      <c r="Q5" s="1790"/>
      <c r="R5" s="1790"/>
      <c r="S5" s="1790"/>
      <c r="T5" s="1792" t="s">
        <v>810</v>
      </c>
      <c r="U5" s="2094" t="s">
        <v>813</v>
      </c>
      <c r="V5" s="1790"/>
      <c r="W5" s="1790"/>
      <c r="X5" s="1790"/>
      <c r="Y5" s="1790"/>
      <c r="Z5" s="1790"/>
      <c r="AA5" s="2035" t="s">
        <v>880</v>
      </c>
      <c r="AB5" s="2035" t="s">
        <v>865</v>
      </c>
      <c r="AC5" s="2035"/>
      <c r="AD5" s="2035"/>
      <c r="AE5" s="2035"/>
      <c r="AF5" s="2035"/>
      <c r="AG5" s="2035"/>
      <c r="AH5" s="2035"/>
      <c r="AI5" s="2035"/>
      <c r="AJ5" s="2035"/>
      <c r="AK5" s="2035"/>
      <c r="AL5" s="2035"/>
      <c r="AM5" s="2035"/>
      <c r="AN5" s="2035"/>
      <c r="AO5" s="2035"/>
      <c r="AP5" s="2035"/>
      <c r="AQ5" s="2035"/>
      <c r="AR5" s="2035"/>
      <c r="AS5" s="2035"/>
      <c r="AT5" s="2038" t="s">
        <v>952</v>
      </c>
      <c r="AU5" s="2039"/>
      <c r="AV5" s="2039"/>
      <c r="AW5" s="2039"/>
      <c r="AX5" s="2039"/>
      <c r="AY5" s="2039"/>
      <c r="AZ5" s="2039"/>
      <c r="BA5" s="2039"/>
      <c r="BB5" s="2039"/>
      <c r="BC5" s="2039"/>
      <c r="BD5" s="2039"/>
      <c r="BE5" s="2039"/>
      <c r="BF5" s="2039"/>
      <c r="BG5" s="2039"/>
      <c r="BH5" s="2039"/>
      <c r="BI5" s="2039"/>
      <c r="BJ5" s="2039"/>
      <c r="BK5" s="2039"/>
      <c r="BL5" s="2039"/>
      <c r="BM5" s="2039"/>
      <c r="BN5" s="2039"/>
      <c r="BO5" s="2039"/>
      <c r="BP5" s="2039"/>
      <c r="BQ5" s="2039"/>
      <c r="BR5" s="2039"/>
      <c r="BS5" s="2039"/>
      <c r="BT5" s="2039"/>
      <c r="BU5" s="2039"/>
      <c r="BV5" s="2039"/>
      <c r="BW5" s="2040"/>
      <c r="BX5" s="2035" t="s">
        <v>866</v>
      </c>
      <c r="BY5" s="2035"/>
      <c r="BZ5" s="2035" t="s">
        <v>656</v>
      </c>
      <c r="CA5" s="136"/>
      <c r="CB5" s="1239"/>
      <c r="CC5" s="186"/>
    </row>
    <row r="6" spans="1:82" s="185" customFormat="1" ht="21.95" customHeight="1">
      <c r="A6" s="2033"/>
      <c r="B6" s="2033"/>
      <c r="C6" s="2033"/>
      <c r="D6" s="1790"/>
      <c r="E6" s="1790"/>
      <c r="F6" s="1790"/>
      <c r="G6" s="1790"/>
      <c r="H6" s="1790"/>
      <c r="I6" s="1790"/>
      <c r="J6" s="1790"/>
      <c r="K6" s="1790"/>
      <c r="L6" s="1790"/>
      <c r="M6" s="1790"/>
      <c r="N6" s="1790"/>
      <c r="O6" s="1790"/>
      <c r="P6" s="1790"/>
      <c r="Q6" s="1790"/>
      <c r="R6" s="1790"/>
      <c r="S6" s="1790"/>
      <c r="T6" s="1792"/>
      <c r="U6" s="2094"/>
      <c r="V6" s="1790"/>
      <c r="W6" s="1790"/>
      <c r="X6" s="1790"/>
      <c r="Y6" s="1790"/>
      <c r="Z6" s="1790"/>
      <c r="AA6" s="2035"/>
      <c r="AB6" s="2035" t="s">
        <v>11</v>
      </c>
      <c r="AC6" s="2036" t="s">
        <v>566</v>
      </c>
      <c r="AD6" s="1790"/>
      <c r="AE6" s="2035" t="s">
        <v>797</v>
      </c>
      <c r="AF6" s="2035" t="s">
        <v>882</v>
      </c>
      <c r="AG6" s="2035"/>
      <c r="AH6" s="2035"/>
      <c r="AI6" s="2035"/>
      <c r="AJ6" s="2035"/>
      <c r="AK6" s="2035"/>
      <c r="AL6" s="2035"/>
      <c r="AM6" s="2035"/>
      <c r="AN6" s="2035"/>
      <c r="AO6" s="2035"/>
      <c r="AP6" s="2035"/>
      <c r="AQ6" s="2035"/>
      <c r="AR6" s="2035"/>
      <c r="AS6" s="2035"/>
      <c r="AT6" s="2035" t="s">
        <v>765</v>
      </c>
      <c r="AU6" s="2035" t="s">
        <v>883</v>
      </c>
      <c r="AV6" s="2035"/>
      <c r="AW6" s="2035"/>
      <c r="AX6" s="2035"/>
      <c r="AY6" s="2035"/>
      <c r="AZ6" s="2035"/>
      <c r="BA6" s="2035"/>
      <c r="BB6" s="2035"/>
      <c r="BC6" s="2035"/>
      <c r="BD6" s="2035"/>
      <c r="BE6" s="2035"/>
      <c r="BF6" s="2035"/>
      <c r="BG6" s="2035"/>
      <c r="BH6" s="2035"/>
      <c r="BI6" s="2090" t="s">
        <v>958</v>
      </c>
      <c r="BJ6" s="2090" t="s">
        <v>883</v>
      </c>
      <c r="BK6" s="2090"/>
      <c r="BL6" s="2090"/>
      <c r="BM6" s="2090"/>
      <c r="BN6" s="2090"/>
      <c r="BO6" s="2090"/>
      <c r="BP6" s="2090"/>
      <c r="BQ6" s="2090"/>
      <c r="BR6" s="2090"/>
      <c r="BS6" s="2090"/>
      <c r="BT6" s="2090"/>
      <c r="BU6" s="2090"/>
      <c r="BV6" s="2090"/>
      <c r="BW6" s="2090"/>
      <c r="BX6" s="2035" t="s">
        <v>959</v>
      </c>
      <c r="BY6" s="2035" t="s">
        <v>960</v>
      </c>
      <c r="BZ6" s="2035"/>
      <c r="CA6" s="136"/>
      <c r="CB6" s="1239"/>
      <c r="CC6" s="186"/>
    </row>
    <row r="7" spans="1:82" s="185" customFormat="1" ht="61.5" customHeight="1">
      <c r="A7" s="2033"/>
      <c r="B7" s="2033"/>
      <c r="C7" s="2033"/>
      <c r="D7" s="1790"/>
      <c r="E7" s="1794" t="s">
        <v>59</v>
      </c>
      <c r="F7" s="1794" t="s">
        <v>60</v>
      </c>
      <c r="G7" s="1794" t="s">
        <v>61</v>
      </c>
      <c r="H7" s="1794" t="s">
        <v>62</v>
      </c>
      <c r="I7" s="1794" t="s">
        <v>63</v>
      </c>
      <c r="J7" s="1794" t="s">
        <v>64</v>
      </c>
      <c r="K7" s="1794" t="s">
        <v>65</v>
      </c>
      <c r="L7" s="1794" t="s">
        <v>66</v>
      </c>
      <c r="M7" s="1794" t="s">
        <v>67</v>
      </c>
      <c r="N7" s="1794" t="s">
        <v>68</v>
      </c>
      <c r="O7" s="1794" t="s">
        <v>69</v>
      </c>
      <c r="P7" s="1794" t="s">
        <v>70</v>
      </c>
      <c r="Q7" s="1794" t="s">
        <v>71</v>
      </c>
      <c r="R7" s="1794" t="s">
        <v>72</v>
      </c>
      <c r="S7" s="1792"/>
      <c r="T7" s="1792"/>
      <c r="U7" s="2094"/>
      <c r="V7" s="1794" t="s">
        <v>59</v>
      </c>
      <c r="W7" s="1794" t="s">
        <v>60</v>
      </c>
      <c r="X7" s="1794" t="s">
        <v>61</v>
      </c>
      <c r="Y7" s="1794" t="s">
        <v>62</v>
      </c>
      <c r="Z7" s="1794" t="s">
        <v>63</v>
      </c>
      <c r="AA7" s="2035"/>
      <c r="AB7" s="2035"/>
      <c r="AC7" s="2037"/>
      <c r="AD7" s="1790" t="s">
        <v>871</v>
      </c>
      <c r="AE7" s="2035"/>
      <c r="AF7" s="1794" t="s">
        <v>59</v>
      </c>
      <c r="AG7" s="1794" t="s">
        <v>60</v>
      </c>
      <c r="AH7" s="1794" t="s">
        <v>61</v>
      </c>
      <c r="AI7" s="1794" t="s">
        <v>62</v>
      </c>
      <c r="AJ7" s="1794" t="s">
        <v>63</v>
      </c>
      <c r="AK7" s="1794" t="s">
        <v>64</v>
      </c>
      <c r="AL7" s="1794" t="s">
        <v>65</v>
      </c>
      <c r="AM7" s="1794" t="s">
        <v>66</v>
      </c>
      <c r="AN7" s="1794" t="s">
        <v>67</v>
      </c>
      <c r="AO7" s="1794" t="s">
        <v>68</v>
      </c>
      <c r="AP7" s="1794" t="s">
        <v>69</v>
      </c>
      <c r="AQ7" s="1794" t="s">
        <v>70</v>
      </c>
      <c r="AR7" s="1794" t="s">
        <v>71</v>
      </c>
      <c r="AS7" s="1794" t="s">
        <v>72</v>
      </c>
      <c r="AT7" s="2035"/>
      <c r="AU7" s="1794" t="s">
        <v>59</v>
      </c>
      <c r="AV7" s="1794" t="s">
        <v>60</v>
      </c>
      <c r="AW7" s="1794" t="s">
        <v>61</v>
      </c>
      <c r="AX7" s="1794" t="s">
        <v>62</v>
      </c>
      <c r="AY7" s="1794" t="s">
        <v>63</v>
      </c>
      <c r="AZ7" s="1794" t="s">
        <v>64</v>
      </c>
      <c r="BA7" s="1794" t="s">
        <v>65</v>
      </c>
      <c r="BB7" s="1794" t="s">
        <v>66</v>
      </c>
      <c r="BC7" s="1794" t="s">
        <v>67</v>
      </c>
      <c r="BD7" s="1794" t="s">
        <v>68</v>
      </c>
      <c r="BE7" s="1794" t="s">
        <v>69</v>
      </c>
      <c r="BF7" s="1794" t="s">
        <v>70</v>
      </c>
      <c r="BG7" s="1794" t="s">
        <v>71</v>
      </c>
      <c r="BH7" s="1794" t="s">
        <v>72</v>
      </c>
      <c r="BI7" s="2090"/>
      <c r="BJ7" s="1745" t="s">
        <v>59</v>
      </c>
      <c r="BK7" s="1745" t="s">
        <v>974</v>
      </c>
      <c r="BL7" s="1745" t="s">
        <v>975</v>
      </c>
      <c r="BM7" s="1745" t="s">
        <v>976</v>
      </c>
      <c r="BN7" s="1745" t="s">
        <v>977</v>
      </c>
      <c r="BO7" s="1745" t="s">
        <v>978</v>
      </c>
      <c r="BP7" s="1745" t="s">
        <v>979</v>
      </c>
      <c r="BQ7" s="1745" t="s">
        <v>980</v>
      </c>
      <c r="BR7" s="1745" t="s">
        <v>981</v>
      </c>
      <c r="BS7" s="1745" t="s">
        <v>982</v>
      </c>
      <c r="BT7" s="1745" t="s">
        <v>983</v>
      </c>
      <c r="BU7" s="1745" t="s">
        <v>984</v>
      </c>
      <c r="BV7" s="1745" t="s">
        <v>985</v>
      </c>
      <c r="BW7" s="1745" t="s">
        <v>986</v>
      </c>
      <c r="BX7" s="2035"/>
      <c r="BY7" s="2035"/>
      <c r="BZ7" s="2035"/>
      <c r="CA7" s="831" t="s">
        <v>923</v>
      </c>
      <c r="CB7" s="353" t="s">
        <v>924</v>
      </c>
      <c r="CC7" s="127"/>
      <c r="CD7" s="127"/>
    </row>
    <row r="8" spans="1:82" s="1247" customFormat="1" ht="35.1" customHeight="1">
      <c r="A8" s="1138" t="s">
        <v>83</v>
      </c>
      <c r="B8" s="1139" t="s">
        <v>258</v>
      </c>
      <c r="C8" s="1138"/>
      <c r="D8" s="833"/>
      <c r="E8" s="833"/>
      <c r="F8" s="833"/>
      <c r="G8" s="833"/>
      <c r="H8" s="833"/>
      <c r="I8" s="833"/>
      <c r="J8" s="833"/>
      <c r="K8" s="833"/>
      <c r="L8" s="833"/>
      <c r="M8" s="833"/>
      <c r="N8" s="833"/>
      <c r="O8" s="833"/>
      <c r="P8" s="833"/>
      <c r="Q8" s="833"/>
      <c r="R8" s="833"/>
      <c r="S8" s="833"/>
      <c r="T8" s="833"/>
      <c r="U8" s="1140"/>
      <c r="V8" s="1792"/>
      <c r="W8" s="1792"/>
      <c r="X8" s="1792"/>
      <c r="Y8" s="1792"/>
      <c r="Z8" s="1792"/>
      <c r="AA8" s="1792"/>
      <c r="AB8" s="1792"/>
      <c r="AC8" s="1792"/>
      <c r="AD8" s="1792"/>
      <c r="AE8" s="1792"/>
      <c r="AF8" s="1792"/>
      <c r="AG8" s="1792"/>
      <c r="AH8" s="1792"/>
      <c r="AI8" s="1792"/>
      <c r="AJ8" s="1792"/>
      <c r="AK8" s="1792"/>
      <c r="AL8" s="1792"/>
      <c r="AM8" s="1792"/>
      <c r="AN8" s="1792"/>
      <c r="AO8" s="1792"/>
      <c r="AP8" s="1792"/>
      <c r="AQ8" s="1792"/>
      <c r="AR8" s="1792"/>
      <c r="AS8" s="1792"/>
      <c r="AT8" s="1792"/>
      <c r="AU8" s="1792"/>
      <c r="AV8" s="1792"/>
      <c r="AW8" s="1792"/>
      <c r="AX8" s="1792"/>
      <c r="AY8" s="1792"/>
      <c r="AZ8" s="1792"/>
      <c r="BA8" s="1792"/>
      <c r="BB8" s="1792"/>
      <c r="BC8" s="1792"/>
      <c r="BD8" s="1792"/>
      <c r="BE8" s="1792"/>
      <c r="BF8" s="1792"/>
      <c r="BG8" s="1792"/>
      <c r="BH8" s="1792"/>
      <c r="BI8" s="1746"/>
      <c r="BJ8" s="1746"/>
      <c r="BK8" s="1746"/>
      <c r="BL8" s="1746"/>
      <c r="BM8" s="1746"/>
      <c r="BN8" s="1746"/>
      <c r="BO8" s="1746"/>
      <c r="BP8" s="1746"/>
      <c r="BQ8" s="1746"/>
      <c r="BR8" s="1746"/>
      <c r="BS8" s="1746"/>
      <c r="BT8" s="1746"/>
      <c r="BU8" s="1746"/>
      <c r="BV8" s="1746"/>
      <c r="BW8" s="1746"/>
      <c r="BX8" s="1792"/>
      <c r="BY8" s="1792"/>
      <c r="BZ8" s="1792"/>
      <c r="CA8" s="1244"/>
      <c r="CB8" s="1245"/>
      <c r="CC8" s="1246"/>
    </row>
    <row r="9" spans="1:82" s="530" customFormat="1" ht="21.95" hidden="1" customHeight="1">
      <c r="A9" s="1141">
        <v>1</v>
      </c>
      <c r="B9" s="1142" t="s">
        <v>259</v>
      </c>
      <c r="C9" s="1143" t="s">
        <v>260</v>
      </c>
      <c r="D9" s="952">
        <f>SUM(E9:R9)</f>
        <v>11155</v>
      </c>
      <c r="E9" s="1144">
        <v>1615</v>
      </c>
      <c r="F9" s="1144">
        <v>798</v>
      </c>
      <c r="G9" s="1144">
        <v>629</v>
      </c>
      <c r="H9" s="1144">
        <v>428</v>
      </c>
      <c r="I9" s="1144">
        <v>1203</v>
      </c>
      <c r="J9" s="1144">
        <v>531</v>
      </c>
      <c r="K9" s="1144">
        <v>725</v>
      </c>
      <c r="L9" s="1144">
        <v>889</v>
      </c>
      <c r="M9" s="1144">
        <v>871</v>
      </c>
      <c r="N9" s="1144">
        <v>399</v>
      </c>
      <c r="O9" s="1144">
        <v>513</v>
      </c>
      <c r="P9" s="1144">
        <v>515</v>
      </c>
      <c r="Q9" s="1144">
        <v>698</v>
      </c>
      <c r="R9" s="1144">
        <v>1341</v>
      </c>
      <c r="S9" s="952">
        <v>10802</v>
      </c>
      <c r="T9" s="952">
        <v>10802</v>
      </c>
      <c r="U9" s="952">
        <v>11093</v>
      </c>
      <c r="V9" s="1248">
        <v>1511</v>
      </c>
      <c r="W9" s="1188">
        <v>803</v>
      </c>
      <c r="X9" s="1188">
        <v>623</v>
      </c>
      <c r="Y9" s="1188">
        <v>430</v>
      </c>
      <c r="Z9" s="1248">
        <v>1068</v>
      </c>
      <c r="AA9" s="952">
        <v>11478</v>
      </c>
      <c r="AB9" s="952" t="e">
        <f>SUM(#REF!)</f>
        <v>#REF!</v>
      </c>
      <c r="AC9" s="952"/>
      <c r="AD9" s="952"/>
      <c r="AE9" s="952">
        <f>SUM(AF9:AS9)</f>
        <v>11664</v>
      </c>
      <c r="AF9" s="952">
        <v>1526</v>
      </c>
      <c r="AG9" s="952">
        <v>819</v>
      </c>
      <c r="AH9" s="952">
        <v>651</v>
      </c>
      <c r="AI9" s="952">
        <v>447</v>
      </c>
      <c r="AJ9" s="952">
        <v>1210</v>
      </c>
      <c r="AK9" s="952">
        <v>536</v>
      </c>
      <c r="AL9" s="952">
        <v>821</v>
      </c>
      <c r="AM9" s="952">
        <v>933</v>
      </c>
      <c r="AN9" s="952">
        <v>873</v>
      </c>
      <c r="AO9" s="952">
        <v>436</v>
      </c>
      <c r="AP9" s="952">
        <v>591</v>
      </c>
      <c r="AQ9" s="952">
        <v>538</v>
      </c>
      <c r="AR9" s="952">
        <v>871</v>
      </c>
      <c r="AS9" s="952">
        <v>1412</v>
      </c>
      <c r="AT9" s="952">
        <f>SUM(AU9:BH9)</f>
        <v>11927</v>
      </c>
      <c r="AU9" s="740">
        <v>1546</v>
      </c>
      <c r="AV9" s="740">
        <v>839</v>
      </c>
      <c r="AW9" s="740">
        <v>671</v>
      </c>
      <c r="AX9" s="740">
        <v>467</v>
      </c>
      <c r="AY9" s="740">
        <v>1225</v>
      </c>
      <c r="AZ9" s="740">
        <v>556</v>
      </c>
      <c r="BA9" s="740">
        <v>841</v>
      </c>
      <c r="BB9" s="740">
        <v>954</v>
      </c>
      <c r="BC9" s="740">
        <v>892</v>
      </c>
      <c r="BD9" s="740">
        <v>454</v>
      </c>
      <c r="BE9" s="740">
        <v>609</v>
      </c>
      <c r="BF9" s="740">
        <v>556</v>
      </c>
      <c r="BG9" s="740">
        <v>889</v>
      </c>
      <c r="BH9" s="740">
        <v>1428</v>
      </c>
      <c r="BI9" s="945"/>
      <c r="BJ9" s="1747"/>
      <c r="BK9" s="1747"/>
      <c r="BL9" s="1747"/>
      <c r="BM9" s="1747"/>
      <c r="BN9" s="1747"/>
      <c r="BO9" s="1747"/>
      <c r="BP9" s="1747"/>
      <c r="BQ9" s="1747"/>
      <c r="BR9" s="1747"/>
      <c r="BS9" s="1747"/>
      <c r="BT9" s="1747"/>
      <c r="BU9" s="1747"/>
      <c r="BV9" s="1747"/>
      <c r="BW9" s="1747"/>
      <c r="BX9" s="1145"/>
      <c r="BY9" s="1145"/>
      <c r="BZ9" s="1145"/>
      <c r="CA9" s="136">
        <v>12015</v>
      </c>
      <c r="CB9" s="368">
        <f t="shared" ref="CB9:CB18" si="0">AT9-CA9</f>
        <v>-88</v>
      </c>
      <c r="CC9" s="369"/>
    </row>
    <row r="10" spans="1:82" s="530" customFormat="1" ht="21.95" hidden="1" customHeight="1">
      <c r="A10" s="1141">
        <v>2</v>
      </c>
      <c r="B10" s="1142" t="s">
        <v>261</v>
      </c>
      <c r="C10" s="1143" t="s">
        <v>260</v>
      </c>
      <c r="D10" s="952">
        <f>SUM(E10:R10)</f>
        <v>5801</v>
      </c>
      <c r="E10" s="952">
        <f>145-E17+E18</f>
        <v>117</v>
      </c>
      <c r="F10" s="952">
        <f>408-F17+F18</f>
        <v>381</v>
      </c>
      <c r="G10" s="952">
        <f>395-G17+G18</f>
        <v>366</v>
      </c>
      <c r="H10" s="952">
        <f>265-H17+H18</f>
        <v>237</v>
      </c>
      <c r="I10" s="952">
        <f>430-I17+I18</f>
        <v>401</v>
      </c>
      <c r="J10" s="952">
        <f>295-J17+J18</f>
        <v>268</v>
      </c>
      <c r="K10" s="952">
        <f>620-K17+K18</f>
        <v>592</v>
      </c>
      <c r="L10" s="952">
        <f>717-L17+L18</f>
        <v>689</v>
      </c>
      <c r="M10" s="952">
        <f>756-M17+M18</f>
        <v>728</v>
      </c>
      <c r="N10" s="952">
        <f>315-N17+N18</f>
        <v>287</v>
      </c>
      <c r="O10" s="952">
        <f>340-O17+O18</f>
        <v>312</v>
      </c>
      <c r="P10" s="952">
        <f>218-P17+P18</f>
        <v>190</v>
      </c>
      <c r="Q10" s="952">
        <f>525-Q17+Q18</f>
        <v>495</v>
      </c>
      <c r="R10" s="952">
        <f>770-R17+R18</f>
        <v>738</v>
      </c>
      <c r="S10" s="952">
        <v>6163</v>
      </c>
      <c r="T10" s="952">
        <v>6163</v>
      </c>
      <c r="U10" s="952">
        <v>5769</v>
      </c>
      <c r="V10" s="1188">
        <v>130</v>
      </c>
      <c r="W10" s="1188">
        <v>386</v>
      </c>
      <c r="X10" s="1188">
        <v>306</v>
      </c>
      <c r="Y10" s="1188">
        <v>235</v>
      </c>
      <c r="Z10" s="1188">
        <v>406</v>
      </c>
      <c r="AA10" s="952">
        <v>5078</v>
      </c>
      <c r="AB10" s="952" t="e">
        <f>SUM(#REF!)</f>
        <v>#REF!</v>
      </c>
      <c r="AC10" s="952"/>
      <c r="AD10" s="952"/>
      <c r="AE10" s="952">
        <f>SUM(AF10:AS10)</f>
        <v>4255</v>
      </c>
      <c r="AF10" s="952">
        <v>98</v>
      </c>
      <c r="AG10" s="952">
        <v>144</v>
      </c>
      <c r="AH10" s="952">
        <v>237</v>
      </c>
      <c r="AI10" s="952">
        <v>178</v>
      </c>
      <c r="AJ10" s="952">
        <v>258</v>
      </c>
      <c r="AK10" s="952">
        <v>158</v>
      </c>
      <c r="AL10" s="952">
        <v>477</v>
      </c>
      <c r="AM10" s="952">
        <v>597</v>
      </c>
      <c r="AN10" s="952">
        <v>514</v>
      </c>
      <c r="AO10" s="952">
        <v>279</v>
      </c>
      <c r="AP10" s="952">
        <v>271</v>
      </c>
      <c r="AQ10" s="952">
        <v>154</v>
      </c>
      <c r="AR10" s="952">
        <v>393</v>
      </c>
      <c r="AS10" s="952">
        <v>497</v>
      </c>
      <c r="AT10" s="952">
        <f>SUM(AU10:BH10)</f>
        <v>3316</v>
      </c>
      <c r="AU10" s="952">
        <v>49</v>
      </c>
      <c r="AV10" s="952">
        <v>81</v>
      </c>
      <c r="AW10" s="952">
        <v>183</v>
      </c>
      <c r="AX10" s="952">
        <v>142</v>
      </c>
      <c r="AY10" s="952">
        <v>180</v>
      </c>
      <c r="AZ10" s="952">
        <v>96</v>
      </c>
      <c r="BA10" s="952">
        <v>411</v>
      </c>
      <c r="BB10" s="952">
        <v>533</v>
      </c>
      <c r="BC10" s="952">
        <v>452</v>
      </c>
      <c r="BD10" s="952">
        <v>233</v>
      </c>
      <c r="BE10" s="952">
        <v>207</v>
      </c>
      <c r="BF10" s="952">
        <v>98</v>
      </c>
      <c r="BG10" s="952">
        <v>323</v>
      </c>
      <c r="BH10" s="952">
        <v>328</v>
      </c>
      <c r="BI10" s="945"/>
      <c r="BJ10" s="945"/>
      <c r="BK10" s="945"/>
      <c r="BL10" s="945"/>
      <c r="BM10" s="945"/>
      <c r="BN10" s="945"/>
      <c r="BO10" s="945"/>
      <c r="BP10" s="945"/>
      <c r="BQ10" s="945"/>
      <c r="BR10" s="945"/>
      <c r="BS10" s="945"/>
      <c r="BT10" s="945"/>
      <c r="BU10" s="945"/>
      <c r="BV10" s="945"/>
      <c r="BW10" s="945"/>
      <c r="BX10" s="1145"/>
      <c r="BY10" s="1145"/>
      <c r="BZ10" s="1145"/>
      <c r="CA10" s="136">
        <v>3359</v>
      </c>
      <c r="CB10" s="368">
        <f t="shared" si="0"/>
        <v>-43</v>
      </c>
      <c r="CC10" s="369"/>
    </row>
    <row r="11" spans="1:82" s="530" customFormat="1" ht="21.95" hidden="1" customHeight="1">
      <c r="A11" s="1141">
        <v>3</v>
      </c>
      <c r="B11" s="1142" t="s">
        <v>571</v>
      </c>
      <c r="C11" s="1143" t="s">
        <v>26</v>
      </c>
      <c r="D11" s="1146">
        <f>D10/D9*100</f>
        <v>52.003585835948009</v>
      </c>
      <c r="E11" s="1146">
        <f>E10/E9*100</f>
        <v>7.2445820433436534</v>
      </c>
      <c r="F11" s="1146">
        <f t="shared" ref="F11:T11" si="1">F10/F9*100</f>
        <v>47.744360902255636</v>
      </c>
      <c r="G11" s="1146">
        <f t="shared" si="1"/>
        <v>58.187599364069953</v>
      </c>
      <c r="H11" s="1146">
        <f t="shared" si="1"/>
        <v>55.373831775700936</v>
      </c>
      <c r="I11" s="1146">
        <f t="shared" si="1"/>
        <v>33.333333333333329</v>
      </c>
      <c r="J11" s="1146">
        <f t="shared" si="1"/>
        <v>50.470809792843696</v>
      </c>
      <c r="K11" s="1146">
        <f t="shared" si="1"/>
        <v>81.65517241379311</v>
      </c>
      <c r="L11" s="1146">
        <f t="shared" si="1"/>
        <v>77.502812148481439</v>
      </c>
      <c r="M11" s="1146">
        <f t="shared" si="1"/>
        <v>83.582089552238799</v>
      </c>
      <c r="N11" s="1146">
        <f t="shared" si="1"/>
        <v>71.929824561403507</v>
      </c>
      <c r="O11" s="1146">
        <f t="shared" si="1"/>
        <v>60.818713450292393</v>
      </c>
      <c r="P11" s="1146">
        <f t="shared" si="1"/>
        <v>36.893203883495147</v>
      </c>
      <c r="Q11" s="1146">
        <f t="shared" si="1"/>
        <v>70.916905444126073</v>
      </c>
      <c r="R11" s="1146">
        <f t="shared" si="1"/>
        <v>55.033557046979865</v>
      </c>
      <c r="S11" s="1146">
        <f t="shared" si="1"/>
        <v>57.05424921310869</v>
      </c>
      <c r="T11" s="1146">
        <f t="shared" si="1"/>
        <v>57.05424921310869</v>
      </c>
      <c r="U11" s="1147">
        <v>52.005769404128728</v>
      </c>
      <c r="V11" s="1147">
        <f t="shared" ref="V11:Z11" si="2">V10/V9*100</f>
        <v>8.6035737921906019</v>
      </c>
      <c r="W11" s="1147">
        <f t="shared" si="2"/>
        <v>48.069738480697382</v>
      </c>
      <c r="X11" s="1147">
        <f t="shared" si="2"/>
        <v>49.117174959871591</v>
      </c>
      <c r="Y11" s="1147">
        <f t="shared" si="2"/>
        <v>54.651162790697668</v>
      </c>
      <c r="Z11" s="1147">
        <f t="shared" si="2"/>
        <v>38.014981273408239</v>
      </c>
      <c r="AA11" s="1147">
        <v>44.241156995992334</v>
      </c>
      <c r="AB11" s="1147" t="e">
        <f>AB10/AB9*100</f>
        <v>#REF!</v>
      </c>
      <c r="AC11" s="1147"/>
      <c r="AD11" s="1147"/>
      <c r="AE11" s="953">
        <f>AE10/AE9%</f>
        <v>36.479766803840874</v>
      </c>
      <c r="AF11" s="953">
        <f t="shared" ref="AF11:AS11" si="3">AF10/AF9%</f>
        <v>6.4220183486238529</v>
      </c>
      <c r="AG11" s="953">
        <f t="shared" si="3"/>
        <v>17.582417582417584</v>
      </c>
      <c r="AH11" s="953">
        <f t="shared" si="3"/>
        <v>36.405529953917053</v>
      </c>
      <c r="AI11" s="953">
        <f t="shared" si="3"/>
        <v>39.821029082774054</v>
      </c>
      <c r="AJ11" s="953">
        <f t="shared" si="3"/>
        <v>21.322314049586776</v>
      </c>
      <c r="AK11" s="953">
        <f t="shared" si="3"/>
        <v>29.477611940298505</v>
      </c>
      <c r="AL11" s="953">
        <f t="shared" si="3"/>
        <v>58.099878197320336</v>
      </c>
      <c r="AM11" s="953">
        <f t="shared" si="3"/>
        <v>63.987138263665592</v>
      </c>
      <c r="AN11" s="953">
        <f t="shared" si="3"/>
        <v>58.877434135166091</v>
      </c>
      <c r="AO11" s="953">
        <f t="shared" si="3"/>
        <v>63.990825688073393</v>
      </c>
      <c r="AP11" s="953">
        <f t="shared" si="3"/>
        <v>45.854483925549914</v>
      </c>
      <c r="AQ11" s="953">
        <f t="shared" si="3"/>
        <v>28.624535315985131</v>
      </c>
      <c r="AR11" s="953">
        <f t="shared" si="3"/>
        <v>45.120551090700339</v>
      </c>
      <c r="AS11" s="953">
        <f t="shared" si="3"/>
        <v>35.198300283286123</v>
      </c>
      <c r="AT11" s="953">
        <f>AT10/AT9%</f>
        <v>27.802464995388615</v>
      </c>
      <c r="AU11" s="953">
        <f>AU10/AU9*100</f>
        <v>3.1694695989650712</v>
      </c>
      <c r="AV11" s="953">
        <f>AV10/AV9*100</f>
        <v>9.6543504171632897</v>
      </c>
      <c r="AW11" s="953">
        <f t="shared" ref="AW11:BH11" si="4">AW10/AW9*100</f>
        <v>27.27272727272727</v>
      </c>
      <c r="AX11" s="953">
        <f t="shared" si="4"/>
        <v>30.406852248394006</v>
      </c>
      <c r="AY11" s="953">
        <f t="shared" si="4"/>
        <v>14.69387755102041</v>
      </c>
      <c r="AZ11" s="953">
        <f t="shared" si="4"/>
        <v>17.266187050359711</v>
      </c>
      <c r="BA11" s="953">
        <f t="shared" si="4"/>
        <v>48.870392390011894</v>
      </c>
      <c r="BB11" s="953">
        <f t="shared" si="4"/>
        <v>55.870020964360592</v>
      </c>
      <c r="BC11" s="953">
        <f t="shared" si="4"/>
        <v>50.672645739910315</v>
      </c>
      <c r="BD11" s="953">
        <f t="shared" si="4"/>
        <v>51.321585903083701</v>
      </c>
      <c r="BE11" s="953">
        <f t="shared" si="4"/>
        <v>33.990147783251231</v>
      </c>
      <c r="BF11" s="953">
        <f t="shared" si="4"/>
        <v>17.625899280575538</v>
      </c>
      <c r="BG11" s="953">
        <f t="shared" si="4"/>
        <v>36.33295838020247</v>
      </c>
      <c r="BH11" s="953">
        <f t="shared" si="4"/>
        <v>22.969187675070028</v>
      </c>
      <c r="BI11" s="1748"/>
      <c r="BJ11" s="1748"/>
      <c r="BK11" s="1748"/>
      <c r="BL11" s="1748"/>
      <c r="BM11" s="1748"/>
      <c r="BN11" s="1748"/>
      <c r="BO11" s="1748"/>
      <c r="BP11" s="1748"/>
      <c r="BQ11" s="1748"/>
      <c r="BR11" s="1748"/>
      <c r="BS11" s="1748"/>
      <c r="BT11" s="1748"/>
      <c r="BU11" s="1748"/>
      <c r="BV11" s="1748"/>
      <c r="BW11" s="1748"/>
      <c r="BX11" s="1145"/>
      <c r="BY11" s="1145"/>
      <c r="BZ11" s="1145"/>
      <c r="CA11" s="128">
        <v>27.96</v>
      </c>
      <c r="CB11" s="368">
        <f t="shared" si="0"/>
        <v>-0.15753500461138614</v>
      </c>
      <c r="CC11" s="1249"/>
    </row>
    <row r="12" spans="1:82" s="1255" customFormat="1" ht="35.1" hidden="1" customHeight="1">
      <c r="A12" s="1148"/>
      <c r="B12" s="1149" t="s">
        <v>262</v>
      </c>
      <c r="C12" s="1150" t="s">
        <v>26</v>
      </c>
      <c r="D12" s="1151">
        <f>D11</f>
        <v>52.003585835948009</v>
      </c>
      <c r="E12" s="1151">
        <f>E11</f>
        <v>7.2445820433436534</v>
      </c>
      <c r="F12" s="1151">
        <f t="shared" ref="F12:T12" si="5">F11</f>
        <v>47.744360902255636</v>
      </c>
      <c r="G12" s="1151">
        <f t="shared" si="5"/>
        <v>58.187599364069953</v>
      </c>
      <c r="H12" s="1151">
        <f t="shared" si="5"/>
        <v>55.373831775700936</v>
      </c>
      <c r="I12" s="1151">
        <f t="shared" si="5"/>
        <v>33.333333333333329</v>
      </c>
      <c r="J12" s="1151">
        <f t="shared" si="5"/>
        <v>50.470809792843696</v>
      </c>
      <c r="K12" s="1151">
        <f t="shared" si="5"/>
        <v>81.65517241379311</v>
      </c>
      <c r="L12" s="1151">
        <f t="shared" si="5"/>
        <v>77.502812148481439</v>
      </c>
      <c r="M12" s="1151">
        <f t="shared" si="5"/>
        <v>83.582089552238799</v>
      </c>
      <c r="N12" s="1151">
        <f t="shared" si="5"/>
        <v>71.929824561403507</v>
      </c>
      <c r="O12" s="1151">
        <f t="shared" si="5"/>
        <v>60.818713450292393</v>
      </c>
      <c r="P12" s="1151">
        <f t="shared" si="5"/>
        <v>36.893203883495147</v>
      </c>
      <c r="Q12" s="1151">
        <f t="shared" si="5"/>
        <v>70.916905444126073</v>
      </c>
      <c r="R12" s="1151">
        <f t="shared" si="5"/>
        <v>55.033557046979865</v>
      </c>
      <c r="S12" s="1151">
        <f t="shared" si="5"/>
        <v>57.05424921310869</v>
      </c>
      <c r="T12" s="1151">
        <f t="shared" si="5"/>
        <v>57.05424921310869</v>
      </c>
      <c r="U12" s="1152">
        <v>52.005769404128728</v>
      </c>
      <c r="V12" s="1250">
        <f>V11</f>
        <v>8.6035737921906019</v>
      </c>
      <c r="W12" s="1250">
        <f t="shared" ref="W12:Z12" si="6">W11</f>
        <v>48.069738480697382</v>
      </c>
      <c r="X12" s="1250">
        <f t="shared" si="6"/>
        <v>49.117174959871591</v>
      </c>
      <c r="Y12" s="1250">
        <f t="shared" si="6"/>
        <v>54.651162790697668</v>
      </c>
      <c r="Z12" s="1250">
        <f t="shared" si="6"/>
        <v>38.014981273408239</v>
      </c>
      <c r="AA12" s="1152">
        <f>AA11</f>
        <v>44.241156995992334</v>
      </c>
      <c r="AB12" s="1152" t="e">
        <f>AB11</f>
        <v>#REF!</v>
      </c>
      <c r="AC12" s="1152"/>
      <c r="AD12" s="1152"/>
      <c r="AE12" s="1153">
        <f>4272/AE9*100</f>
        <v>36.625514403292179</v>
      </c>
      <c r="AF12" s="1153">
        <f>65/AF9*100</f>
        <v>4.2595019659239846</v>
      </c>
      <c r="AG12" s="1153">
        <f t="shared" ref="AG12:AS12" si="7">AG11</f>
        <v>17.582417582417584</v>
      </c>
      <c r="AH12" s="1153">
        <f t="shared" si="7"/>
        <v>36.405529953917053</v>
      </c>
      <c r="AI12" s="1153">
        <f>AI10/AI9*100</f>
        <v>39.821029082774054</v>
      </c>
      <c r="AJ12" s="1153">
        <f>275/AJ9*100</f>
        <v>22.727272727272727</v>
      </c>
      <c r="AK12" s="1153">
        <f>AK11</f>
        <v>29.477611940298505</v>
      </c>
      <c r="AL12" s="1153">
        <f t="shared" si="7"/>
        <v>58.099878197320336</v>
      </c>
      <c r="AM12" s="1153">
        <f t="shared" si="7"/>
        <v>63.987138263665592</v>
      </c>
      <c r="AN12" s="1153">
        <f t="shared" si="7"/>
        <v>58.877434135166091</v>
      </c>
      <c r="AO12" s="1153">
        <f t="shared" si="7"/>
        <v>63.990825688073393</v>
      </c>
      <c r="AP12" s="1153">
        <f t="shared" si="7"/>
        <v>45.854483925549914</v>
      </c>
      <c r="AQ12" s="1153">
        <f t="shared" si="7"/>
        <v>28.624535315985131</v>
      </c>
      <c r="AR12" s="1153">
        <f>391/AR9*100</f>
        <v>44.890929965556829</v>
      </c>
      <c r="AS12" s="1153">
        <f t="shared" si="7"/>
        <v>35.198300283286123</v>
      </c>
      <c r="AT12" s="1153">
        <f>AT11</f>
        <v>27.802464995388615</v>
      </c>
      <c r="AU12" s="1153">
        <f t="shared" ref="AU12:BH12" si="8">AU11</f>
        <v>3.1694695989650712</v>
      </c>
      <c r="AV12" s="1153">
        <f t="shared" si="8"/>
        <v>9.6543504171632897</v>
      </c>
      <c r="AW12" s="1153">
        <f t="shared" si="8"/>
        <v>27.27272727272727</v>
      </c>
      <c r="AX12" s="1153">
        <f t="shared" si="8"/>
        <v>30.406852248394006</v>
      </c>
      <c r="AY12" s="1153">
        <f t="shared" si="8"/>
        <v>14.69387755102041</v>
      </c>
      <c r="AZ12" s="1153">
        <f t="shared" si="8"/>
        <v>17.266187050359711</v>
      </c>
      <c r="BA12" s="1153">
        <f t="shared" si="8"/>
        <v>48.870392390011894</v>
      </c>
      <c r="BB12" s="1153">
        <f t="shared" si="8"/>
        <v>55.870020964360592</v>
      </c>
      <c r="BC12" s="1153">
        <f t="shared" si="8"/>
        <v>50.672645739910315</v>
      </c>
      <c r="BD12" s="1153">
        <f t="shared" si="8"/>
        <v>51.321585903083701</v>
      </c>
      <c r="BE12" s="1153">
        <f t="shared" si="8"/>
        <v>33.990147783251231</v>
      </c>
      <c r="BF12" s="1153">
        <f t="shared" si="8"/>
        <v>17.625899280575538</v>
      </c>
      <c r="BG12" s="1153">
        <f t="shared" si="8"/>
        <v>36.33295838020247</v>
      </c>
      <c r="BH12" s="1153">
        <f t="shared" si="8"/>
        <v>22.969187675070028</v>
      </c>
      <c r="BI12" s="1749"/>
      <c r="BJ12" s="1749"/>
      <c r="BK12" s="1749"/>
      <c r="BL12" s="1749"/>
      <c r="BM12" s="1749"/>
      <c r="BN12" s="1749"/>
      <c r="BO12" s="1749"/>
      <c r="BP12" s="1749"/>
      <c r="BQ12" s="1749"/>
      <c r="BR12" s="1749"/>
      <c r="BS12" s="1749"/>
      <c r="BT12" s="1749"/>
      <c r="BU12" s="1749"/>
      <c r="BV12" s="1749"/>
      <c r="BW12" s="1749"/>
      <c r="BX12" s="1154"/>
      <c r="BY12" s="1154"/>
      <c r="BZ12" s="1154"/>
      <c r="CA12" s="1251">
        <v>27.96</v>
      </c>
      <c r="CB12" s="1252">
        <f t="shared" si="0"/>
        <v>-0.15753500461138614</v>
      </c>
      <c r="CC12" s="1253"/>
      <c r="CD12" s="1254"/>
    </row>
    <row r="13" spans="1:82" s="530" customFormat="1" ht="21.95" hidden="1" customHeight="1">
      <c r="A13" s="1141">
        <v>4</v>
      </c>
      <c r="B13" s="1142" t="s">
        <v>263</v>
      </c>
      <c r="C13" s="1143" t="s">
        <v>26</v>
      </c>
      <c r="D13" s="1155">
        <f>57.01-D11</f>
        <v>5.0064141640519892</v>
      </c>
      <c r="E13" s="1146">
        <f>10.69-E11</f>
        <v>3.4454179566563461</v>
      </c>
      <c r="F13" s="1146">
        <f>54-F11</f>
        <v>6.2556390977443641</v>
      </c>
      <c r="G13" s="1146">
        <f>63.61-G11</f>
        <v>5.4224006359300461</v>
      </c>
      <c r="H13" s="1146">
        <f>62.5-H11</f>
        <v>7.1261682242990645</v>
      </c>
      <c r="I13" s="1146">
        <f>38.56-I11</f>
        <v>5.2266666666666737</v>
      </c>
      <c r="J13" s="1146">
        <f>58.54-J11</f>
        <v>8.0691902071563035</v>
      </c>
      <c r="K13" s="1146">
        <f>89.79-K11</f>
        <v>8.1348275862068959</v>
      </c>
      <c r="L13" s="1146">
        <f>81.81-L11</f>
        <v>4.3071878515185631</v>
      </c>
      <c r="M13" s="1146">
        <f>87.8-M11</f>
        <v>4.2179104477611986</v>
      </c>
      <c r="N13" s="1146">
        <f>79.35-N11</f>
        <v>7.4201754385964875</v>
      </c>
      <c r="O13" s="1146">
        <f>66.67-O11</f>
        <v>5.8512865497076092</v>
      </c>
      <c r="P13" s="1146">
        <f>50.58-P11</f>
        <v>13.686796116504851</v>
      </c>
      <c r="Q13" s="1146">
        <f>75.65-Q11</f>
        <v>4.733094555873933</v>
      </c>
      <c r="R13" s="1146">
        <f>67.62-R11</f>
        <v>12.586442953020139</v>
      </c>
      <c r="S13" s="1155">
        <f>57.23-S11</f>
        <v>0.17575078689130663</v>
      </c>
      <c r="T13" s="1155">
        <f>57.23-T11</f>
        <v>0.17575078689130663</v>
      </c>
      <c r="U13" s="1155">
        <v>5.2224814695148183</v>
      </c>
      <c r="V13" s="1256">
        <f>9.69-V11</f>
        <v>1.0864262078093976</v>
      </c>
      <c r="W13" s="1256">
        <f>51.84-W11</f>
        <v>3.7702615193026219</v>
      </c>
      <c r="X13" s="1256">
        <f>63.71-X11</f>
        <v>14.59282504012841</v>
      </c>
      <c r="Y13" s="1256">
        <f>62.5-Y11</f>
        <v>7.8488372093023315</v>
      </c>
      <c r="Z13" s="1256">
        <f>38.32-Z11</f>
        <v>0.30501872659176144</v>
      </c>
      <c r="AA13" s="1156">
        <v>7.7646124081363936</v>
      </c>
      <c r="AB13" s="1156">
        <v>6.9</v>
      </c>
      <c r="AC13" s="1156"/>
      <c r="AD13" s="1156"/>
      <c r="AE13" s="1157">
        <f>AA11-AE11</f>
        <v>7.7613901921514596</v>
      </c>
      <c r="AF13" s="1157">
        <f>7.35-AF11</f>
        <v>0.92798165137614674</v>
      </c>
      <c r="AG13" s="1157">
        <f>29.69-AG11</f>
        <v>12.107582417582417</v>
      </c>
      <c r="AH13" s="1157">
        <f>46.17-AH11</f>
        <v>9.7644700460829483</v>
      </c>
      <c r="AI13" s="1157">
        <f>48.04-AI11</f>
        <v>8.2189709172259455</v>
      </c>
      <c r="AJ13" s="1157">
        <f>29.75-AJ11</f>
        <v>8.427685950413224</v>
      </c>
      <c r="AK13" s="1157">
        <f>38.6-AK11</f>
        <v>9.1223880597014961</v>
      </c>
      <c r="AL13" s="1157">
        <f>67.11-AL11</f>
        <v>9.010121802679663</v>
      </c>
      <c r="AM13" s="1157">
        <f>71.76-AM11</f>
        <v>7.7728617363344128</v>
      </c>
      <c r="AN13" s="1157">
        <f>70.9-AN11</f>
        <v>12.022565864833915</v>
      </c>
      <c r="AO13" s="1157">
        <f>68.53-AO11</f>
        <v>4.5391743119266081</v>
      </c>
      <c r="AP13" s="1157">
        <f>52.12-AP11</f>
        <v>6.2655160744500833</v>
      </c>
      <c r="AQ13" s="1157">
        <f>32.89-AQ11</f>
        <v>4.2654646840148693</v>
      </c>
      <c r="AR13" s="1157">
        <f>57.43-AR11</f>
        <v>12.309448909299661</v>
      </c>
      <c r="AS13" s="1157">
        <f>43.58-AS11</f>
        <v>8.3816997167138751</v>
      </c>
      <c r="AT13" s="1157">
        <f>AE11-AT11</f>
        <v>8.6773018084522597</v>
      </c>
      <c r="AU13" s="1157">
        <f t="shared" ref="AU13:BH14" si="9">AF11-AU11</f>
        <v>3.2525487496587817</v>
      </c>
      <c r="AV13" s="1157">
        <f t="shared" si="9"/>
        <v>7.9280671652542942</v>
      </c>
      <c r="AW13" s="1157">
        <f t="shared" si="9"/>
        <v>9.1328026811897836</v>
      </c>
      <c r="AX13" s="1157">
        <f t="shared" si="9"/>
        <v>9.4141768343800472</v>
      </c>
      <c r="AY13" s="1157">
        <f t="shared" si="9"/>
        <v>6.6284364985663657</v>
      </c>
      <c r="AZ13" s="1157">
        <f t="shared" si="9"/>
        <v>12.211424889938794</v>
      </c>
      <c r="BA13" s="1157">
        <f t="shared" si="9"/>
        <v>9.2294858073084427</v>
      </c>
      <c r="BB13" s="1157">
        <f t="shared" si="9"/>
        <v>8.1171172993050007</v>
      </c>
      <c r="BC13" s="1157">
        <f t="shared" si="9"/>
        <v>8.2047883952557754</v>
      </c>
      <c r="BD13" s="1157">
        <f t="shared" si="9"/>
        <v>12.669239784989692</v>
      </c>
      <c r="BE13" s="1157">
        <f t="shared" si="9"/>
        <v>11.864336142298683</v>
      </c>
      <c r="BF13" s="1157">
        <f t="shared" si="9"/>
        <v>10.998636035409593</v>
      </c>
      <c r="BG13" s="1157">
        <f t="shared" si="9"/>
        <v>8.7875927104978686</v>
      </c>
      <c r="BH13" s="1157">
        <f t="shared" si="9"/>
        <v>12.229112608216095</v>
      </c>
      <c r="BI13" s="1750"/>
      <c r="BJ13" s="1750"/>
      <c r="BK13" s="1750"/>
      <c r="BL13" s="1750"/>
      <c r="BM13" s="1750"/>
      <c r="BN13" s="1750"/>
      <c r="BO13" s="1750"/>
      <c r="BP13" s="1750"/>
      <c r="BQ13" s="1750"/>
      <c r="BR13" s="1750"/>
      <c r="BS13" s="1750"/>
      <c r="BT13" s="1750"/>
      <c r="BU13" s="1750"/>
      <c r="BV13" s="1750"/>
      <c r="BW13" s="1750"/>
      <c r="BX13" s="1145"/>
      <c r="BY13" s="1145"/>
      <c r="BZ13" s="1145"/>
      <c r="CA13" s="128">
        <v>8.43</v>
      </c>
      <c r="CB13" s="368">
        <f t="shared" si="0"/>
        <v>0.24730180845226002</v>
      </c>
      <c r="CC13" s="1253"/>
    </row>
    <row r="14" spans="1:82" s="1255" customFormat="1" ht="35.1" hidden="1" customHeight="1">
      <c r="A14" s="1148"/>
      <c r="B14" s="1149" t="s">
        <v>264</v>
      </c>
      <c r="C14" s="1150" t="s">
        <v>26</v>
      </c>
      <c r="D14" s="1158">
        <f>57.01-D12</f>
        <v>5.0064141640519892</v>
      </c>
      <c r="E14" s="1151">
        <f>10.69-E12</f>
        <v>3.4454179566563461</v>
      </c>
      <c r="F14" s="1151">
        <f>54-F12</f>
        <v>6.2556390977443641</v>
      </c>
      <c r="G14" s="1151">
        <f>63.61-G12</f>
        <v>5.4224006359300461</v>
      </c>
      <c r="H14" s="1151">
        <f>62.5-H12</f>
        <v>7.1261682242990645</v>
      </c>
      <c r="I14" s="1151">
        <f>38.56-I12</f>
        <v>5.2266666666666737</v>
      </c>
      <c r="J14" s="1151">
        <f>58.54-J12</f>
        <v>8.0691902071563035</v>
      </c>
      <c r="K14" s="1151">
        <f>89.79-K12</f>
        <v>8.1348275862068959</v>
      </c>
      <c r="L14" s="1151">
        <f>81.81-L12</f>
        <v>4.3071878515185631</v>
      </c>
      <c r="M14" s="1151">
        <f>87.8-M12</f>
        <v>4.2179104477611986</v>
      </c>
      <c r="N14" s="1151">
        <f>79.35-N12</f>
        <v>7.4201754385964875</v>
      </c>
      <c r="O14" s="1151">
        <f>66.67-O12</f>
        <v>5.8512865497076092</v>
      </c>
      <c r="P14" s="1151">
        <f>50.58-P12</f>
        <v>13.686796116504851</v>
      </c>
      <c r="Q14" s="1151">
        <f>75.65-Q12</f>
        <v>4.733094555873933</v>
      </c>
      <c r="R14" s="1151">
        <f>67.62-R12</f>
        <v>12.586442953020139</v>
      </c>
      <c r="S14" s="1158">
        <f>57.23-S12</f>
        <v>0.17575078689130663</v>
      </c>
      <c r="T14" s="1158">
        <f>57.23-T12</f>
        <v>0.17575078689130663</v>
      </c>
      <c r="U14" s="1158">
        <v>5.2224814695148183</v>
      </c>
      <c r="V14" s="1257">
        <f>V13</f>
        <v>1.0864262078093976</v>
      </c>
      <c r="W14" s="1257">
        <f t="shared" ref="W14:Z14" si="10">W13</f>
        <v>3.7702615193026219</v>
      </c>
      <c r="X14" s="1257">
        <f t="shared" si="10"/>
        <v>14.59282504012841</v>
      </c>
      <c r="Y14" s="1257">
        <f t="shared" si="10"/>
        <v>7.8488372093023315</v>
      </c>
      <c r="Z14" s="1257">
        <f t="shared" si="10"/>
        <v>0.30501872659176144</v>
      </c>
      <c r="AA14" s="1158">
        <v>7.7646124081363936</v>
      </c>
      <c r="AB14" s="1158">
        <f t="shared" ref="AB14" si="11">AB13</f>
        <v>6.9</v>
      </c>
      <c r="AC14" s="1158"/>
      <c r="AD14" s="1158"/>
      <c r="AE14" s="1158">
        <f>AA12-AE12</f>
        <v>7.615642592700155</v>
      </c>
      <c r="AF14" s="1158">
        <f>7.22-AF12</f>
        <v>2.9604980340760152</v>
      </c>
      <c r="AG14" s="1158">
        <f t="shared" ref="AG14:AS14" si="12">AG13</f>
        <v>12.107582417582417</v>
      </c>
      <c r="AH14" s="1158">
        <f>47.81-AH12</f>
        <v>11.404470046082949</v>
      </c>
      <c r="AI14" s="1158">
        <f t="shared" si="12"/>
        <v>8.2189709172259455</v>
      </c>
      <c r="AJ14" s="1158">
        <f>29.67-AJ12</f>
        <v>6.9427272727272751</v>
      </c>
      <c r="AK14" s="1158">
        <f t="shared" si="12"/>
        <v>9.1223880597014961</v>
      </c>
      <c r="AL14" s="1158">
        <f t="shared" si="12"/>
        <v>9.010121802679663</v>
      </c>
      <c r="AM14" s="1158">
        <f t="shared" si="12"/>
        <v>7.7728617363344128</v>
      </c>
      <c r="AN14" s="1158">
        <f t="shared" si="12"/>
        <v>12.022565864833915</v>
      </c>
      <c r="AO14" s="1158">
        <f t="shared" si="12"/>
        <v>4.5391743119266081</v>
      </c>
      <c r="AP14" s="1158">
        <f t="shared" si="12"/>
        <v>6.2655160744500833</v>
      </c>
      <c r="AQ14" s="1158">
        <f t="shared" si="12"/>
        <v>4.2654646840148693</v>
      </c>
      <c r="AR14" s="1158">
        <f>55.94-AR12</f>
        <v>11.049070034443169</v>
      </c>
      <c r="AS14" s="1158">
        <f t="shared" si="12"/>
        <v>8.3816997167138751</v>
      </c>
      <c r="AT14" s="1158">
        <f>AE12-AT12</f>
        <v>8.8230494079035644</v>
      </c>
      <c r="AU14" s="1151">
        <f t="shared" si="9"/>
        <v>1.0900323669589134</v>
      </c>
      <c r="AV14" s="1151">
        <f t="shared" si="9"/>
        <v>7.9280671652542942</v>
      </c>
      <c r="AW14" s="1151">
        <f t="shared" si="9"/>
        <v>9.1328026811897836</v>
      </c>
      <c r="AX14" s="1151">
        <f t="shared" si="9"/>
        <v>9.4141768343800472</v>
      </c>
      <c r="AY14" s="1151">
        <f t="shared" si="9"/>
        <v>8.0333951762523164</v>
      </c>
      <c r="AZ14" s="1151">
        <f t="shared" si="9"/>
        <v>12.211424889938794</v>
      </c>
      <c r="BA14" s="1151">
        <f t="shared" si="9"/>
        <v>9.2294858073084427</v>
      </c>
      <c r="BB14" s="1151">
        <f t="shared" si="9"/>
        <v>8.1171172993050007</v>
      </c>
      <c r="BC14" s="1151">
        <f t="shared" si="9"/>
        <v>8.2047883952557754</v>
      </c>
      <c r="BD14" s="1151">
        <f t="shared" si="9"/>
        <v>12.669239784989692</v>
      </c>
      <c r="BE14" s="1151">
        <f t="shared" si="9"/>
        <v>11.864336142298683</v>
      </c>
      <c r="BF14" s="1151">
        <f t="shared" si="9"/>
        <v>10.998636035409593</v>
      </c>
      <c r="BG14" s="1151">
        <f t="shared" si="9"/>
        <v>8.557971585354359</v>
      </c>
      <c r="BH14" s="1151">
        <f t="shared" si="9"/>
        <v>12.229112608216095</v>
      </c>
      <c r="BI14" s="1158"/>
      <c r="BJ14" s="1158"/>
      <c r="BK14" s="1158"/>
      <c r="BL14" s="1158"/>
      <c r="BM14" s="1158"/>
      <c r="BN14" s="1158"/>
      <c r="BO14" s="1158"/>
      <c r="BP14" s="1158"/>
      <c r="BQ14" s="1158"/>
      <c r="BR14" s="1158"/>
      <c r="BS14" s="1158"/>
      <c r="BT14" s="1158"/>
      <c r="BU14" s="1158"/>
      <c r="BV14" s="1158"/>
      <c r="BW14" s="1158"/>
      <c r="BX14" s="1154"/>
      <c r="BY14" s="1154"/>
      <c r="BZ14" s="1154"/>
      <c r="CA14" s="1251">
        <v>8.43</v>
      </c>
      <c r="CB14" s="1252">
        <f t="shared" si="0"/>
        <v>0.39304940790356468</v>
      </c>
      <c r="CC14" s="1253"/>
    </row>
    <row r="15" spans="1:82" s="530" customFormat="1" ht="21.95" hidden="1" customHeight="1">
      <c r="A15" s="1141">
        <v>5</v>
      </c>
      <c r="B15" s="932" t="s">
        <v>265</v>
      </c>
      <c r="C15" s="1143" t="s">
        <v>260</v>
      </c>
      <c r="D15" s="952">
        <f>SUM(E15:R15)</f>
        <v>1094</v>
      </c>
      <c r="E15" s="952">
        <v>72</v>
      </c>
      <c r="F15" s="952">
        <v>239</v>
      </c>
      <c r="G15" s="952">
        <v>83</v>
      </c>
      <c r="H15" s="952">
        <v>55</v>
      </c>
      <c r="I15" s="952">
        <v>133</v>
      </c>
      <c r="J15" s="952">
        <v>78</v>
      </c>
      <c r="K15" s="952">
        <v>37</v>
      </c>
      <c r="L15" s="952">
        <v>36</v>
      </c>
      <c r="M15" s="952">
        <v>51</v>
      </c>
      <c r="N15" s="952">
        <v>34</v>
      </c>
      <c r="O15" s="952">
        <v>46</v>
      </c>
      <c r="P15" s="952">
        <v>74</v>
      </c>
      <c r="Q15" s="952">
        <v>38</v>
      </c>
      <c r="R15" s="952">
        <v>118</v>
      </c>
      <c r="S15" s="952">
        <v>985</v>
      </c>
      <c r="T15" s="952">
        <v>985</v>
      </c>
      <c r="U15" s="952">
        <v>1087</v>
      </c>
      <c r="V15" s="1188">
        <v>52</v>
      </c>
      <c r="W15" s="1188">
        <v>218</v>
      </c>
      <c r="X15" s="1188">
        <v>46</v>
      </c>
      <c r="Y15" s="1188">
        <v>55</v>
      </c>
      <c r="Z15" s="1188">
        <v>70</v>
      </c>
      <c r="AA15" s="1229">
        <v>1454</v>
      </c>
      <c r="AB15" s="952" t="e">
        <f>SUM(#REF!)</f>
        <v>#REF!</v>
      </c>
      <c r="AC15" s="952"/>
      <c r="AD15" s="952"/>
      <c r="AE15" s="952">
        <f>SUM(AF15:AS15)</f>
        <v>1662</v>
      </c>
      <c r="AF15" s="952">
        <v>43</v>
      </c>
      <c r="AG15" s="952">
        <v>183</v>
      </c>
      <c r="AH15" s="952">
        <v>126</v>
      </c>
      <c r="AI15" s="952">
        <v>83</v>
      </c>
      <c r="AJ15" s="952">
        <v>156</v>
      </c>
      <c r="AK15" s="952">
        <v>95</v>
      </c>
      <c r="AL15" s="952">
        <v>129</v>
      </c>
      <c r="AM15" s="952">
        <v>140</v>
      </c>
      <c r="AN15" s="952">
        <v>71</v>
      </c>
      <c r="AO15" s="952">
        <v>54</v>
      </c>
      <c r="AP15" s="952">
        <v>113</v>
      </c>
      <c r="AQ15" s="952">
        <v>167</v>
      </c>
      <c r="AR15" s="952">
        <v>47</v>
      </c>
      <c r="AS15" s="952">
        <v>255</v>
      </c>
      <c r="AT15" s="952">
        <f>SUM(AU15:BH15)</f>
        <v>1662</v>
      </c>
      <c r="AU15" s="952">
        <v>43</v>
      </c>
      <c r="AV15" s="952">
        <v>183</v>
      </c>
      <c r="AW15" s="952">
        <v>126</v>
      </c>
      <c r="AX15" s="952">
        <v>83</v>
      </c>
      <c r="AY15" s="952">
        <v>156</v>
      </c>
      <c r="AZ15" s="952">
        <v>95</v>
      </c>
      <c r="BA15" s="952">
        <v>129</v>
      </c>
      <c r="BB15" s="952">
        <v>140</v>
      </c>
      <c r="BC15" s="952">
        <v>71</v>
      </c>
      <c r="BD15" s="952">
        <v>54</v>
      </c>
      <c r="BE15" s="952">
        <v>113</v>
      </c>
      <c r="BF15" s="952">
        <v>167</v>
      </c>
      <c r="BG15" s="952">
        <v>47</v>
      </c>
      <c r="BH15" s="952">
        <v>255</v>
      </c>
      <c r="BI15" s="945"/>
      <c r="BJ15" s="945"/>
      <c r="BK15" s="945"/>
      <c r="BL15" s="945"/>
      <c r="BM15" s="945"/>
      <c r="BN15" s="945"/>
      <c r="BO15" s="945"/>
      <c r="BP15" s="945"/>
      <c r="BQ15" s="945"/>
      <c r="BR15" s="945"/>
      <c r="BS15" s="945"/>
      <c r="BT15" s="945"/>
      <c r="BU15" s="945"/>
      <c r="BV15" s="945"/>
      <c r="BW15" s="945"/>
      <c r="BX15" s="1145"/>
      <c r="BY15" s="1145"/>
      <c r="BZ15" s="1145"/>
      <c r="CA15" s="136">
        <v>1554</v>
      </c>
      <c r="CB15" s="368">
        <f t="shared" si="0"/>
        <v>108</v>
      </c>
      <c r="CC15" s="432"/>
    </row>
    <row r="16" spans="1:82" s="1258" customFormat="1" ht="21.95" hidden="1" customHeight="1">
      <c r="A16" s="1141">
        <v>6</v>
      </c>
      <c r="B16" s="1159" t="s">
        <v>266</v>
      </c>
      <c r="C16" s="1160" t="s">
        <v>26</v>
      </c>
      <c r="D16" s="1161">
        <f>D15/D9*100</f>
        <v>9.8072613177947101</v>
      </c>
      <c r="E16" s="1161">
        <f>E15/E9*100</f>
        <v>4.458204334365325</v>
      </c>
      <c r="F16" s="1161">
        <f t="shared" ref="F16:T16" si="13">F15/F9*100</f>
        <v>29.949874686716793</v>
      </c>
      <c r="G16" s="1161">
        <f t="shared" si="13"/>
        <v>13.195548489666137</v>
      </c>
      <c r="H16" s="1161">
        <f t="shared" si="13"/>
        <v>12.850467289719624</v>
      </c>
      <c r="I16" s="1161">
        <f t="shared" si="13"/>
        <v>11.055694098088113</v>
      </c>
      <c r="J16" s="1161">
        <f t="shared" si="13"/>
        <v>14.689265536723164</v>
      </c>
      <c r="K16" s="1161">
        <f t="shared" si="13"/>
        <v>5.1034482758620694</v>
      </c>
      <c r="L16" s="1161">
        <f t="shared" si="13"/>
        <v>4.0494938132733411</v>
      </c>
      <c r="M16" s="1161">
        <f t="shared" si="13"/>
        <v>5.8553386911595871</v>
      </c>
      <c r="N16" s="1161">
        <f t="shared" si="13"/>
        <v>8.5213032581453625</v>
      </c>
      <c r="O16" s="1161">
        <f t="shared" si="13"/>
        <v>8.9668615984405449</v>
      </c>
      <c r="P16" s="1161">
        <f t="shared" si="13"/>
        <v>14.36893203883495</v>
      </c>
      <c r="Q16" s="1161">
        <f t="shared" si="13"/>
        <v>5.444126074498568</v>
      </c>
      <c r="R16" s="1161">
        <f t="shared" si="13"/>
        <v>8.7994034302759143</v>
      </c>
      <c r="S16" s="1162">
        <f t="shared" si="13"/>
        <v>9.1186817256063684</v>
      </c>
      <c r="T16" s="1162">
        <f t="shared" si="13"/>
        <v>9.1186817256063684</v>
      </c>
      <c r="U16" s="1161">
        <v>9.7989723248895704</v>
      </c>
      <c r="V16" s="1256">
        <f t="shared" ref="V16:Z16" si="14">V15/V9*100</f>
        <v>3.4414295168762412</v>
      </c>
      <c r="W16" s="1256">
        <f t="shared" si="14"/>
        <v>27.148194271481941</v>
      </c>
      <c r="X16" s="1256">
        <f t="shared" si="14"/>
        <v>7.3836276083467105</v>
      </c>
      <c r="Y16" s="1256">
        <f t="shared" si="14"/>
        <v>12.790697674418606</v>
      </c>
      <c r="Z16" s="1256">
        <f t="shared" si="14"/>
        <v>6.5543071161048685</v>
      </c>
      <c r="AA16" s="1161">
        <v>12.667712144972992</v>
      </c>
      <c r="AB16" s="1161" t="e">
        <f>AB15/AB9*100</f>
        <v>#REF!</v>
      </c>
      <c r="AC16" s="1161"/>
      <c r="AD16" s="1161"/>
      <c r="AE16" s="1161">
        <f>AE15/AE9%</f>
        <v>14.248971193415638</v>
      </c>
      <c r="AF16" s="1161">
        <f t="shared" ref="AF16:AS16" si="15">AF15/AF9%</f>
        <v>2.8178243774574052</v>
      </c>
      <c r="AG16" s="1161">
        <f t="shared" si="15"/>
        <v>22.344322344322347</v>
      </c>
      <c r="AH16" s="1161">
        <f t="shared" si="15"/>
        <v>19.35483870967742</v>
      </c>
      <c r="AI16" s="1161">
        <f t="shared" si="15"/>
        <v>18.568232662192393</v>
      </c>
      <c r="AJ16" s="1161">
        <f t="shared" si="15"/>
        <v>12.892561983471074</v>
      </c>
      <c r="AK16" s="1161">
        <f t="shared" si="15"/>
        <v>17.723880597014926</v>
      </c>
      <c r="AL16" s="1161">
        <f t="shared" si="15"/>
        <v>15.71254567600487</v>
      </c>
      <c r="AM16" s="1161">
        <f t="shared" si="15"/>
        <v>15.005359056806002</v>
      </c>
      <c r="AN16" s="1161">
        <f t="shared" si="15"/>
        <v>8.1328751431844211</v>
      </c>
      <c r="AO16" s="1161">
        <f t="shared" si="15"/>
        <v>12.38532110091743</v>
      </c>
      <c r="AP16" s="1161">
        <f t="shared" si="15"/>
        <v>19.120135363790187</v>
      </c>
      <c r="AQ16" s="1161">
        <f t="shared" si="15"/>
        <v>31.040892193308551</v>
      </c>
      <c r="AR16" s="1161">
        <f t="shared" si="15"/>
        <v>5.3960964408725598</v>
      </c>
      <c r="AS16" s="1161">
        <f t="shared" si="15"/>
        <v>18.059490084985836</v>
      </c>
      <c r="AT16" s="1161">
        <f>AT15/AT9%</f>
        <v>13.934769849920349</v>
      </c>
      <c r="AU16" s="1162">
        <f t="shared" ref="AU16:BH16" si="16">AU15/AU9*100</f>
        <v>2.7813712807244499</v>
      </c>
      <c r="AV16" s="1162">
        <f t="shared" si="16"/>
        <v>21.811680572109655</v>
      </c>
      <c r="AW16" s="1162">
        <f t="shared" si="16"/>
        <v>18.777943368107302</v>
      </c>
      <c r="AX16" s="1162">
        <f t="shared" si="16"/>
        <v>17.773019271948609</v>
      </c>
      <c r="AY16" s="1162">
        <f t="shared" si="16"/>
        <v>12.73469387755102</v>
      </c>
      <c r="AZ16" s="1162">
        <f t="shared" si="16"/>
        <v>17.086330935251798</v>
      </c>
      <c r="BA16" s="1162">
        <f t="shared" si="16"/>
        <v>15.338882282996433</v>
      </c>
      <c r="BB16" s="1162">
        <f t="shared" si="16"/>
        <v>14.675052410901468</v>
      </c>
      <c r="BC16" s="1162">
        <f t="shared" si="16"/>
        <v>7.9596412556053808</v>
      </c>
      <c r="BD16" s="1162">
        <f t="shared" si="16"/>
        <v>11.894273127753303</v>
      </c>
      <c r="BE16" s="1162">
        <f t="shared" si="16"/>
        <v>18.555008210180624</v>
      </c>
      <c r="BF16" s="1162">
        <f t="shared" si="16"/>
        <v>30.035971223021583</v>
      </c>
      <c r="BG16" s="1162">
        <f t="shared" si="16"/>
        <v>5.2868391451068613</v>
      </c>
      <c r="BH16" s="1162">
        <f t="shared" si="16"/>
        <v>17.857142857142858</v>
      </c>
      <c r="BI16" s="1751"/>
      <c r="BJ16" s="1752"/>
      <c r="BK16" s="1752"/>
      <c r="BL16" s="1752"/>
      <c r="BM16" s="1752"/>
      <c r="BN16" s="1752"/>
      <c r="BO16" s="1752"/>
      <c r="BP16" s="1752"/>
      <c r="BQ16" s="1752"/>
      <c r="BR16" s="1752"/>
      <c r="BS16" s="1752"/>
      <c r="BT16" s="1752"/>
      <c r="BU16" s="1752"/>
      <c r="BV16" s="1752"/>
      <c r="BW16" s="1752"/>
      <c r="BX16" s="1145"/>
      <c r="BY16" s="1145"/>
      <c r="BZ16" s="1145"/>
      <c r="CA16" s="1634">
        <v>12.93</v>
      </c>
      <c r="CB16" s="368">
        <f t="shared" si="0"/>
        <v>1.0047698499203488</v>
      </c>
    </row>
    <row r="17" spans="1:82" s="530" customFormat="1" ht="21.95" hidden="1" customHeight="1">
      <c r="A17" s="1141">
        <v>7</v>
      </c>
      <c r="B17" s="1142" t="s">
        <v>267</v>
      </c>
      <c r="C17" s="1143" t="s">
        <v>260</v>
      </c>
      <c r="D17" s="952">
        <f>SUM(E17:R17)</f>
        <v>426</v>
      </c>
      <c r="E17" s="952">
        <v>30</v>
      </c>
      <c r="F17" s="952">
        <v>29</v>
      </c>
      <c r="G17" s="952">
        <v>31</v>
      </c>
      <c r="H17" s="952">
        <v>30</v>
      </c>
      <c r="I17" s="952">
        <v>31</v>
      </c>
      <c r="J17" s="952">
        <v>29</v>
      </c>
      <c r="K17" s="952">
        <v>30</v>
      </c>
      <c r="L17" s="952">
        <v>30</v>
      </c>
      <c r="M17" s="952">
        <v>30</v>
      </c>
      <c r="N17" s="952">
        <v>30</v>
      </c>
      <c r="O17" s="952">
        <v>30</v>
      </c>
      <c r="P17" s="952">
        <v>30</v>
      </c>
      <c r="Q17" s="952">
        <v>32</v>
      </c>
      <c r="R17" s="952">
        <v>34</v>
      </c>
      <c r="S17" s="952">
        <v>60</v>
      </c>
      <c r="T17" s="952">
        <v>60</v>
      </c>
      <c r="U17" s="952">
        <v>678</v>
      </c>
      <c r="V17" s="1188">
        <v>17</v>
      </c>
      <c r="W17" s="1188">
        <v>35</v>
      </c>
      <c r="X17" s="1188">
        <v>98</v>
      </c>
      <c r="Y17" s="1188">
        <v>34</v>
      </c>
      <c r="Z17" s="1188">
        <v>34</v>
      </c>
      <c r="AA17" s="952">
        <v>802</v>
      </c>
      <c r="AB17" s="952" t="e">
        <f>SUM(#REF!)</f>
        <v>#REF!</v>
      </c>
      <c r="AC17" s="952"/>
      <c r="AD17" s="952"/>
      <c r="AE17" s="952">
        <f>SUM(AF17:AS17)</f>
        <v>917</v>
      </c>
      <c r="AF17" s="952">
        <v>15</v>
      </c>
      <c r="AG17" s="952">
        <v>97</v>
      </c>
      <c r="AH17" s="952">
        <v>69</v>
      </c>
      <c r="AI17" s="952">
        <v>29</v>
      </c>
      <c r="AJ17" s="952">
        <v>101</v>
      </c>
      <c r="AK17" s="952">
        <v>63</v>
      </c>
      <c r="AL17" s="952">
        <v>72</v>
      </c>
      <c r="AM17" s="952">
        <v>89</v>
      </c>
      <c r="AN17" s="952">
        <v>94</v>
      </c>
      <c r="AO17" s="952">
        <v>23</v>
      </c>
      <c r="AP17" s="952">
        <v>48</v>
      </c>
      <c r="AQ17" s="952">
        <v>51</v>
      </c>
      <c r="AR17" s="952">
        <v>77</v>
      </c>
      <c r="AS17" s="952">
        <v>89</v>
      </c>
      <c r="AT17" s="952">
        <f>SUM(AU17:BH17)</f>
        <v>991</v>
      </c>
      <c r="AU17" s="952">
        <v>52</v>
      </c>
      <c r="AV17" s="952">
        <v>66</v>
      </c>
      <c r="AW17" s="952">
        <v>58</v>
      </c>
      <c r="AX17" s="952">
        <v>40</v>
      </c>
      <c r="AY17" s="952">
        <v>82</v>
      </c>
      <c r="AZ17" s="952">
        <v>65</v>
      </c>
      <c r="BA17" s="952">
        <v>70</v>
      </c>
      <c r="BB17" s="952">
        <v>68</v>
      </c>
      <c r="BC17" s="952">
        <v>66</v>
      </c>
      <c r="BD17" s="952">
        <v>50</v>
      </c>
      <c r="BE17" s="952">
        <v>67</v>
      </c>
      <c r="BF17" s="952">
        <v>60</v>
      </c>
      <c r="BG17" s="952">
        <v>74</v>
      </c>
      <c r="BH17" s="952">
        <v>173</v>
      </c>
      <c r="BI17" s="945"/>
      <c r="BJ17" s="945"/>
      <c r="BK17" s="945"/>
      <c r="BL17" s="945"/>
      <c r="BM17" s="945"/>
      <c r="BN17" s="945"/>
      <c r="BO17" s="945"/>
      <c r="BP17" s="945"/>
      <c r="BQ17" s="945"/>
      <c r="BR17" s="945"/>
      <c r="BS17" s="945"/>
      <c r="BT17" s="945"/>
      <c r="BU17" s="945"/>
      <c r="BV17" s="945"/>
      <c r="BW17" s="945"/>
      <c r="BX17" s="1145"/>
      <c r="BY17" s="1145"/>
      <c r="BZ17" s="1145"/>
      <c r="CA17" s="136">
        <v>980</v>
      </c>
      <c r="CB17" s="368">
        <f t="shared" si="0"/>
        <v>11</v>
      </c>
      <c r="CC17" s="432"/>
    </row>
    <row r="18" spans="1:82" s="530" customFormat="1" ht="21.95" hidden="1" customHeight="1">
      <c r="A18" s="1141">
        <v>8</v>
      </c>
      <c r="B18" s="1142" t="s">
        <v>268</v>
      </c>
      <c r="C18" s="1143" t="s">
        <v>260</v>
      </c>
      <c r="D18" s="952">
        <f>SUM(E18:R18)</f>
        <v>28</v>
      </c>
      <c r="E18" s="952">
        <v>2</v>
      </c>
      <c r="F18" s="952">
        <v>2</v>
      </c>
      <c r="G18" s="952">
        <v>2</v>
      </c>
      <c r="H18" s="952">
        <v>2</v>
      </c>
      <c r="I18" s="952">
        <v>2</v>
      </c>
      <c r="J18" s="952">
        <v>2</v>
      </c>
      <c r="K18" s="952">
        <v>2</v>
      </c>
      <c r="L18" s="952">
        <v>2</v>
      </c>
      <c r="M18" s="952">
        <v>2</v>
      </c>
      <c r="N18" s="952">
        <v>2</v>
      </c>
      <c r="O18" s="952">
        <v>2</v>
      </c>
      <c r="P18" s="952">
        <v>2</v>
      </c>
      <c r="Q18" s="952">
        <v>2</v>
      </c>
      <c r="R18" s="952">
        <v>2</v>
      </c>
      <c r="S18" s="952">
        <v>0</v>
      </c>
      <c r="T18" s="952">
        <v>0</v>
      </c>
      <c r="U18" s="952">
        <v>216</v>
      </c>
      <c r="V18" s="1188">
        <v>2</v>
      </c>
      <c r="W18" s="1188">
        <v>13</v>
      </c>
      <c r="X18" s="1188">
        <v>9</v>
      </c>
      <c r="Y18" s="1188">
        <v>4</v>
      </c>
      <c r="Z18" s="1188">
        <v>10</v>
      </c>
      <c r="AA18" s="952">
        <v>111</v>
      </c>
      <c r="AB18" s="952" t="e">
        <f>SUM(#REF!)</f>
        <v>#REF!</v>
      </c>
      <c r="AC18" s="952"/>
      <c r="AD18" s="952"/>
      <c r="AE18" s="952">
        <f>SUM(AF18:AS18)</f>
        <v>83</v>
      </c>
      <c r="AF18" s="952">
        <v>1</v>
      </c>
      <c r="AG18" s="952">
        <v>1</v>
      </c>
      <c r="AH18" s="952">
        <v>8</v>
      </c>
      <c r="AI18" s="952">
        <v>2</v>
      </c>
      <c r="AJ18" s="952">
        <v>1</v>
      </c>
      <c r="AK18" s="952">
        <v>1</v>
      </c>
      <c r="AL18" s="952" t="s">
        <v>197</v>
      </c>
      <c r="AM18" s="952">
        <v>25</v>
      </c>
      <c r="AN18" s="952" t="s">
        <v>197</v>
      </c>
      <c r="AO18" s="952">
        <v>9</v>
      </c>
      <c r="AP18" s="952">
        <v>8</v>
      </c>
      <c r="AQ18" s="952">
        <v>18</v>
      </c>
      <c r="AR18" s="952">
        <v>4</v>
      </c>
      <c r="AS18" s="952">
        <v>5</v>
      </c>
      <c r="AT18" s="952">
        <f>SUM(AU18:BH18)</f>
        <v>52</v>
      </c>
      <c r="AU18" s="952">
        <v>3</v>
      </c>
      <c r="AV18" s="952">
        <v>3</v>
      </c>
      <c r="AW18" s="952">
        <v>4</v>
      </c>
      <c r="AX18" s="952">
        <v>4</v>
      </c>
      <c r="AY18" s="952">
        <v>4</v>
      </c>
      <c r="AZ18" s="952">
        <v>3</v>
      </c>
      <c r="BA18" s="952">
        <v>4</v>
      </c>
      <c r="BB18" s="952">
        <v>4</v>
      </c>
      <c r="BC18" s="952">
        <v>4</v>
      </c>
      <c r="BD18" s="952">
        <v>4</v>
      </c>
      <c r="BE18" s="952">
        <v>3</v>
      </c>
      <c r="BF18" s="952">
        <v>4</v>
      </c>
      <c r="BG18" s="952">
        <v>4</v>
      </c>
      <c r="BH18" s="952">
        <v>4</v>
      </c>
      <c r="BI18" s="945"/>
      <c r="BJ18" s="945"/>
      <c r="BK18" s="945"/>
      <c r="BL18" s="945"/>
      <c r="BM18" s="945"/>
      <c r="BN18" s="945"/>
      <c r="BO18" s="945"/>
      <c r="BP18" s="945"/>
      <c r="BQ18" s="945"/>
      <c r="BR18" s="945"/>
      <c r="BS18" s="945"/>
      <c r="BT18" s="945"/>
      <c r="BU18" s="945"/>
      <c r="BV18" s="945"/>
      <c r="BW18" s="945"/>
      <c r="BX18" s="1145"/>
      <c r="BY18" s="1145"/>
      <c r="BZ18" s="1145"/>
      <c r="CA18" s="136">
        <v>52</v>
      </c>
      <c r="CB18" s="368">
        <f t="shared" si="0"/>
        <v>0</v>
      </c>
      <c r="CC18" s="432"/>
    </row>
    <row r="19" spans="1:82" s="185" customFormat="1" ht="35.1" customHeight="1">
      <c r="A19" s="1791" t="s">
        <v>100</v>
      </c>
      <c r="B19" s="925" t="s">
        <v>269</v>
      </c>
      <c r="C19" s="947"/>
      <c r="D19" s="1160"/>
      <c r="E19" s="1160"/>
      <c r="F19" s="1160"/>
      <c r="G19" s="1160"/>
      <c r="H19" s="1160"/>
      <c r="I19" s="1160"/>
      <c r="J19" s="1160"/>
      <c r="K19" s="1160"/>
      <c r="L19" s="1160"/>
      <c r="M19" s="1160"/>
      <c r="N19" s="1160"/>
      <c r="O19" s="1160"/>
      <c r="P19" s="1160"/>
      <c r="Q19" s="1160"/>
      <c r="R19" s="1160"/>
      <c r="S19" s="1163"/>
      <c r="T19" s="1163"/>
      <c r="U19" s="1163"/>
      <c r="V19" s="927"/>
      <c r="W19" s="927"/>
      <c r="X19" s="927"/>
      <c r="Y19" s="927"/>
      <c r="Z19" s="927"/>
      <c r="AA19" s="1164"/>
      <c r="AB19" s="927"/>
      <c r="AC19" s="927"/>
      <c r="AD19" s="927"/>
      <c r="AE19" s="927"/>
      <c r="AF19" s="927"/>
      <c r="AG19" s="927"/>
      <c r="AH19" s="927"/>
      <c r="AI19" s="927"/>
      <c r="AJ19" s="927"/>
      <c r="AK19" s="927"/>
      <c r="AL19" s="927"/>
      <c r="AM19" s="927"/>
      <c r="AN19" s="927"/>
      <c r="AO19" s="927"/>
      <c r="AP19" s="927"/>
      <c r="AQ19" s="927"/>
      <c r="AR19" s="927"/>
      <c r="AS19" s="927"/>
      <c r="AT19" s="927"/>
      <c r="AU19" s="927"/>
      <c r="AV19" s="927"/>
      <c r="AW19" s="927"/>
      <c r="AX19" s="927"/>
      <c r="AY19" s="927"/>
      <c r="AZ19" s="927"/>
      <c r="BA19" s="927"/>
      <c r="BB19" s="927"/>
      <c r="BC19" s="927"/>
      <c r="BD19" s="927"/>
      <c r="BE19" s="927"/>
      <c r="BF19" s="927"/>
      <c r="BG19" s="927"/>
      <c r="BH19" s="927"/>
      <c r="BI19" s="927"/>
      <c r="BJ19" s="927"/>
      <c r="BK19" s="927"/>
      <c r="BL19" s="927"/>
      <c r="BM19" s="927"/>
      <c r="BN19" s="927"/>
      <c r="BO19" s="927"/>
      <c r="BP19" s="927"/>
      <c r="BQ19" s="927"/>
      <c r="BR19" s="927"/>
      <c r="BS19" s="927"/>
      <c r="BT19" s="927"/>
      <c r="BU19" s="927"/>
      <c r="BV19" s="927"/>
      <c r="BW19" s="927"/>
      <c r="BX19" s="1145"/>
      <c r="BY19" s="1145"/>
      <c r="BZ19" s="927"/>
      <c r="CA19" s="136"/>
      <c r="CB19" s="368"/>
      <c r="CC19" s="186"/>
      <c r="CD19" s="530"/>
    </row>
    <row r="20" spans="1:82" s="185" customFormat="1" ht="35.1" customHeight="1">
      <c r="A20" s="1791"/>
      <c r="B20" s="932" t="s">
        <v>270</v>
      </c>
      <c r="C20" s="947" t="s">
        <v>988</v>
      </c>
      <c r="D20" s="952">
        <f>SUM(E20:R20)</f>
        <v>14</v>
      </c>
      <c r="E20" s="1165">
        <v>1</v>
      </c>
      <c r="F20" s="1165">
        <v>1</v>
      </c>
      <c r="G20" s="1165">
        <v>1</v>
      </c>
      <c r="H20" s="1165">
        <v>1</v>
      </c>
      <c r="I20" s="1165">
        <v>1</v>
      </c>
      <c r="J20" s="1165">
        <v>1</v>
      </c>
      <c r="K20" s="1165">
        <v>1</v>
      </c>
      <c r="L20" s="1165">
        <v>1</v>
      </c>
      <c r="M20" s="1165">
        <v>1</v>
      </c>
      <c r="N20" s="1165">
        <v>1</v>
      </c>
      <c r="O20" s="1165">
        <v>1</v>
      </c>
      <c r="P20" s="1165">
        <v>1</v>
      </c>
      <c r="Q20" s="1165">
        <v>1</v>
      </c>
      <c r="R20" s="1165">
        <v>1</v>
      </c>
      <c r="S20" s="1165">
        <v>14</v>
      </c>
      <c r="T20" s="1165">
        <v>14</v>
      </c>
      <c r="U20" s="952">
        <f>SUM(V20:Z20)</f>
        <v>5</v>
      </c>
      <c r="V20" s="927">
        <v>1</v>
      </c>
      <c r="W20" s="927">
        <v>1</v>
      </c>
      <c r="X20" s="927">
        <v>1</v>
      </c>
      <c r="Y20" s="927">
        <v>1</v>
      </c>
      <c r="Z20" s="927">
        <v>1</v>
      </c>
      <c r="AA20" s="952">
        <v>14</v>
      </c>
      <c r="AB20" s="952" t="e">
        <f>SUM(#REF!)</f>
        <v>#REF!</v>
      </c>
      <c r="AC20" s="952">
        <v>14</v>
      </c>
      <c r="AD20" s="952">
        <v>14</v>
      </c>
      <c r="AE20" s="952">
        <f>SUM(AF20:AS20)</f>
        <v>14</v>
      </c>
      <c r="AF20" s="927">
        <v>1</v>
      </c>
      <c r="AG20" s="927">
        <v>1</v>
      </c>
      <c r="AH20" s="927">
        <v>1</v>
      </c>
      <c r="AI20" s="927">
        <v>1</v>
      </c>
      <c r="AJ20" s="927">
        <v>1</v>
      </c>
      <c r="AK20" s="927">
        <v>1</v>
      </c>
      <c r="AL20" s="927">
        <v>1</v>
      </c>
      <c r="AM20" s="927">
        <v>1</v>
      </c>
      <c r="AN20" s="927">
        <v>1</v>
      </c>
      <c r="AO20" s="927">
        <v>1</v>
      </c>
      <c r="AP20" s="927">
        <v>1</v>
      </c>
      <c r="AQ20" s="927">
        <v>1</v>
      </c>
      <c r="AR20" s="927">
        <v>1</v>
      </c>
      <c r="AS20" s="927">
        <v>1</v>
      </c>
      <c r="AT20" s="952">
        <f>SUM(AU20:BH20)</f>
        <v>14</v>
      </c>
      <c r="AU20" s="927">
        <v>1</v>
      </c>
      <c r="AV20" s="927">
        <v>1</v>
      </c>
      <c r="AW20" s="927">
        <v>1</v>
      </c>
      <c r="AX20" s="927">
        <v>1</v>
      </c>
      <c r="AY20" s="927">
        <v>1</v>
      </c>
      <c r="AZ20" s="927">
        <v>1</v>
      </c>
      <c r="BA20" s="927">
        <v>1</v>
      </c>
      <c r="BB20" s="927">
        <v>1</v>
      </c>
      <c r="BC20" s="927">
        <v>1</v>
      </c>
      <c r="BD20" s="927">
        <v>1</v>
      </c>
      <c r="BE20" s="927">
        <v>1</v>
      </c>
      <c r="BF20" s="927">
        <v>1</v>
      </c>
      <c r="BG20" s="927">
        <v>1</v>
      </c>
      <c r="BH20" s="927">
        <v>1</v>
      </c>
      <c r="BI20" s="945">
        <f>SUM(BJ20:BW20)</f>
        <v>14</v>
      </c>
      <c r="BJ20" s="927">
        <v>1</v>
      </c>
      <c r="BK20" s="927">
        <v>1</v>
      </c>
      <c r="BL20" s="927">
        <v>1</v>
      </c>
      <c r="BM20" s="927">
        <v>1</v>
      </c>
      <c r="BN20" s="927">
        <v>1</v>
      </c>
      <c r="BO20" s="927">
        <v>1</v>
      </c>
      <c r="BP20" s="927">
        <v>1</v>
      </c>
      <c r="BQ20" s="927">
        <v>1</v>
      </c>
      <c r="BR20" s="927">
        <v>1</v>
      </c>
      <c r="BS20" s="927">
        <v>1</v>
      </c>
      <c r="BT20" s="927">
        <v>1</v>
      </c>
      <c r="BU20" s="927">
        <v>1</v>
      </c>
      <c r="BV20" s="927">
        <v>1</v>
      </c>
      <c r="BW20" s="927">
        <v>1</v>
      </c>
      <c r="BX20" s="1170">
        <f>BI20/AC20%</f>
        <v>99.999999999999986</v>
      </c>
      <c r="BY20" s="1742">
        <f>BI20/AT20%</f>
        <v>99.999999999999986</v>
      </c>
      <c r="BZ20" s="952"/>
      <c r="CA20" s="136">
        <v>14</v>
      </c>
      <c r="CB20" s="368">
        <f>AT20-CA20</f>
        <v>0</v>
      </c>
      <c r="CC20" s="186"/>
      <c r="CD20" s="530"/>
    </row>
    <row r="21" spans="1:82" s="185" customFormat="1" ht="21.95" customHeight="1">
      <c r="A21" s="947"/>
      <c r="B21" s="932" t="s">
        <v>271</v>
      </c>
      <c r="C21" s="947" t="s">
        <v>38</v>
      </c>
      <c r="D21" s="952">
        <f>SUM(E21:R21)</f>
        <v>13</v>
      </c>
      <c r="E21" s="1165"/>
      <c r="F21" s="1165">
        <v>1</v>
      </c>
      <c r="G21" s="1165">
        <v>1</v>
      </c>
      <c r="H21" s="1165">
        <v>1</v>
      </c>
      <c r="I21" s="1165">
        <v>1</v>
      </c>
      <c r="J21" s="1165">
        <v>1</v>
      </c>
      <c r="K21" s="1165">
        <v>1</v>
      </c>
      <c r="L21" s="1165">
        <v>1</v>
      </c>
      <c r="M21" s="1165">
        <v>1</v>
      </c>
      <c r="N21" s="1165">
        <v>1</v>
      </c>
      <c r="O21" s="1165">
        <v>1</v>
      </c>
      <c r="P21" s="1165">
        <v>1</v>
      </c>
      <c r="Q21" s="1165">
        <v>1</v>
      </c>
      <c r="R21" s="1165">
        <v>1</v>
      </c>
      <c r="S21" s="1165">
        <v>13</v>
      </c>
      <c r="T21" s="1165">
        <v>13</v>
      </c>
      <c r="U21" s="952">
        <f>SUM(V21:Z21)</f>
        <v>4</v>
      </c>
      <c r="V21" s="931"/>
      <c r="W21" s="952">
        <v>1</v>
      </c>
      <c r="X21" s="952">
        <v>1</v>
      </c>
      <c r="Y21" s="952">
        <v>1</v>
      </c>
      <c r="Z21" s="952">
        <v>1</v>
      </c>
      <c r="AA21" s="952">
        <v>13</v>
      </c>
      <c r="AB21" s="952" t="e">
        <f>SUM(#REF!)</f>
        <v>#REF!</v>
      </c>
      <c r="AC21" s="952">
        <v>13</v>
      </c>
      <c r="AD21" s="952">
        <v>13</v>
      </c>
      <c r="AE21" s="952">
        <f t="shared" ref="AE21:AE24" si="17">SUM(AF21:AS21)</f>
        <v>13</v>
      </c>
      <c r="AF21" s="931"/>
      <c r="AG21" s="952">
        <v>1</v>
      </c>
      <c r="AH21" s="952">
        <v>1</v>
      </c>
      <c r="AI21" s="952">
        <v>1</v>
      </c>
      <c r="AJ21" s="952">
        <v>1</v>
      </c>
      <c r="AK21" s="952">
        <v>1</v>
      </c>
      <c r="AL21" s="952">
        <v>1</v>
      </c>
      <c r="AM21" s="952">
        <v>1</v>
      </c>
      <c r="AN21" s="952">
        <v>1</v>
      </c>
      <c r="AO21" s="952">
        <v>1</v>
      </c>
      <c r="AP21" s="952">
        <v>1</v>
      </c>
      <c r="AQ21" s="952">
        <v>1</v>
      </c>
      <c r="AR21" s="952">
        <v>1</v>
      </c>
      <c r="AS21" s="952">
        <v>1</v>
      </c>
      <c r="AT21" s="952">
        <f t="shared" ref="AT21:AT24" si="18">SUM(AU21:BH21)</f>
        <v>13</v>
      </c>
      <c r="AU21" s="931"/>
      <c r="AV21" s="952">
        <v>1</v>
      </c>
      <c r="AW21" s="952">
        <v>1</v>
      </c>
      <c r="AX21" s="952">
        <v>1</v>
      </c>
      <c r="AY21" s="952">
        <v>1</v>
      </c>
      <c r="AZ21" s="952">
        <v>1</v>
      </c>
      <c r="BA21" s="952">
        <v>1</v>
      </c>
      <c r="BB21" s="952">
        <v>1</v>
      </c>
      <c r="BC21" s="952">
        <v>1</v>
      </c>
      <c r="BD21" s="952">
        <v>1</v>
      </c>
      <c r="BE21" s="952">
        <v>1</v>
      </c>
      <c r="BF21" s="952">
        <v>1</v>
      </c>
      <c r="BG21" s="952">
        <v>1</v>
      </c>
      <c r="BH21" s="952">
        <v>1</v>
      </c>
      <c r="BI21" s="945">
        <f t="shared" ref="BI21:BI24" si="19">SUM(BJ21:BW21)</f>
        <v>13</v>
      </c>
      <c r="BJ21" s="1369"/>
      <c r="BK21" s="945">
        <v>1</v>
      </c>
      <c r="BL21" s="945">
        <v>1</v>
      </c>
      <c r="BM21" s="945">
        <v>1</v>
      </c>
      <c r="BN21" s="945">
        <v>1</v>
      </c>
      <c r="BO21" s="945">
        <v>1</v>
      </c>
      <c r="BP21" s="945">
        <v>1</v>
      </c>
      <c r="BQ21" s="945">
        <v>1</v>
      </c>
      <c r="BR21" s="945">
        <v>1</v>
      </c>
      <c r="BS21" s="945">
        <v>1</v>
      </c>
      <c r="BT21" s="945">
        <v>1</v>
      </c>
      <c r="BU21" s="945">
        <v>1</v>
      </c>
      <c r="BV21" s="945">
        <v>1</v>
      </c>
      <c r="BW21" s="945">
        <v>1</v>
      </c>
      <c r="BX21" s="1170">
        <f t="shared" ref="BX21:BX76" si="20">BI21/AC21%</f>
        <v>100</v>
      </c>
      <c r="BY21" s="1742">
        <f t="shared" ref="BY21:BY76" si="21">BI21/AT21%</f>
        <v>100</v>
      </c>
      <c r="BZ21" s="952"/>
      <c r="CA21" s="136">
        <v>13</v>
      </c>
      <c r="CB21" s="368">
        <f>AT21-CA21</f>
        <v>0</v>
      </c>
      <c r="CC21" s="186"/>
      <c r="CD21" s="530"/>
    </row>
    <row r="22" spans="1:82" s="185" customFormat="1" ht="21.95" customHeight="1">
      <c r="A22" s="947"/>
      <c r="B22" s="932" t="s">
        <v>31</v>
      </c>
      <c r="C22" s="947"/>
      <c r="D22" s="1160"/>
      <c r="E22" s="1160"/>
      <c r="F22" s="1160"/>
      <c r="G22" s="1160"/>
      <c r="H22" s="1160"/>
      <c r="I22" s="1160"/>
      <c r="J22" s="1160"/>
      <c r="K22" s="1160"/>
      <c r="L22" s="1160"/>
      <c r="M22" s="1160"/>
      <c r="N22" s="1160"/>
      <c r="O22" s="1160"/>
      <c r="P22" s="1160"/>
      <c r="Q22" s="1160"/>
      <c r="R22" s="1160"/>
      <c r="S22" s="1163"/>
      <c r="T22" s="1163"/>
      <c r="U22" s="1163"/>
      <c r="V22" s="1170"/>
      <c r="W22" s="1170"/>
      <c r="X22" s="1170"/>
      <c r="Y22" s="1170"/>
      <c r="Z22" s="1170"/>
      <c r="AA22" s="1170"/>
      <c r="AB22" s="1170"/>
      <c r="AC22" s="1170"/>
      <c r="AD22" s="1170"/>
      <c r="AE22" s="952">
        <f t="shared" si="17"/>
        <v>0</v>
      </c>
      <c r="AF22" s="1170"/>
      <c r="AG22" s="1170"/>
      <c r="AH22" s="1170"/>
      <c r="AI22" s="1170"/>
      <c r="AJ22" s="1170"/>
      <c r="AK22" s="1170"/>
      <c r="AL22" s="1170"/>
      <c r="AM22" s="1170"/>
      <c r="AN22" s="1170"/>
      <c r="AO22" s="1170"/>
      <c r="AP22" s="1170"/>
      <c r="AQ22" s="1170"/>
      <c r="AR22" s="1170"/>
      <c r="AS22" s="1170"/>
      <c r="AT22" s="952">
        <f t="shared" si="18"/>
        <v>0</v>
      </c>
      <c r="AU22" s="1170"/>
      <c r="AV22" s="1170"/>
      <c r="AW22" s="1170"/>
      <c r="AX22" s="1170"/>
      <c r="AY22" s="1170"/>
      <c r="AZ22" s="1170"/>
      <c r="BA22" s="1170"/>
      <c r="BB22" s="1170"/>
      <c r="BC22" s="1170"/>
      <c r="BD22" s="1170"/>
      <c r="BE22" s="1170"/>
      <c r="BF22" s="1170"/>
      <c r="BG22" s="1170"/>
      <c r="BH22" s="1170"/>
      <c r="BI22" s="945">
        <f t="shared" si="19"/>
        <v>0</v>
      </c>
      <c r="BJ22" s="959"/>
      <c r="BK22" s="959"/>
      <c r="BL22" s="959"/>
      <c r="BM22" s="959"/>
      <c r="BN22" s="959"/>
      <c r="BO22" s="959"/>
      <c r="BP22" s="959"/>
      <c r="BQ22" s="959"/>
      <c r="BR22" s="959"/>
      <c r="BS22" s="959"/>
      <c r="BT22" s="959"/>
      <c r="BU22" s="959"/>
      <c r="BV22" s="959"/>
      <c r="BW22" s="959"/>
      <c r="BX22" s="1170"/>
      <c r="BY22" s="1742"/>
      <c r="BZ22" s="1170"/>
      <c r="CA22" s="136"/>
      <c r="CB22" s="368"/>
      <c r="CC22" s="186"/>
      <c r="CD22" s="530"/>
    </row>
    <row r="23" spans="1:82" s="32" customFormat="1" ht="45" customHeight="1">
      <c r="A23" s="951"/>
      <c r="B23" s="943" t="s">
        <v>272</v>
      </c>
      <c r="C23" s="951" t="s">
        <v>33</v>
      </c>
      <c r="D23" s="1166">
        <f>SUM(E23:R23)</f>
        <v>10</v>
      </c>
      <c r="E23" s="1167"/>
      <c r="F23" s="1167"/>
      <c r="G23" s="1167">
        <v>1</v>
      </c>
      <c r="H23" s="1167">
        <v>1</v>
      </c>
      <c r="I23" s="1167"/>
      <c r="J23" s="1167">
        <v>1</v>
      </c>
      <c r="K23" s="1167">
        <v>1</v>
      </c>
      <c r="L23" s="1167">
        <v>1</v>
      </c>
      <c r="M23" s="1167">
        <v>1</v>
      </c>
      <c r="N23" s="1167">
        <v>1</v>
      </c>
      <c r="O23" s="1167">
        <v>1</v>
      </c>
      <c r="P23" s="1167"/>
      <c r="Q23" s="1167">
        <v>1</v>
      </c>
      <c r="R23" s="1167">
        <v>1</v>
      </c>
      <c r="S23" s="1167">
        <v>10</v>
      </c>
      <c r="T23" s="1167">
        <v>10</v>
      </c>
      <c r="U23" s="1166">
        <f>SUM(V23:Z23)</f>
        <v>2</v>
      </c>
      <c r="V23" s="1167"/>
      <c r="W23" s="1167"/>
      <c r="X23" s="1167">
        <v>1</v>
      </c>
      <c r="Y23" s="1167">
        <v>1</v>
      </c>
      <c r="Z23" s="1167"/>
      <c r="AA23" s="1166">
        <v>10</v>
      </c>
      <c r="AB23" s="1166" t="e">
        <f>SUM(#REF!)</f>
        <v>#REF!</v>
      </c>
      <c r="AC23" s="1166">
        <v>10</v>
      </c>
      <c r="AD23" s="1166">
        <v>10</v>
      </c>
      <c r="AE23" s="1229">
        <f t="shared" si="17"/>
        <v>10</v>
      </c>
      <c r="AF23" s="1167"/>
      <c r="AG23" s="1167"/>
      <c r="AH23" s="1167">
        <v>1</v>
      </c>
      <c r="AI23" s="1167">
        <v>1</v>
      </c>
      <c r="AJ23" s="1167"/>
      <c r="AK23" s="1167">
        <v>1</v>
      </c>
      <c r="AL23" s="1167">
        <v>1</v>
      </c>
      <c r="AM23" s="1167">
        <v>1</v>
      </c>
      <c r="AN23" s="1167">
        <v>1</v>
      </c>
      <c r="AO23" s="1167">
        <v>1</v>
      </c>
      <c r="AP23" s="1167">
        <v>1</v>
      </c>
      <c r="AQ23" s="1167"/>
      <c r="AR23" s="1167">
        <v>1</v>
      </c>
      <c r="AS23" s="1167">
        <v>1</v>
      </c>
      <c r="AT23" s="1229">
        <f t="shared" si="18"/>
        <v>9</v>
      </c>
      <c r="AU23" s="1167"/>
      <c r="AV23" s="1167"/>
      <c r="AW23" s="1167">
        <v>1</v>
      </c>
      <c r="AX23" s="1167">
        <v>1</v>
      </c>
      <c r="AY23" s="1167"/>
      <c r="AZ23" s="1167"/>
      <c r="BA23" s="1167">
        <v>1</v>
      </c>
      <c r="BB23" s="1167">
        <v>1</v>
      </c>
      <c r="BC23" s="1167">
        <v>1</v>
      </c>
      <c r="BD23" s="1167">
        <v>1</v>
      </c>
      <c r="BE23" s="1167">
        <v>1</v>
      </c>
      <c r="BF23" s="1167"/>
      <c r="BG23" s="1167">
        <v>1</v>
      </c>
      <c r="BH23" s="1167">
        <v>1</v>
      </c>
      <c r="BI23" s="1308">
        <f t="shared" si="19"/>
        <v>9</v>
      </c>
      <c r="BJ23" s="1362"/>
      <c r="BK23" s="1362"/>
      <c r="BL23" s="1362">
        <v>1</v>
      </c>
      <c r="BM23" s="1362">
        <v>1</v>
      </c>
      <c r="BN23" s="1362"/>
      <c r="BO23" s="1362"/>
      <c r="BP23" s="1362">
        <v>1</v>
      </c>
      <c r="BQ23" s="1362">
        <v>1</v>
      </c>
      <c r="BR23" s="1362">
        <v>1</v>
      </c>
      <c r="BS23" s="1362">
        <v>1</v>
      </c>
      <c r="BT23" s="1362">
        <v>1</v>
      </c>
      <c r="BU23" s="1362"/>
      <c r="BV23" s="1362">
        <v>1</v>
      </c>
      <c r="BW23" s="1362">
        <v>1</v>
      </c>
      <c r="BX23" s="1174">
        <f t="shared" si="20"/>
        <v>90</v>
      </c>
      <c r="BY23" s="1999">
        <f t="shared" si="21"/>
        <v>100</v>
      </c>
      <c r="BZ23" s="1166"/>
      <c r="CA23" s="1241">
        <v>9</v>
      </c>
      <c r="CB23" s="1252">
        <f>AT23-CA23</f>
        <v>0</v>
      </c>
      <c r="CC23" s="1243"/>
      <c r="CD23" s="1255"/>
    </row>
    <row r="24" spans="1:82" s="32" customFormat="1" ht="21.95" customHeight="1">
      <c r="A24" s="951"/>
      <c r="B24" s="943" t="s">
        <v>273</v>
      </c>
      <c r="C24" s="951" t="s">
        <v>33</v>
      </c>
      <c r="D24" s="1229">
        <f>SUM(E24:R24)</f>
        <v>6</v>
      </c>
      <c r="E24" s="1167"/>
      <c r="F24" s="1167"/>
      <c r="G24" s="1167"/>
      <c r="H24" s="1167"/>
      <c r="I24" s="1167"/>
      <c r="J24" s="1167"/>
      <c r="K24" s="1167">
        <v>1</v>
      </c>
      <c r="L24" s="1167">
        <v>1</v>
      </c>
      <c r="M24" s="1167"/>
      <c r="N24" s="1167">
        <v>1</v>
      </c>
      <c r="O24" s="1167">
        <v>1</v>
      </c>
      <c r="P24" s="1167">
        <v>1</v>
      </c>
      <c r="Q24" s="1167">
        <v>1</v>
      </c>
      <c r="R24" s="1167"/>
      <c r="S24" s="1167">
        <v>6</v>
      </c>
      <c r="T24" s="1167">
        <v>6</v>
      </c>
      <c r="U24" s="1229">
        <f>SUM(V24:Z24)</f>
        <v>0</v>
      </c>
      <c r="V24" s="1167"/>
      <c r="W24" s="1167"/>
      <c r="X24" s="1167"/>
      <c r="Y24" s="1167"/>
      <c r="Z24" s="1167"/>
      <c r="AA24" s="1229">
        <v>6</v>
      </c>
      <c r="AB24" s="1229" t="e">
        <f>SUM(#REF!)</f>
        <v>#REF!</v>
      </c>
      <c r="AC24" s="1229">
        <v>6</v>
      </c>
      <c r="AD24" s="1229">
        <v>6</v>
      </c>
      <c r="AE24" s="1229">
        <f t="shared" si="17"/>
        <v>6</v>
      </c>
      <c r="AF24" s="1167"/>
      <c r="AG24" s="1167"/>
      <c r="AH24" s="1167"/>
      <c r="AI24" s="1167"/>
      <c r="AJ24" s="1167"/>
      <c r="AK24" s="1167"/>
      <c r="AL24" s="1167">
        <v>1</v>
      </c>
      <c r="AM24" s="1167">
        <v>1</v>
      </c>
      <c r="AN24" s="1167"/>
      <c r="AO24" s="1167">
        <v>1</v>
      </c>
      <c r="AP24" s="1167">
        <v>1</v>
      </c>
      <c r="AQ24" s="1167">
        <v>1</v>
      </c>
      <c r="AR24" s="1167">
        <v>1</v>
      </c>
      <c r="AS24" s="1167"/>
      <c r="AT24" s="1229">
        <f t="shared" si="18"/>
        <v>6</v>
      </c>
      <c r="AU24" s="1167"/>
      <c r="AV24" s="1167"/>
      <c r="AW24" s="1167"/>
      <c r="AX24" s="1167"/>
      <c r="AY24" s="1167"/>
      <c r="AZ24" s="1167"/>
      <c r="BA24" s="1167">
        <v>1</v>
      </c>
      <c r="BB24" s="1167">
        <v>1</v>
      </c>
      <c r="BC24" s="1167"/>
      <c r="BD24" s="1167">
        <v>1</v>
      </c>
      <c r="BE24" s="1167">
        <v>1</v>
      </c>
      <c r="BF24" s="1167">
        <v>1</v>
      </c>
      <c r="BG24" s="1167">
        <v>1</v>
      </c>
      <c r="BH24" s="1167"/>
      <c r="BI24" s="1308">
        <f t="shared" si="19"/>
        <v>6</v>
      </c>
      <c r="BJ24" s="1362"/>
      <c r="BK24" s="1362"/>
      <c r="BL24" s="1362"/>
      <c r="BM24" s="1362"/>
      <c r="BN24" s="1362"/>
      <c r="BO24" s="1362"/>
      <c r="BP24" s="1362">
        <v>1</v>
      </c>
      <c r="BQ24" s="1362">
        <v>1</v>
      </c>
      <c r="BR24" s="1362"/>
      <c r="BS24" s="1362">
        <v>1</v>
      </c>
      <c r="BT24" s="1362">
        <v>1</v>
      </c>
      <c r="BU24" s="1362">
        <v>1</v>
      </c>
      <c r="BV24" s="1362">
        <v>1</v>
      </c>
      <c r="BW24" s="1362"/>
      <c r="BX24" s="1174">
        <f t="shared" si="20"/>
        <v>100</v>
      </c>
      <c r="BY24" s="1999">
        <f t="shared" si="21"/>
        <v>100</v>
      </c>
      <c r="BZ24" s="1229"/>
      <c r="CA24" s="1241">
        <v>6</v>
      </c>
      <c r="CB24" s="1252">
        <f>AT24-CA24</f>
        <v>0</v>
      </c>
      <c r="CC24" s="1243"/>
      <c r="CD24" s="1255"/>
    </row>
    <row r="25" spans="1:82" s="185" customFormat="1" ht="35.1" customHeight="1">
      <c r="A25" s="947"/>
      <c r="B25" s="932" t="s">
        <v>34</v>
      </c>
      <c r="C25" s="947" t="s">
        <v>33</v>
      </c>
      <c r="D25" s="952">
        <f>SUM(E25:R25)</f>
        <v>13</v>
      </c>
      <c r="E25" s="1165"/>
      <c r="F25" s="1165">
        <v>1</v>
      </c>
      <c r="G25" s="1165">
        <v>1</v>
      </c>
      <c r="H25" s="1165">
        <v>1</v>
      </c>
      <c r="I25" s="1165">
        <v>1</v>
      </c>
      <c r="J25" s="1165">
        <v>1</v>
      </c>
      <c r="K25" s="1165">
        <v>1</v>
      </c>
      <c r="L25" s="1165">
        <v>1</v>
      </c>
      <c r="M25" s="1165">
        <v>1</v>
      </c>
      <c r="N25" s="1165">
        <v>1</v>
      </c>
      <c r="O25" s="1165">
        <v>1</v>
      </c>
      <c r="P25" s="1165">
        <v>1</v>
      </c>
      <c r="Q25" s="1165">
        <v>1</v>
      </c>
      <c r="R25" s="1165">
        <v>1</v>
      </c>
      <c r="S25" s="1165">
        <v>13</v>
      </c>
      <c r="T25" s="1165">
        <v>13</v>
      </c>
      <c r="U25" s="952">
        <f>SUM(V25:Z25)</f>
        <v>4</v>
      </c>
      <c r="V25" s="1165"/>
      <c r="W25" s="1165">
        <v>1</v>
      </c>
      <c r="X25" s="1165">
        <v>1</v>
      </c>
      <c r="Y25" s="1165">
        <v>1</v>
      </c>
      <c r="Z25" s="1165">
        <v>1</v>
      </c>
      <c r="AA25" s="952">
        <v>13</v>
      </c>
      <c r="AB25" s="952" t="e">
        <f>SUM(#REF!)</f>
        <v>#REF!</v>
      </c>
      <c r="AC25" s="952">
        <v>13</v>
      </c>
      <c r="AD25" s="952">
        <v>13</v>
      </c>
      <c r="AE25" s="952">
        <f>SUM(AG25:AS25)</f>
        <v>13</v>
      </c>
      <c r="AF25" s="952"/>
      <c r="AG25" s="952">
        <v>1</v>
      </c>
      <c r="AH25" s="952">
        <v>1</v>
      </c>
      <c r="AI25" s="952">
        <v>1</v>
      </c>
      <c r="AJ25" s="952">
        <v>1</v>
      </c>
      <c r="AK25" s="952">
        <v>1</v>
      </c>
      <c r="AL25" s="952">
        <v>1</v>
      </c>
      <c r="AM25" s="952">
        <v>1</v>
      </c>
      <c r="AN25" s="952">
        <v>1</v>
      </c>
      <c r="AO25" s="952">
        <v>1</v>
      </c>
      <c r="AP25" s="952">
        <v>1</v>
      </c>
      <c r="AQ25" s="952">
        <v>1</v>
      </c>
      <c r="AR25" s="952">
        <v>1</v>
      </c>
      <c r="AS25" s="952">
        <v>1</v>
      </c>
      <c r="AT25" s="952">
        <f>SUM(AV25:BH25)</f>
        <v>13</v>
      </c>
      <c r="AU25" s="952"/>
      <c r="AV25" s="952">
        <v>1</v>
      </c>
      <c r="AW25" s="952">
        <v>1</v>
      </c>
      <c r="AX25" s="952">
        <v>1</v>
      </c>
      <c r="AY25" s="952">
        <v>1</v>
      </c>
      <c r="AZ25" s="952">
        <v>1</v>
      </c>
      <c r="BA25" s="952">
        <v>1</v>
      </c>
      <c r="BB25" s="952">
        <v>1</v>
      </c>
      <c r="BC25" s="952">
        <v>1</v>
      </c>
      <c r="BD25" s="952">
        <v>1</v>
      </c>
      <c r="BE25" s="952">
        <v>1</v>
      </c>
      <c r="BF25" s="952">
        <v>1</v>
      </c>
      <c r="BG25" s="952">
        <v>1</v>
      </c>
      <c r="BH25" s="952">
        <v>1</v>
      </c>
      <c r="BI25" s="945">
        <f>SUM(BK25:BW25)</f>
        <v>13</v>
      </c>
      <c r="BJ25" s="945"/>
      <c r="BK25" s="945">
        <v>1</v>
      </c>
      <c r="BL25" s="945">
        <v>1</v>
      </c>
      <c r="BM25" s="945">
        <v>1</v>
      </c>
      <c r="BN25" s="945">
        <v>1</v>
      </c>
      <c r="BO25" s="945">
        <v>1</v>
      </c>
      <c r="BP25" s="945">
        <v>1</v>
      </c>
      <c r="BQ25" s="945">
        <v>1</v>
      </c>
      <c r="BR25" s="945">
        <v>1</v>
      </c>
      <c r="BS25" s="945">
        <v>1</v>
      </c>
      <c r="BT25" s="945">
        <v>1</v>
      </c>
      <c r="BU25" s="945">
        <v>1</v>
      </c>
      <c r="BV25" s="945">
        <v>1</v>
      </c>
      <c r="BW25" s="945">
        <v>1</v>
      </c>
      <c r="BX25" s="1170">
        <f t="shared" si="20"/>
        <v>100</v>
      </c>
      <c r="BY25" s="1742">
        <f t="shared" si="21"/>
        <v>100</v>
      </c>
      <c r="BZ25" s="952"/>
      <c r="CA25" s="136">
        <v>13</v>
      </c>
      <c r="CB25" s="368">
        <f>AT25-CA25</f>
        <v>0</v>
      </c>
      <c r="CC25" s="186"/>
      <c r="CD25" s="1259"/>
    </row>
    <row r="26" spans="1:82" s="1261" customFormat="1" ht="45" customHeight="1">
      <c r="A26" s="951"/>
      <c r="B26" s="1149" t="s">
        <v>274</v>
      </c>
      <c r="C26" s="1150" t="s">
        <v>26</v>
      </c>
      <c r="D26" s="1167">
        <v>100</v>
      </c>
      <c r="E26" s="1167"/>
      <c r="F26" s="1167"/>
      <c r="G26" s="1167"/>
      <c r="H26" s="1167"/>
      <c r="I26" s="1167"/>
      <c r="J26" s="1167"/>
      <c r="K26" s="1167"/>
      <c r="L26" s="1167"/>
      <c r="M26" s="1167"/>
      <c r="N26" s="1167"/>
      <c r="O26" s="1167"/>
      <c r="P26" s="1167"/>
      <c r="Q26" s="1167"/>
      <c r="R26" s="1167"/>
      <c r="S26" s="1167">
        <v>100</v>
      </c>
      <c r="T26" s="1167">
        <v>100</v>
      </c>
      <c r="U26" s="1167">
        <v>100</v>
      </c>
      <c r="V26" s="1167">
        <v>100</v>
      </c>
      <c r="W26" s="1167">
        <v>100</v>
      </c>
      <c r="X26" s="1167">
        <v>100</v>
      </c>
      <c r="Y26" s="1167">
        <v>100</v>
      </c>
      <c r="Z26" s="1167">
        <v>100</v>
      </c>
      <c r="AA26" s="1167">
        <v>100</v>
      </c>
      <c r="AB26" s="1167">
        <v>100</v>
      </c>
      <c r="AC26" s="1167">
        <v>100</v>
      </c>
      <c r="AD26" s="1167">
        <v>100</v>
      </c>
      <c r="AE26" s="1167">
        <f>AVERAGE(AG26:AS26)</f>
        <v>100</v>
      </c>
      <c r="AF26" s="1167"/>
      <c r="AG26" s="1167">
        <f>AG25/1*100</f>
        <v>100</v>
      </c>
      <c r="AH26" s="1167">
        <f t="shared" ref="AH26:AS26" si="22">AH25/1*100</f>
        <v>100</v>
      </c>
      <c r="AI26" s="1167">
        <f t="shared" si="22"/>
        <v>100</v>
      </c>
      <c r="AJ26" s="1167">
        <f t="shared" si="22"/>
        <v>100</v>
      </c>
      <c r="AK26" s="1167">
        <f t="shared" si="22"/>
        <v>100</v>
      </c>
      <c r="AL26" s="1167">
        <f t="shared" si="22"/>
        <v>100</v>
      </c>
      <c r="AM26" s="1167">
        <f t="shared" si="22"/>
        <v>100</v>
      </c>
      <c r="AN26" s="1167">
        <f t="shared" si="22"/>
        <v>100</v>
      </c>
      <c r="AO26" s="1167">
        <f t="shared" si="22"/>
        <v>100</v>
      </c>
      <c r="AP26" s="1167">
        <f t="shared" si="22"/>
        <v>100</v>
      </c>
      <c r="AQ26" s="1167">
        <f t="shared" si="22"/>
        <v>100</v>
      </c>
      <c r="AR26" s="1167">
        <f t="shared" si="22"/>
        <v>100</v>
      </c>
      <c r="AS26" s="1167">
        <f t="shared" si="22"/>
        <v>100</v>
      </c>
      <c r="AT26" s="1167">
        <f>AVERAGE(AV26:BH26)</f>
        <v>100</v>
      </c>
      <c r="AU26" s="1167"/>
      <c r="AV26" s="1167">
        <f>AV25/1*100</f>
        <v>100</v>
      </c>
      <c r="AW26" s="1167">
        <f t="shared" ref="AW26:BH26" si="23">AW25/1*100</f>
        <v>100</v>
      </c>
      <c r="AX26" s="1167">
        <f t="shared" si="23"/>
        <v>100</v>
      </c>
      <c r="AY26" s="1167">
        <f t="shared" si="23"/>
        <v>100</v>
      </c>
      <c r="AZ26" s="1167">
        <f t="shared" si="23"/>
        <v>100</v>
      </c>
      <c r="BA26" s="1167">
        <f t="shared" si="23"/>
        <v>100</v>
      </c>
      <c r="BB26" s="1167">
        <f t="shared" si="23"/>
        <v>100</v>
      </c>
      <c r="BC26" s="1167">
        <f t="shared" si="23"/>
        <v>100</v>
      </c>
      <c r="BD26" s="1167">
        <f t="shared" si="23"/>
        <v>100</v>
      </c>
      <c r="BE26" s="1167">
        <f t="shared" si="23"/>
        <v>100</v>
      </c>
      <c r="BF26" s="1167">
        <f t="shared" si="23"/>
        <v>100</v>
      </c>
      <c r="BG26" s="1167">
        <f t="shared" si="23"/>
        <v>100</v>
      </c>
      <c r="BH26" s="1167">
        <f t="shared" si="23"/>
        <v>100</v>
      </c>
      <c r="BI26" s="1362">
        <f>AVERAGE(BK26:BW26)</f>
        <v>100</v>
      </c>
      <c r="BJ26" s="1362"/>
      <c r="BK26" s="1362">
        <f>BK25/1*100</f>
        <v>100</v>
      </c>
      <c r="BL26" s="1362">
        <f t="shared" ref="BL26:BW26" si="24">BL25/1*100</f>
        <v>100</v>
      </c>
      <c r="BM26" s="1362">
        <f t="shared" si="24"/>
        <v>100</v>
      </c>
      <c r="BN26" s="1362">
        <f t="shared" si="24"/>
        <v>100</v>
      </c>
      <c r="BO26" s="1362">
        <f t="shared" si="24"/>
        <v>100</v>
      </c>
      <c r="BP26" s="1362">
        <f t="shared" si="24"/>
        <v>100</v>
      </c>
      <c r="BQ26" s="1362">
        <f t="shared" si="24"/>
        <v>100</v>
      </c>
      <c r="BR26" s="1362">
        <f t="shared" si="24"/>
        <v>100</v>
      </c>
      <c r="BS26" s="1362">
        <f t="shared" si="24"/>
        <v>100</v>
      </c>
      <c r="BT26" s="1362">
        <f t="shared" si="24"/>
        <v>100</v>
      </c>
      <c r="BU26" s="1362">
        <f t="shared" si="24"/>
        <v>100</v>
      </c>
      <c r="BV26" s="1362">
        <f t="shared" si="24"/>
        <v>100</v>
      </c>
      <c r="BW26" s="1362">
        <f t="shared" si="24"/>
        <v>100</v>
      </c>
      <c r="BX26" s="1174">
        <f t="shared" si="20"/>
        <v>100</v>
      </c>
      <c r="BY26" s="1999">
        <f t="shared" si="21"/>
        <v>100</v>
      </c>
      <c r="BZ26" s="1167"/>
      <c r="CA26" s="1241">
        <v>100</v>
      </c>
      <c r="CB26" s="1252">
        <f>AT26-CA26</f>
        <v>0</v>
      </c>
      <c r="CC26" s="1260"/>
      <c r="CD26" s="32"/>
    </row>
    <row r="27" spans="1:82" s="532" customFormat="1" ht="35.1" customHeight="1">
      <c r="A27" s="1790"/>
      <c r="B27" s="1168" t="s">
        <v>808</v>
      </c>
      <c r="C27" s="1169" t="s">
        <v>26</v>
      </c>
      <c r="D27" s="1170">
        <v>99.999999999999986</v>
      </c>
      <c r="E27" s="1170"/>
      <c r="F27" s="1170"/>
      <c r="G27" s="1170"/>
      <c r="H27" s="1170"/>
      <c r="I27" s="1170"/>
      <c r="J27" s="1170"/>
      <c r="K27" s="1170"/>
      <c r="L27" s="1170"/>
      <c r="M27" s="1170"/>
      <c r="N27" s="1170"/>
      <c r="O27" s="1170"/>
      <c r="P27" s="1170"/>
      <c r="Q27" s="1170"/>
      <c r="R27" s="1170"/>
      <c r="S27" s="1170">
        <v>100</v>
      </c>
      <c r="T27" s="1170">
        <v>100</v>
      </c>
      <c r="U27" s="1165">
        <v>100</v>
      </c>
      <c r="V27" s="1165">
        <v>100</v>
      </c>
      <c r="W27" s="1165">
        <v>100</v>
      </c>
      <c r="X27" s="1165">
        <v>100</v>
      </c>
      <c r="Y27" s="1165">
        <v>100</v>
      </c>
      <c r="Z27" s="1165">
        <v>100</v>
      </c>
      <c r="AA27" s="1165">
        <v>100</v>
      </c>
      <c r="AB27" s="1165">
        <v>100</v>
      </c>
      <c r="AC27" s="1165">
        <v>100</v>
      </c>
      <c r="AD27" s="1165">
        <v>100</v>
      </c>
      <c r="AE27" s="1167">
        <f t="shared" ref="AE27:AE30" si="25">AVERAGE(AG27:AS27)</f>
        <v>100</v>
      </c>
      <c r="AF27" s="1167"/>
      <c r="AG27" s="1167">
        <f>1/1*100</f>
        <v>100</v>
      </c>
      <c r="AH27" s="1167">
        <f t="shared" ref="AH27:AS27" si="26">1/1*100</f>
        <v>100</v>
      </c>
      <c r="AI27" s="1167">
        <f t="shared" si="26"/>
        <v>100</v>
      </c>
      <c r="AJ27" s="1167">
        <f t="shared" si="26"/>
        <v>100</v>
      </c>
      <c r="AK27" s="1167">
        <f t="shared" si="26"/>
        <v>100</v>
      </c>
      <c r="AL27" s="1167">
        <f t="shared" si="26"/>
        <v>100</v>
      </c>
      <c r="AM27" s="1167">
        <f t="shared" si="26"/>
        <v>100</v>
      </c>
      <c r="AN27" s="1167">
        <f t="shared" si="26"/>
        <v>100</v>
      </c>
      <c r="AO27" s="1167">
        <f t="shared" si="26"/>
        <v>100</v>
      </c>
      <c r="AP27" s="1167">
        <f t="shared" si="26"/>
        <v>100</v>
      </c>
      <c r="AQ27" s="1167">
        <f t="shared" si="26"/>
        <v>100</v>
      </c>
      <c r="AR27" s="1167">
        <f t="shared" si="26"/>
        <v>100</v>
      </c>
      <c r="AS27" s="1167">
        <f t="shared" si="26"/>
        <v>100</v>
      </c>
      <c r="AT27" s="1167">
        <f t="shared" ref="AT27" si="27">AVERAGE(AV27:BH27)</f>
        <v>100</v>
      </c>
      <c r="AU27" s="1167"/>
      <c r="AV27" s="1167">
        <f>1/1*100</f>
        <v>100</v>
      </c>
      <c r="AW27" s="1167">
        <f t="shared" ref="AW27:BH27" si="28">1/1*100</f>
        <v>100</v>
      </c>
      <c r="AX27" s="1167">
        <f t="shared" si="28"/>
        <v>100</v>
      </c>
      <c r="AY27" s="1167">
        <f t="shared" si="28"/>
        <v>100</v>
      </c>
      <c r="AZ27" s="1167">
        <f t="shared" si="28"/>
        <v>100</v>
      </c>
      <c r="BA27" s="1167">
        <f t="shared" si="28"/>
        <v>100</v>
      </c>
      <c r="BB27" s="1167">
        <f t="shared" si="28"/>
        <v>100</v>
      </c>
      <c r="BC27" s="1167">
        <f t="shared" si="28"/>
        <v>100</v>
      </c>
      <c r="BD27" s="1167">
        <f t="shared" si="28"/>
        <v>100</v>
      </c>
      <c r="BE27" s="1167">
        <f t="shared" si="28"/>
        <v>100</v>
      </c>
      <c r="BF27" s="1167">
        <f t="shared" si="28"/>
        <v>100</v>
      </c>
      <c r="BG27" s="1167">
        <f t="shared" si="28"/>
        <v>100</v>
      </c>
      <c r="BH27" s="1167">
        <f t="shared" si="28"/>
        <v>100</v>
      </c>
      <c r="BI27" s="1362">
        <f t="shared" ref="BI27" si="29">AVERAGE(BK27:BW27)</f>
        <v>100</v>
      </c>
      <c r="BJ27" s="1362"/>
      <c r="BK27" s="1362">
        <f>1/1*100</f>
        <v>100</v>
      </c>
      <c r="BL27" s="1362">
        <f t="shared" ref="BL27:BW27" si="30">1/1*100</f>
        <v>100</v>
      </c>
      <c r="BM27" s="1362">
        <f t="shared" si="30"/>
        <v>100</v>
      </c>
      <c r="BN27" s="1362">
        <f t="shared" si="30"/>
        <v>100</v>
      </c>
      <c r="BO27" s="1362">
        <f t="shared" si="30"/>
        <v>100</v>
      </c>
      <c r="BP27" s="1362">
        <f t="shared" si="30"/>
        <v>100</v>
      </c>
      <c r="BQ27" s="1362">
        <f t="shared" si="30"/>
        <v>100</v>
      </c>
      <c r="BR27" s="1362">
        <f t="shared" si="30"/>
        <v>100</v>
      </c>
      <c r="BS27" s="1362">
        <f t="shared" si="30"/>
        <v>100</v>
      </c>
      <c r="BT27" s="1362">
        <f t="shared" si="30"/>
        <v>100</v>
      </c>
      <c r="BU27" s="1362">
        <f t="shared" si="30"/>
        <v>100</v>
      </c>
      <c r="BV27" s="1362">
        <f t="shared" si="30"/>
        <v>100</v>
      </c>
      <c r="BW27" s="1362">
        <f t="shared" si="30"/>
        <v>100</v>
      </c>
      <c r="BX27" s="1170">
        <f t="shared" si="20"/>
        <v>100</v>
      </c>
      <c r="BY27" s="1742">
        <f t="shared" si="21"/>
        <v>100</v>
      </c>
      <c r="BZ27" s="1165"/>
      <c r="CA27" s="128">
        <v>100</v>
      </c>
      <c r="CB27" s="368">
        <f>AT27-CA27</f>
        <v>0</v>
      </c>
      <c r="CC27" s="531"/>
      <c r="CD27" s="31"/>
    </row>
    <row r="28" spans="1:82" s="1264" customFormat="1" ht="33.75" hidden="1" customHeight="1">
      <c r="A28" s="1171"/>
      <c r="B28" s="1172" t="s">
        <v>809</v>
      </c>
      <c r="C28" s="1173" t="s">
        <v>26</v>
      </c>
      <c r="D28" s="1174">
        <v>98.2</v>
      </c>
      <c r="E28" s="1174"/>
      <c r="F28" s="1174"/>
      <c r="G28" s="1174"/>
      <c r="H28" s="1174"/>
      <c r="I28" s="1174"/>
      <c r="J28" s="1174"/>
      <c r="K28" s="1174"/>
      <c r="L28" s="1174"/>
      <c r="M28" s="1174"/>
      <c r="N28" s="1174"/>
      <c r="O28" s="1174"/>
      <c r="P28" s="1174"/>
      <c r="Q28" s="1174"/>
      <c r="R28" s="1174"/>
      <c r="S28" s="1175">
        <f>109/111*100</f>
        <v>98.198198198198199</v>
      </c>
      <c r="T28" s="1175">
        <f t="shared" ref="T28" si="31">109/110*100</f>
        <v>99.090909090909093</v>
      </c>
      <c r="U28" s="1175">
        <f>109/110*100</f>
        <v>99.090909090909093</v>
      </c>
      <c r="V28" s="1167">
        <v>100</v>
      </c>
      <c r="W28" s="1167">
        <v>100</v>
      </c>
      <c r="X28" s="1167">
        <v>100</v>
      </c>
      <c r="Y28" s="1167">
        <v>100</v>
      </c>
      <c r="Z28" s="1167">
        <v>100</v>
      </c>
      <c r="AA28" s="1167">
        <v>100</v>
      </c>
      <c r="AB28" s="1167">
        <v>100</v>
      </c>
      <c r="AC28" s="1167"/>
      <c r="AD28" s="1167"/>
      <c r="AE28" s="1167" t="e">
        <f t="shared" si="25"/>
        <v>#DIV/0!</v>
      </c>
      <c r="AF28" s="1167" t="e">
        <f t="shared" ref="AF28:AF30" si="32">AVERAGE(AH28:AT28)</f>
        <v>#DIV/0!</v>
      </c>
      <c r="AG28" s="1167"/>
      <c r="AH28" s="1167"/>
      <c r="AI28" s="1167"/>
      <c r="AJ28" s="1167"/>
      <c r="AK28" s="1167"/>
      <c r="AL28" s="1167"/>
      <c r="AM28" s="1167"/>
      <c r="AN28" s="1167"/>
      <c r="AO28" s="1167"/>
      <c r="AP28" s="1167"/>
      <c r="AQ28" s="1167"/>
      <c r="AR28" s="1167"/>
      <c r="AS28" s="1167"/>
      <c r="AT28" s="1167"/>
      <c r="AU28" s="1167"/>
      <c r="AV28" s="1167"/>
      <c r="AW28" s="1167"/>
      <c r="AX28" s="1167"/>
      <c r="AY28" s="1167"/>
      <c r="AZ28" s="1167"/>
      <c r="BA28" s="1167"/>
      <c r="BB28" s="1167"/>
      <c r="BC28" s="1167"/>
      <c r="BD28" s="1167"/>
      <c r="BE28" s="1167"/>
      <c r="BF28" s="1167"/>
      <c r="BG28" s="1167"/>
      <c r="BH28" s="1167"/>
      <c r="BI28" s="1362"/>
      <c r="BJ28" s="1362"/>
      <c r="BK28" s="1362"/>
      <c r="BL28" s="1362"/>
      <c r="BM28" s="1362"/>
      <c r="BN28" s="1362"/>
      <c r="BO28" s="1362"/>
      <c r="BP28" s="1362"/>
      <c r="BQ28" s="1362"/>
      <c r="BR28" s="1362"/>
      <c r="BS28" s="1362"/>
      <c r="BT28" s="1362"/>
      <c r="BU28" s="1362"/>
      <c r="BV28" s="1362"/>
      <c r="BW28" s="1362"/>
      <c r="BX28" s="1170" t="e">
        <f t="shared" si="20"/>
        <v>#DIV/0!</v>
      </c>
      <c r="BY28" s="1742" t="e">
        <f t="shared" si="21"/>
        <v>#DIV/0!</v>
      </c>
      <c r="BZ28" s="1167"/>
      <c r="CA28" s="1251"/>
      <c r="CB28" s="1242"/>
      <c r="CC28" s="1262"/>
      <c r="CD28" s="1263"/>
    </row>
    <row r="29" spans="1:82" s="185" customFormat="1" ht="21.95" hidden="1" customHeight="1">
      <c r="A29" s="947"/>
      <c r="B29" s="932" t="s">
        <v>275</v>
      </c>
      <c r="C29" s="947" t="s">
        <v>38</v>
      </c>
      <c r="D29" s="952">
        <f>SUM(E29:R29)</f>
        <v>14</v>
      </c>
      <c r="E29" s="1165">
        <v>1</v>
      </c>
      <c r="F29" s="1165">
        <v>1</v>
      </c>
      <c r="G29" s="1165">
        <v>1</v>
      </c>
      <c r="H29" s="1165">
        <v>1</v>
      </c>
      <c r="I29" s="1165">
        <v>1</v>
      </c>
      <c r="J29" s="1165">
        <v>1</v>
      </c>
      <c r="K29" s="1165">
        <v>1</v>
      </c>
      <c r="L29" s="1165">
        <v>1</v>
      </c>
      <c r="M29" s="1165">
        <v>1</v>
      </c>
      <c r="N29" s="1165">
        <v>1</v>
      </c>
      <c r="O29" s="1165">
        <v>1</v>
      </c>
      <c r="P29" s="1165">
        <v>1</v>
      </c>
      <c r="Q29" s="1165">
        <v>1</v>
      </c>
      <c r="R29" s="1165">
        <v>1</v>
      </c>
      <c r="S29" s="1165">
        <v>14</v>
      </c>
      <c r="T29" s="1165">
        <v>14</v>
      </c>
      <c r="U29" s="952">
        <f>SUM(V29:Z29)</f>
        <v>5</v>
      </c>
      <c r="V29" s="938">
        <v>1</v>
      </c>
      <c r="W29" s="938">
        <v>1</v>
      </c>
      <c r="X29" s="938">
        <v>1</v>
      </c>
      <c r="Y29" s="938">
        <v>1</v>
      </c>
      <c r="Z29" s="938">
        <v>1</v>
      </c>
      <c r="AA29" s="952"/>
      <c r="AB29" s="952" t="e">
        <f>SUM(#REF!)</f>
        <v>#REF!</v>
      </c>
      <c r="AC29" s="952"/>
      <c r="AD29" s="952"/>
      <c r="AE29" s="1167" t="e">
        <f t="shared" si="25"/>
        <v>#DIV/0!</v>
      </c>
      <c r="AF29" s="1167" t="e">
        <f t="shared" si="32"/>
        <v>#DIV/0!</v>
      </c>
      <c r="AG29" s="952"/>
      <c r="AH29" s="952"/>
      <c r="AI29" s="952"/>
      <c r="AJ29" s="952"/>
      <c r="AK29" s="952"/>
      <c r="AL29" s="952"/>
      <c r="AM29" s="952"/>
      <c r="AN29" s="952"/>
      <c r="AO29" s="952"/>
      <c r="AP29" s="952"/>
      <c r="AQ29" s="952"/>
      <c r="AR29" s="952"/>
      <c r="AS29" s="952"/>
      <c r="AT29" s="952"/>
      <c r="AU29" s="952"/>
      <c r="AV29" s="952"/>
      <c r="AW29" s="952"/>
      <c r="AX29" s="952"/>
      <c r="AY29" s="952"/>
      <c r="AZ29" s="952"/>
      <c r="BA29" s="952"/>
      <c r="BB29" s="952"/>
      <c r="BC29" s="952"/>
      <c r="BD29" s="952"/>
      <c r="BE29" s="952"/>
      <c r="BF29" s="952"/>
      <c r="BG29" s="952"/>
      <c r="BH29" s="952"/>
      <c r="BI29" s="945"/>
      <c r="BJ29" s="945"/>
      <c r="BK29" s="945"/>
      <c r="BL29" s="945"/>
      <c r="BM29" s="945"/>
      <c r="BN29" s="945"/>
      <c r="BO29" s="945"/>
      <c r="BP29" s="945"/>
      <c r="BQ29" s="945"/>
      <c r="BR29" s="945"/>
      <c r="BS29" s="945"/>
      <c r="BT29" s="945"/>
      <c r="BU29" s="945"/>
      <c r="BV29" s="945"/>
      <c r="BW29" s="945"/>
      <c r="BX29" s="1170" t="e">
        <f t="shared" si="20"/>
        <v>#DIV/0!</v>
      </c>
      <c r="BY29" s="1742" t="e">
        <f t="shared" si="21"/>
        <v>#DIV/0!</v>
      </c>
      <c r="BZ29" s="952"/>
      <c r="CA29" s="136"/>
      <c r="CB29" s="1239"/>
      <c r="CC29" s="186"/>
    </row>
    <row r="30" spans="1:82" s="185" customFormat="1" ht="21" hidden="1" customHeight="1">
      <c r="A30" s="947"/>
      <c r="B30" s="932" t="s">
        <v>584</v>
      </c>
      <c r="C30" s="947" t="s">
        <v>279</v>
      </c>
      <c r="D30" s="1160"/>
      <c r="E30" s="1160"/>
      <c r="F30" s="1160"/>
      <c r="G30" s="1160"/>
      <c r="H30" s="1160"/>
      <c r="I30" s="1160"/>
      <c r="J30" s="1160"/>
      <c r="K30" s="1160"/>
      <c r="L30" s="1160"/>
      <c r="M30" s="1160"/>
      <c r="N30" s="1160"/>
      <c r="O30" s="1160"/>
      <c r="P30" s="1160"/>
      <c r="Q30" s="1160"/>
      <c r="R30" s="1160"/>
      <c r="S30" s="1176"/>
      <c r="T30" s="1176"/>
      <c r="U30" s="1176"/>
      <c r="V30" s="1163"/>
      <c r="W30" s="1163"/>
      <c r="X30" s="1163"/>
      <c r="Y30" s="1163"/>
      <c r="Z30" s="1163"/>
      <c r="AA30" s="1163"/>
      <c r="AB30" s="1163"/>
      <c r="AC30" s="1163"/>
      <c r="AD30" s="1192"/>
      <c r="AE30" s="1167" t="e">
        <f t="shared" si="25"/>
        <v>#DIV/0!</v>
      </c>
      <c r="AF30" s="1167" t="e">
        <f t="shared" si="32"/>
        <v>#DIV/0!</v>
      </c>
      <c r="AG30" s="1163"/>
      <c r="AH30" s="1163"/>
      <c r="AI30" s="1163"/>
      <c r="AJ30" s="1163"/>
      <c r="AK30" s="1163"/>
      <c r="AL30" s="1163"/>
      <c r="AM30" s="1163"/>
      <c r="AN30" s="1163"/>
      <c r="AO30" s="1163"/>
      <c r="AP30" s="1163"/>
      <c r="AQ30" s="1163"/>
      <c r="AR30" s="1163"/>
      <c r="AS30" s="1163"/>
      <c r="AT30" s="1163"/>
      <c r="AU30" s="1163"/>
      <c r="AV30" s="1163"/>
      <c r="AW30" s="1163"/>
      <c r="AX30" s="1163"/>
      <c r="AY30" s="1163"/>
      <c r="AZ30" s="1163"/>
      <c r="BA30" s="1163"/>
      <c r="BB30" s="1163"/>
      <c r="BC30" s="1163"/>
      <c r="BD30" s="1163"/>
      <c r="BE30" s="1163"/>
      <c r="BF30" s="1163"/>
      <c r="BG30" s="1163"/>
      <c r="BH30" s="1163"/>
      <c r="BI30" s="933"/>
      <c r="BJ30" s="933"/>
      <c r="BK30" s="933"/>
      <c r="BL30" s="933"/>
      <c r="BM30" s="933"/>
      <c r="BN30" s="933"/>
      <c r="BO30" s="933"/>
      <c r="BP30" s="933"/>
      <c r="BQ30" s="933"/>
      <c r="BR30" s="933"/>
      <c r="BS30" s="933"/>
      <c r="BT30" s="933"/>
      <c r="BU30" s="933"/>
      <c r="BV30" s="933"/>
      <c r="BW30" s="933"/>
      <c r="BX30" s="1170" t="e">
        <f t="shared" si="20"/>
        <v>#DIV/0!</v>
      </c>
      <c r="BY30" s="1742" t="e">
        <f t="shared" si="21"/>
        <v>#DIV/0!</v>
      </c>
      <c r="BZ30" s="1163"/>
      <c r="CA30" s="136"/>
      <c r="CB30" s="1239"/>
      <c r="CC30" s="186"/>
    </row>
    <row r="31" spans="1:82" s="185" customFormat="1" ht="45" customHeight="1">
      <c r="A31" s="947"/>
      <c r="B31" s="932" t="s">
        <v>844</v>
      </c>
      <c r="C31" s="947" t="s">
        <v>26</v>
      </c>
      <c r="D31" s="1177">
        <v>96</v>
      </c>
      <c r="E31" s="1178"/>
      <c r="F31" s="1178"/>
      <c r="G31" s="1178"/>
      <c r="H31" s="1178"/>
      <c r="I31" s="1178"/>
      <c r="J31" s="1178"/>
      <c r="K31" s="1178"/>
      <c r="L31" s="1178"/>
      <c r="M31" s="1178"/>
      <c r="N31" s="1178"/>
      <c r="O31" s="1178"/>
      <c r="P31" s="1178"/>
      <c r="Q31" s="1178"/>
      <c r="R31" s="1178"/>
      <c r="S31" s="1179">
        <v>86.8</v>
      </c>
      <c r="T31" s="1179">
        <v>86.8</v>
      </c>
      <c r="U31" s="1179">
        <v>89.8</v>
      </c>
      <c r="V31" s="933"/>
      <c r="W31" s="933"/>
      <c r="X31" s="933"/>
      <c r="Y31" s="933"/>
      <c r="Z31" s="933"/>
      <c r="AA31" s="933">
        <v>90.9</v>
      </c>
      <c r="AB31" s="933">
        <v>93.5</v>
      </c>
      <c r="AC31" s="933">
        <v>91</v>
      </c>
      <c r="AD31" s="928">
        <v>91</v>
      </c>
      <c r="AE31" s="928">
        <v>93.5</v>
      </c>
      <c r="AF31" s="933"/>
      <c r="AG31" s="933"/>
      <c r="AH31" s="933"/>
      <c r="AI31" s="933"/>
      <c r="AJ31" s="933"/>
      <c r="AK31" s="933"/>
      <c r="AL31" s="933"/>
      <c r="AM31" s="933"/>
      <c r="AN31" s="933"/>
      <c r="AO31" s="933"/>
      <c r="AP31" s="933"/>
      <c r="AQ31" s="933"/>
      <c r="AR31" s="933"/>
      <c r="AS31" s="933"/>
      <c r="AT31" s="933">
        <v>96</v>
      </c>
      <c r="AU31" s="933"/>
      <c r="AV31" s="933"/>
      <c r="AW31" s="933"/>
      <c r="AX31" s="933"/>
      <c r="AY31" s="933"/>
      <c r="AZ31" s="933"/>
      <c r="BA31" s="933"/>
      <c r="BB31" s="933"/>
      <c r="BC31" s="933"/>
      <c r="BD31" s="933"/>
      <c r="BE31" s="933"/>
      <c r="BF31" s="933"/>
      <c r="BG31" s="933"/>
      <c r="BH31" s="933"/>
      <c r="BI31" s="933">
        <f>'B4 SXCN'!J35</f>
        <v>96</v>
      </c>
      <c r="BJ31" s="933"/>
      <c r="BK31" s="933"/>
      <c r="BL31" s="933"/>
      <c r="BM31" s="933"/>
      <c r="BN31" s="933"/>
      <c r="BO31" s="933"/>
      <c r="BP31" s="933"/>
      <c r="BQ31" s="933"/>
      <c r="BR31" s="933"/>
      <c r="BS31" s="933"/>
      <c r="BT31" s="933"/>
      <c r="BU31" s="933"/>
      <c r="BV31" s="933"/>
      <c r="BW31" s="933"/>
      <c r="BX31" s="1170">
        <f t="shared" si="20"/>
        <v>105.49450549450549</v>
      </c>
      <c r="BY31" s="1742">
        <f t="shared" si="21"/>
        <v>100</v>
      </c>
      <c r="BZ31" s="933"/>
      <c r="CA31" s="1265"/>
      <c r="CB31" s="716"/>
      <c r="CC31" s="716"/>
      <c r="CD31" s="716"/>
    </row>
    <row r="32" spans="1:82" s="364" customFormat="1" ht="21.75" hidden="1" customHeight="1">
      <c r="A32" s="947"/>
      <c r="B32" s="932" t="s">
        <v>276</v>
      </c>
      <c r="C32" s="947" t="s">
        <v>38</v>
      </c>
      <c r="D32" s="1160"/>
      <c r="E32" s="1160"/>
      <c r="F32" s="1160"/>
      <c r="G32" s="1160"/>
      <c r="H32" s="1160"/>
      <c r="I32" s="1160"/>
      <c r="J32" s="1160"/>
      <c r="K32" s="1160"/>
      <c r="L32" s="1160"/>
      <c r="M32" s="1160"/>
      <c r="N32" s="1160"/>
      <c r="O32" s="1160"/>
      <c r="P32" s="1160"/>
      <c r="Q32" s="1160"/>
      <c r="R32" s="1160"/>
      <c r="S32" s="1163"/>
      <c r="T32" s="1163"/>
      <c r="U32" s="1163"/>
      <c r="V32" s="927"/>
      <c r="W32" s="940"/>
      <c r="X32" s="940"/>
      <c r="Y32" s="940"/>
      <c r="Z32" s="940"/>
      <c r="AA32" s="940"/>
      <c r="AB32" s="940"/>
      <c r="AC32" s="940"/>
      <c r="AD32" s="940"/>
      <c r="AE32" s="940"/>
      <c r="AF32" s="940"/>
      <c r="AG32" s="940"/>
      <c r="AH32" s="940"/>
      <c r="AI32" s="940"/>
      <c r="AJ32" s="940"/>
      <c r="AK32" s="940"/>
      <c r="AL32" s="940"/>
      <c r="AM32" s="940"/>
      <c r="AN32" s="940"/>
      <c r="AO32" s="940"/>
      <c r="AP32" s="940"/>
      <c r="AQ32" s="940"/>
      <c r="AR32" s="940"/>
      <c r="AS32" s="940"/>
      <c r="AT32" s="940"/>
      <c r="AU32" s="940"/>
      <c r="AV32" s="940"/>
      <c r="AW32" s="940"/>
      <c r="AX32" s="940"/>
      <c r="AY32" s="940"/>
      <c r="AZ32" s="940"/>
      <c r="BA32" s="940"/>
      <c r="BB32" s="940"/>
      <c r="BC32" s="940"/>
      <c r="BD32" s="940"/>
      <c r="BE32" s="940"/>
      <c r="BF32" s="940"/>
      <c r="BG32" s="940"/>
      <c r="BH32" s="940"/>
      <c r="BI32" s="940"/>
      <c r="BJ32" s="940"/>
      <c r="BK32" s="940"/>
      <c r="BL32" s="940"/>
      <c r="BM32" s="940"/>
      <c r="BN32" s="940"/>
      <c r="BO32" s="940"/>
      <c r="BP32" s="940"/>
      <c r="BQ32" s="940"/>
      <c r="BR32" s="940"/>
      <c r="BS32" s="940"/>
      <c r="BT32" s="940"/>
      <c r="BU32" s="940"/>
      <c r="BV32" s="940"/>
      <c r="BW32" s="940"/>
      <c r="BX32" s="1170" t="e">
        <f t="shared" si="20"/>
        <v>#DIV/0!</v>
      </c>
      <c r="BY32" s="1742" t="e">
        <f t="shared" si="21"/>
        <v>#DIV/0!</v>
      </c>
      <c r="BZ32" s="940"/>
      <c r="CA32" s="136"/>
      <c r="CB32" s="484"/>
      <c r="CC32" s="432"/>
      <c r="CD32" s="185"/>
    </row>
    <row r="33" spans="1:82" s="1261" customFormat="1" ht="19.5" hidden="1" customHeight="1">
      <c r="A33" s="951"/>
      <c r="B33" s="943" t="s">
        <v>277</v>
      </c>
      <c r="C33" s="951" t="s">
        <v>26</v>
      </c>
      <c r="D33" s="1160"/>
      <c r="E33" s="1160"/>
      <c r="F33" s="1160"/>
      <c r="G33" s="1160"/>
      <c r="H33" s="1160"/>
      <c r="I33" s="1160"/>
      <c r="J33" s="1160"/>
      <c r="K33" s="1160"/>
      <c r="L33" s="1160"/>
      <c r="M33" s="1160"/>
      <c r="N33" s="1160"/>
      <c r="O33" s="1160"/>
      <c r="P33" s="1160"/>
      <c r="Q33" s="1160"/>
      <c r="R33" s="1160"/>
      <c r="S33" s="1163"/>
      <c r="T33" s="1163"/>
      <c r="U33" s="1163"/>
      <c r="V33" s="946"/>
      <c r="W33" s="946"/>
      <c r="X33" s="946"/>
      <c r="Y33" s="946"/>
      <c r="Z33" s="946"/>
      <c r="AA33" s="946"/>
      <c r="AB33" s="946"/>
      <c r="AC33" s="946"/>
      <c r="AD33" s="946"/>
      <c r="AE33" s="946"/>
      <c r="AF33" s="946"/>
      <c r="AG33" s="946"/>
      <c r="AH33" s="946"/>
      <c r="AI33" s="946"/>
      <c r="AJ33" s="946"/>
      <c r="AK33" s="946"/>
      <c r="AL33" s="946"/>
      <c r="AM33" s="946"/>
      <c r="AN33" s="946"/>
      <c r="AO33" s="946"/>
      <c r="AP33" s="946"/>
      <c r="AQ33" s="946"/>
      <c r="AR33" s="946"/>
      <c r="AS33" s="946"/>
      <c r="AT33" s="946"/>
      <c r="AU33" s="946"/>
      <c r="AV33" s="946"/>
      <c r="AW33" s="946"/>
      <c r="AX33" s="946"/>
      <c r="AY33" s="946"/>
      <c r="AZ33" s="946"/>
      <c r="BA33" s="946"/>
      <c r="BB33" s="946"/>
      <c r="BC33" s="946"/>
      <c r="BD33" s="946"/>
      <c r="BE33" s="946"/>
      <c r="BF33" s="946"/>
      <c r="BG33" s="946"/>
      <c r="BH33" s="946"/>
      <c r="BI33" s="1753"/>
      <c r="BJ33" s="1753"/>
      <c r="BK33" s="1753"/>
      <c r="BL33" s="1753"/>
      <c r="BM33" s="1753"/>
      <c r="BN33" s="1753"/>
      <c r="BO33" s="1753"/>
      <c r="BP33" s="1753"/>
      <c r="BQ33" s="1753"/>
      <c r="BR33" s="1753"/>
      <c r="BS33" s="1753"/>
      <c r="BT33" s="1753"/>
      <c r="BU33" s="1753"/>
      <c r="BV33" s="1753"/>
      <c r="BW33" s="1753"/>
      <c r="BX33" s="1170" t="e">
        <f t="shared" si="20"/>
        <v>#DIV/0!</v>
      </c>
      <c r="BY33" s="1742" t="e">
        <f t="shared" si="21"/>
        <v>#DIV/0!</v>
      </c>
      <c r="BZ33" s="946"/>
      <c r="CA33" s="1241"/>
      <c r="CB33" s="1266"/>
      <c r="CC33" s="1260"/>
      <c r="CD33" s="185"/>
    </row>
    <row r="34" spans="1:82" s="1269" customFormat="1" ht="19.5" hidden="1" customHeight="1">
      <c r="A34" s="947"/>
      <c r="B34" s="955" t="s">
        <v>278</v>
      </c>
      <c r="C34" s="1169" t="s">
        <v>279</v>
      </c>
      <c r="D34" s="1160"/>
      <c r="E34" s="1160"/>
      <c r="F34" s="1160"/>
      <c r="G34" s="1160"/>
      <c r="H34" s="1160"/>
      <c r="I34" s="1160"/>
      <c r="J34" s="1160"/>
      <c r="K34" s="1160"/>
      <c r="L34" s="1160"/>
      <c r="M34" s="1160"/>
      <c r="N34" s="1160"/>
      <c r="O34" s="1160"/>
      <c r="P34" s="1160"/>
      <c r="Q34" s="1160"/>
      <c r="R34" s="1160"/>
      <c r="S34" s="1163"/>
      <c r="T34" s="1163"/>
      <c r="U34" s="1163"/>
      <c r="V34" s="958"/>
      <c r="W34" s="958"/>
      <c r="X34" s="958"/>
      <c r="Y34" s="958"/>
      <c r="Z34" s="958"/>
      <c r="AA34" s="958"/>
      <c r="AB34" s="958"/>
      <c r="AC34" s="958"/>
      <c r="AD34" s="958"/>
      <c r="AE34" s="958"/>
      <c r="AF34" s="958"/>
      <c r="AG34" s="958"/>
      <c r="AH34" s="958"/>
      <c r="AI34" s="958"/>
      <c r="AJ34" s="958"/>
      <c r="AK34" s="958"/>
      <c r="AL34" s="958"/>
      <c r="AM34" s="958"/>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1754"/>
      <c r="BJ34" s="1754"/>
      <c r="BK34" s="1754"/>
      <c r="BL34" s="1754"/>
      <c r="BM34" s="1754"/>
      <c r="BN34" s="1754"/>
      <c r="BO34" s="1754"/>
      <c r="BP34" s="1754"/>
      <c r="BQ34" s="1754"/>
      <c r="BR34" s="1754"/>
      <c r="BS34" s="1754"/>
      <c r="BT34" s="1754"/>
      <c r="BU34" s="1754"/>
      <c r="BV34" s="1754"/>
      <c r="BW34" s="1754"/>
      <c r="BX34" s="1170" t="e">
        <f t="shared" si="20"/>
        <v>#DIV/0!</v>
      </c>
      <c r="BY34" s="1742" t="e">
        <f t="shared" si="21"/>
        <v>#DIV/0!</v>
      </c>
      <c r="BZ34" s="958"/>
      <c r="CA34" s="136"/>
      <c r="CB34" s="1267"/>
      <c r="CC34" s="1268"/>
      <c r="CD34" s="185"/>
    </row>
    <row r="35" spans="1:82" s="185" customFormat="1" ht="19.5" hidden="1" customHeight="1">
      <c r="A35" s="947"/>
      <c r="B35" s="932" t="s">
        <v>280</v>
      </c>
      <c r="C35" s="1180" t="s">
        <v>26</v>
      </c>
      <c r="D35" s="1160"/>
      <c r="E35" s="1160"/>
      <c r="F35" s="1160"/>
      <c r="G35" s="1160"/>
      <c r="H35" s="1160"/>
      <c r="I35" s="1160"/>
      <c r="J35" s="1160"/>
      <c r="K35" s="1160"/>
      <c r="L35" s="1160"/>
      <c r="M35" s="1160"/>
      <c r="N35" s="1160"/>
      <c r="O35" s="1160"/>
      <c r="P35" s="1160"/>
      <c r="Q35" s="1160"/>
      <c r="R35" s="1160"/>
      <c r="S35" s="1163"/>
      <c r="T35" s="1163"/>
      <c r="U35" s="1163"/>
      <c r="V35" s="1181"/>
      <c r="W35" s="1181"/>
      <c r="X35" s="1181"/>
      <c r="Y35" s="1181"/>
      <c r="Z35" s="1181"/>
      <c r="AA35" s="1181"/>
      <c r="AB35" s="1181"/>
      <c r="AC35" s="1181"/>
      <c r="AD35" s="1181"/>
      <c r="AE35" s="1181"/>
      <c r="AF35" s="1181"/>
      <c r="AG35" s="1181"/>
      <c r="AH35" s="1181"/>
      <c r="AI35" s="1181"/>
      <c r="AJ35" s="1181"/>
      <c r="AK35" s="1181"/>
      <c r="AL35" s="1181"/>
      <c r="AM35" s="1181"/>
      <c r="AN35" s="1181"/>
      <c r="AO35" s="1181"/>
      <c r="AP35" s="1181"/>
      <c r="AQ35" s="1181"/>
      <c r="AR35" s="1181"/>
      <c r="AS35" s="1181"/>
      <c r="AT35" s="1181"/>
      <c r="AU35" s="1181"/>
      <c r="AV35" s="1181"/>
      <c r="AW35" s="1181"/>
      <c r="AX35" s="1181"/>
      <c r="AY35" s="1181"/>
      <c r="AZ35" s="1181"/>
      <c r="BA35" s="1181"/>
      <c r="BB35" s="1181"/>
      <c r="BC35" s="1181"/>
      <c r="BD35" s="1181"/>
      <c r="BE35" s="1181"/>
      <c r="BF35" s="1181"/>
      <c r="BG35" s="1181"/>
      <c r="BH35" s="1181"/>
      <c r="BI35" s="1181"/>
      <c r="BJ35" s="1181"/>
      <c r="BK35" s="1181"/>
      <c r="BL35" s="1181"/>
      <c r="BM35" s="1181"/>
      <c r="BN35" s="1181"/>
      <c r="BO35" s="1181"/>
      <c r="BP35" s="1181"/>
      <c r="BQ35" s="1181"/>
      <c r="BR35" s="1181"/>
      <c r="BS35" s="1181"/>
      <c r="BT35" s="1181"/>
      <c r="BU35" s="1181"/>
      <c r="BV35" s="1181"/>
      <c r="BW35" s="1181"/>
      <c r="BX35" s="1170" t="e">
        <f t="shared" si="20"/>
        <v>#DIV/0!</v>
      </c>
      <c r="BY35" s="1742" t="e">
        <f t="shared" si="21"/>
        <v>#DIV/0!</v>
      </c>
      <c r="BZ35" s="1181"/>
      <c r="CA35" s="136"/>
      <c r="CB35" s="1239"/>
      <c r="CC35" s="186"/>
    </row>
    <row r="36" spans="1:82" s="185" customFormat="1" ht="19.5" hidden="1" customHeight="1">
      <c r="A36" s="947"/>
      <c r="B36" s="943" t="s">
        <v>281</v>
      </c>
      <c r="C36" s="1180"/>
      <c r="D36" s="1160"/>
      <c r="E36" s="1160"/>
      <c r="F36" s="1160"/>
      <c r="G36" s="1160"/>
      <c r="H36" s="1160"/>
      <c r="I36" s="1160"/>
      <c r="J36" s="1160"/>
      <c r="K36" s="1160"/>
      <c r="L36" s="1160"/>
      <c r="M36" s="1160"/>
      <c r="N36" s="1160"/>
      <c r="O36" s="1160"/>
      <c r="P36" s="1160"/>
      <c r="Q36" s="1160"/>
      <c r="R36" s="1160"/>
      <c r="S36" s="1163"/>
      <c r="T36" s="1163"/>
      <c r="U36" s="1163"/>
      <c r="V36" s="1182"/>
      <c r="W36" s="1182"/>
      <c r="X36" s="1182"/>
      <c r="Y36" s="1182"/>
      <c r="Z36" s="1182"/>
      <c r="AA36" s="1182"/>
      <c r="AB36" s="1182"/>
      <c r="AC36" s="1182"/>
      <c r="AD36" s="1182"/>
      <c r="AE36" s="1182"/>
      <c r="AF36" s="1182"/>
      <c r="AG36" s="1182"/>
      <c r="AH36" s="1182"/>
      <c r="AI36" s="1182"/>
      <c r="AJ36" s="1182"/>
      <c r="AK36" s="1182"/>
      <c r="AL36" s="1182"/>
      <c r="AM36" s="1182"/>
      <c r="AN36" s="1182"/>
      <c r="AO36" s="1182"/>
      <c r="AP36" s="1182"/>
      <c r="AQ36" s="1182"/>
      <c r="AR36" s="1182"/>
      <c r="AS36" s="1182"/>
      <c r="AT36" s="1182"/>
      <c r="AU36" s="1182"/>
      <c r="AV36" s="1182"/>
      <c r="AW36" s="1182"/>
      <c r="AX36" s="1182"/>
      <c r="AY36" s="1182"/>
      <c r="AZ36" s="1182"/>
      <c r="BA36" s="1182"/>
      <c r="BB36" s="1182"/>
      <c r="BC36" s="1182"/>
      <c r="BD36" s="1182"/>
      <c r="BE36" s="1182"/>
      <c r="BF36" s="1182"/>
      <c r="BG36" s="1182"/>
      <c r="BH36" s="1182"/>
      <c r="BI36" s="1182"/>
      <c r="BJ36" s="1182"/>
      <c r="BK36" s="1182"/>
      <c r="BL36" s="1182"/>
      <c r="BM36" s="1182"/>
      <c r="BN36" s="1182"/>
      <c r="BO36" s="1182"/>
      <c r="BP36" s="1182"/>
      <c r="BQ36" s="1182"/>
      <c r="BR36" s="1182"/>
      <c r="BS36" s="1182"/>
      <c r="BT36" s="1182"/>
      <c r="BU36" s="1182"/>
      <c r="BV36" s="1182"/>
      <c r="BW36" s="1182"/>
      <c r="BX36" s="1170" t="e">
        <f t="shared" si="20"/>
        <v>#DIV/0!</v>
      </c>
      <c r="BY36" s="1742" t="e">
        <f t="shared" si="21"/>
        <v>#DIV/0!</v>
      </c>
      <c r="BZ36" s="1182"/>
      <c r="CA36" s="136"/>
      <c r="CB36" s="1239"/>
      <c r="CC36" s="186"/>
    </row>
    <row r="37" spans="1:82" s="185" customFormat="1" ht="19.5" hidden="1" customHeight="1">
      <c r="A37" s="947"/>
      <c r="B37" s="932" t="s">
        <v>282</v>
      </c>
      <c r="C37" s="1180" t="s">
        <v>26</v>
      </c>
      <c r="D37" s="1160"/>
      <c r="E37" s="1160"/>
      <c r="F37" s="1160"/>
      <c r="G37" s="1160"/>
      <c r="H37" s="1160"/>
      <c r="I37" s="1160"/>
      <c r="J37" s="1160"/>
      <c r="K37" s="1160"/>
      <c r="L37" s="1160"/>
      <c r="M37" s="1160"/>
      <c r="N37" s="1160"/>
      <c r="O37" s="1160"/>
      <c r="P37" s="1160"/>
      <c r="Q37" s="1160"/>
      <c r="R37" s="1160"/>
      <c r="S37" s="1163"/>
      <c r="T37" s="1163"/>
      <c r="U37" s="1163"/>
      <c r="V37" s="1183"/>
      <c r="W37" s="939"/>
      <c r="X37" s="939"/>
      <c r="Y37" s="939"/>
      <c r="Z37" s="939"/>
      <c r="AA37" s="1184"/>
      <c r="AB37" s="1184"/>
      <c r="AC37" s="1184"/>
      <c r="AD37" s="1184"/>
      <c r="AE37" s="1184"/>
      <c r="AF37" s="1184"/>
      <c r="AG37" s="1184"/>
      <c r="AH37" s="1184"/>
      <c r="AI37" s="1184"/>
      <c r="AJ37" s="1184"/>
      <c r="AK37" s="1184"/>
      <c r="AL37" s="1184"/>
      <c r="AM37" s="1184"/>
      <c r="AN37" s="1184"/>
      <c r="AO37" s="1184"/>
      <c r="AP37" s="1184"/>
      <c r="AQ37" s="1184"/>
      <c r="AR37" s="1184"/>
      <c r="AS37" s="1184"/>
      <c r="AT37" s="1184"/>
      <c r="AU37" s="1184"/>
      <c r="AV37" s="1184"/>
      <c r="AW37" s="1184"/>
      <c r="AX37" s="1184"/>
      <c r="AY37" s="1184"/>
      <c r="AZ37" s="1184"/>
      <c r="BA37" s="1184"/>
      <c r="BB37" s="1184"/>
      <c r="BC37" s="1184"/>
      <c r="BD37" s="1184"/>
      <c r="BE37" s="1184"/>
      <c r="BF37" s="1184"/>
      <c r="BG37" s="1184"/>
      <c r="BH37" s="1184"/>
      <c r="BI37" s="1184"/>
      <c r="BJ37" s="1184"/>
      <c r="BK37" s="1184"/>
      <c r="BL37" s="1184"/>
      <c r="BM37" s="1184"/>
      <c r="BN37" s="1184"/>
      <c r="BO37" s="1184"/>
      <c r="BP37" s="1184"/>
      <c r="BQ37" s="1184"/>
      <c r="BR37" s="1184"/>
      <c r="BS37" s="1184"/>
      <c r="BT37" s="1184"/>
      <c r="BU37" s="1184"/>
      <c r="BV37" s="1184"/>
      <c r="BW37" s="1184"/>
      <c r="BX37" s="1170" t="e">
        <f t="shared" si="20"/>
        <v>#DIV/0!</v>
      </c>
      <c r="BY37" s="1742" t="e">
        <f t="shared" si="21"/>
        <v>#DIV/0!</v>
      </c>
      <c r="BZ37" s="1184"/>
      <c r="CA37" s="136"/>
      <c r="CB37" s="1239"/>
      <c r="CC37" s="186"/>
    </row>
    <row r="38" spans="1:82" s="185" customFormat="1" ht="19.5" hidden="1" customHeight="1">
      <c r="A38" s="947"/>
      <c r="B38" s="932" t="s">
        <v>283</v>
      </c>
      <c r="C38" s="1180" t="s">
        <v>26</v>
      </c>
      <c r="D38" s="1160"/>
      <c r="E38" s="1160"/>
      <c r="F38" s="1160"/>
      <c r="G38" s="1160"/>
      <c r="H38" s="1160"/>
      <c r="I38" s="1160"/>
      <c r="J38" s="1160"/>
      <c r="K38" s="1160"/>
      <c r="L38" s="1160"/>
      <c r="M38" s="1160"/>
      <c r="N38" s="1160"/>
      <c r="O38" s="1160"/>
      <c r="P38" s="1160"/>
      <c r="Q38" s="1160"/>
      <c r="R38" s="1160"/>
      <c r="S38" s="1163"/>
      <c r="T38" s="1163"/>
      <c r="U38" s="1163"/>
      <c r="V38" s="1185"/>
      <c r="W38" s="1185"/>
      <c r="X38" s="1185"/>
      <c r="Y38" s="1185"/>
      <c r="Z38" s="1185"/>
      <c r="AA38" s="1185"/>
      <c r="AB38" s="1185"/>
      <c r="AC38" s="1185"/>
      <c r="AD38" s="1185"/>
      <c r="AE38" s="1185"/>
      <c r="AF38" s="1185"/>
      <c r="AG38" s="1185"/>
      <c r="AH38" s="1185"/>
      <c r="AI38" s="1185"/>
      <c r="AJ38" s="1185"/>
      <c r="AK38" s="1185"/>
      <c r="AL38" s="1185"/>
      <c r="AM38" s="1185"/>
      <c r="AN38" s="1185"/>
      <c r="AO38" s="1185"/>
      <c r="AP38" s="1185"/>
      <c r="AQ38" s="1185"/>
      <c r="AR38" s="1185"/>
      <c r="AS38" s="1185"/>
      <c r="AT38" s="1185"/>
      <c r="AU38" s="1185"/>
      <c r="AV38" s="1185"/>
      <c r="AW38" s="1185"/>
      <c r="AX38" s="1185"/>
      <c r="AY38" s="1185"/>
      <c r="AZ38" s="1185"/>
      <c r="BA38" s="1185"/>
      <c r="BB38" s="1185"/>
      <c r="BC38" s="1185"/>
      <c r="BD38" s="1185"/>
      <c r="BE38" s="1185"/>
      <c r="BF38" s="1185"/>
      <c r="BG38" s="1185"/>
      <c r="BH38" s="1185"/>
      <c r="BI38" s="1185"/>
      <c r="BJ38" s="1185"/>
      <c r="BK38" s="1185"/>
      <c r="BL38" s="1185"/>
      <c r="BM38" s="1185"/>
      <c r="BN38" s="1185"/>
      <c r="BO38" s="1185"/>
      <c r="BP38" s="1185"/>
      <c r="BQ38" s="1185"/>
      <c r="BR38" s="1185"/>
      <c r="BS38" s="1185"/>
      <c r="BT38" s="1185"/>
      <c r="BU38" s="1185"/>
      <c r="BV38" s="1185"/>
      <c r="BW38" s="1185"/>
      <c r="BX38" s="1170" t="e">
        <f t="shared" si="20"/>
        <v>#DIV/0!</v>
      </c>
      <c r="BY38" s="1742" t="e">
        <f t="shared" si="21"/>
        <v>#DIV/0!</v>
      </c>
      <c r="BZ38" s="1185"/>
      <c r="CA38" s="136"/>
      <c r="CB38" s="1239"/>
      <c r="CC38" s="186"/>
    </row>
    <row r="39" spans="1:82" s="374" customFormat="1" ht="21.95" customHeight="1">
      <c r="A39" s="1791" t="s">
        <v>118</v>
      </c>
      <c r="B39" s="925" t="s">
        <v>860</v>
      </c>
      <c r="C39" s="954"/>
      <c r="D39" s="1160"/>
      <c r="E39" s="1160"/>
      <c r="F39" s="1160"/>
      <c r="G39" s="1160"/>
      <c r="H39" s="1160"/>
      <c r="I39" s="1160"/>
      <c r="J39" s="1160"/>
      <c r="K39" s="1160"/>
      <c r="L39" s="1160"/>
      <c r="M39" s="1160"/>
      <c r="N39" s="1160"/>
      <c r="O39" s="1160"/>
      <c r="P39" s="1160"/>
      <c r="Q39" s="1160"/>
      <c r="R39" s="1160"/>
      <c r="S39" s="1163"/>
      <c r="T39" s="1163"/>
      <c r="U39" s="1163"/>
      <c r="V39" s="940"/>
      <c r="W39" s="940"/>
      <c r="X39" s="940"/>
      <c r="Y39" s="940"/>
      <c r="Z39" s="940"/>
      <c r="AA39" s="940"/>
      <c r="AB39" s="940"/>
      <c r="AC39" s="940"/>
      <c r="AD39" s="940"/>
      <c r="AE39" s="940"/>
      <c r="AF39" s="940"/>
      <c r="AG39" s="940"/>
      <c r="AH39" s="940"/>
      <c r="AI39" s="940"/>
      <c r="AJ39" s="940"/>
      <c r="AK39" s="940"/>
      <c r="AL39" s="940"/>
      <c r="AM39" s="940"/>
      <c r="AN39" s="940"/>
      <c r="AO39" s="940"/>
      <c r="AP39" s="940"/>
      <c r="AQ39" s="940"/>
      <c r="AR39" s="940"/>
      <c r="AS39" s="940"/>
      <c r="AT39" s="940"/>
      <c r="AU39" s="940"/>
      <c r="AV39" s="940"/>
      <c r="AW39" s="940"/>
      <c r="AX39" s="940"/>
      <c r="AY39" s="940"/>
      <c r="AZ39" s="940"/>
      <c r="BA39" s="940"/>
      <c r="BB39" s="940"/>
      <c r="BC39" s="940"/>
      <c r="BD39" s="940"/>
      <c r="BE39" s="940"/>
      <c r="BF39" s="940"/>
      <c r="BG39" s="940"/>
      <c r="BH39" s="940"/>
      <c r="BI39" s="940"/>
      <c r="BJ39" s="940"/>
      <c r="BK39" s="940"/>
      <c r="BL39" s="940"/>
      <c r="BM39" s="940"/>
      <c r="BN39" s="940"/>
      <c r="BO39" s="940"/>
      <c r="BP39" s="940"/>
      <c r="BQ39" s="940"/>
      <c r="BR39" s="940"/>
      <c r="BS39" s="940"/>
      <c r="BT39" s="940"/>
      <c r="BU39" s="940"/>
      <c r="BV39" s="940"/>
      <c r="BW39" s="940"/>
      <c r="BX39" s="1170"/>
      <c r="BY39" s="1742"/>
      <c r="BZ39" s="940"/>
      <c r="CA39" s="1244"/>
      <c r="CB39" s="1245"/>
      <c r="CC39" s="1246"/>
      <c r="CD39" s="185"/>
    </row>
    <row r="40" spans="1:82" s="394" customFormat="1" ht="35.1" customHeight="1">
      <c r="A40" s="640">
        <v>1</v>
      </c>
      <c r="B40" s="1186" t="s">
        <v>284</v>
      </c>
      <c r="C40" s="640" t="s">
        <v>49</v>
      </c>
      <c r="D40" s="1144">
        <v>2850</v>
      </c>
      <c r="E40" s="1187"/>
      <c r="F40" s="1187"/>
      <c r="G40" s="1187"/>
      <c r="H40" s="1187"/>
      <c r="I40" s="1187"/>
      <c r="J40" s="1187"/>
      <c r="K40" s="1187"/>
      <c r="L40" s="1187"/>
      <c r="M40" s="1187"/>
      <c r="N40" s="1187"/>
      <c r="O40" s="1187"/>
      <c r="P40" s="1187"/>
      <c r="Q40" s="1187"/>
      <c r="R40" s="1187"/>
      <c r="S40" s="1187">
        <v>2660</v>
      </c>
      <c r="T40" s="927">
        <v>2673</v>
      </c>
      <c r="U40" s="1144">
        <v>2850</v>
      </c>
      <c r="V40" s="1188"/>
      <c r="W40" s="1188"/>
      <c r="X40" s="1188"/>
      <c r="Y40" s="1188"/>
      <c r="Z40" s="1188"/>
      <c r="AA40" s="1189">
        <v>2805</v>
      </c>
      <c r="AB40" s="1189">
        <v>2945.25</v>
      </c>
      <c r="AC40" s="1189">
        <v>2752</v>
      </c>
      <c r="AD40" s="1189">
        <v>2777</v>
      </c>
      <c r="AE40" s="1189">
        <f>SUM(AF40:AS40)</f>
        <v>2705</v>
      </c>
      <c r="AF40" s="1189">
        <v>935</v>
      </c>
      <c r="AG40" s="1189">
        <v>144</v>
      </c>
      <c r="AH40" s="1189">
        <v>112</v>
      </c>
      <c r="AI40" s="1189">
        <v>91</v>
      </c>
      <c r="AJ40" s="1189">
        <v>154</v>
      </c>
      <c r="AK40" s="1189">
        <v>91</v>
      </c>
      <c r="AL40" s="1189">
        <v>197</v>
      </c>
      <c r="AM40" s="1189">
        <v>158</v>
      </c>
      <c r="AN40" s="1189">
        <v>140</v>
      </c>
      <c r="AO40" s="1189">
        <v>101</v>
      </c>
      <c r="AP40" s="1189">
        <v>159</v>
      </c>
      <c r="AQ40" s="1189">
        <v>106</v>
      </c>
      <c r="AR40" s="1189">
        <v>118</v>
      </c>
      <c r="AS40" s="1189">
        <v>199</v>
      </c>
      <c r="AT40" s="1189">
        <f>SUM(AU40:BH40)</f>
        <v>2722</v>
      </c>
      <c r="AU40" s="1189">
        <v>952</v>
      </c>
      <c r="AV40" s="1189">
        <v>144</v>
      </c>
      <c r="AW40" s="1189">
        <v>112</v>
      </c>
      <c r="AX40" s="1189">
        <v>91</v>
      </c>
      <c r="AY40" s="1189">
        <v>154</v>
      </c>
      <c r="AZ40" s="1189">
        <v>91</v>
      </c>
      <c r="BA40" s="1189">
        <v>197</v>
      </c>
      <c r="BB40" s="1189">
        <v>158</v>
      </c>
      <c r="BC40" s="1189">
        <v>140</v>
      </c>
      <c r="BD40" s="1189">
        <v>101</v>
      </c>
      <c r="BE40" s="1189">
        <v>159</v>
      </c>
      <c r="BF40" s="1189">
        <v>106</v>
      </c>
      <c r="BG40" s="1189">
        <v>118</v>
      </c>
      <c r="BH40" s="1189">
        <v>199</v>
      </c>
      <c r="BI40" s="1189">
        <f>BJ40+BK40+BL40+BM40+BN40+BO40+BP40+BQ40+BR40+BS40+BT40+BU40+BV40+BW40</f>
        <v>2787</v>
      </c>
      <c r="BJ40" s="1189">
        <v>1017</v>
      </c>
      <c r="BK40" s="1189">
        <v>144</v>
      </c>
      <c r="BL40" s="1189">
        <v>112</v>
      </c>
      <c r="BM40" s="1189">
        <v>91</v>
      </c>
      <c r="BN40" s="1189">
        <v>154</v>
      </c>
      <c r="BO40" s="1189">
        <v>91</v>
      </c>
      <c r="BP40" s="1189">
        <v>197</v>
      </c>
      <c r="BQ40" s="1189">
        <v>158</v>
      </c>
      <c r="BR40" s="1189">
        <v>140</v>
      </c>
      <c r="BS40" s="1189">
        <v>101</v>
      </c>
      <c r="BT40" s="1189">
        <v>159</v>
      </c>
      <c r="BU40" s="1189">
        <v>106</v>
      </c>
      <c r="BV40" s="1189">
        <v>118</v>
      </c>
      <c r="BW40" s="1189">
        <v>199</v>
      </c>
      <c r="BX40" s="1170">
        <f t="shared" si="20"/>
        <v>101.27180232558139</v>
      </c>
      <c r="BY40" s="1742">
        <f t="shared" si="21"/>
        <v>102.38795003673769</v>
      </c>
      <c r="BZ40" s="1189"/>
      <c r="CA40" s="1270">
        <v>2722</v>
      </c>
      <c r="CB40" s="368">
        <f>AT40-CA40</f>
        <v>0</v>
      </c>
      <c r="CC40" s="691"/>
      <c r="CD40" s="184"/>
    </row>
    <row r="41" spans="1:82" s="394" customFormat="1" ht="35.1" customHeight="1">
      <c r="A41" s="640">
        <v>2</v>
      </c>
      <c r="B41" s="1186" t="s">
        <v>632</v>
      </c>
      <c r="C41" s="640" t="s">
        <v>49</v>
      </c>
      <c r="D41" s="1144">
        <v>1100</v>
      </c>
      <c r="E41" s="1187"/>
      <c r="F41" s="1187"/>
      <c r="G41" s="1187"/>
      <c r="H41" s="1187"/>
      <c r="I41" s="1187"/>
      <c r="J41" s="1187"/>
      <c r="K41" s="1187"/>
      <c r="L41" s="1187"/>
      <c r="M41" s="1187"/>
      <c r="N41" s="1187"/>
      <c r="O41" s="1187"/>
      <c r="P41" s="1187"/>
      <c r="Q41" s="1187"/>
      <c r="R41" s="1187"/>
      <c r="S41" s="1187">
        <v>700</v>
      </c>
      <c r="T41" s="927">
        <v>712</v>
      </c>
      <c r="U41" s="1144">
        <f>SUM(V41:Z41)</f>
        <v>820</v>
      </c>
      <c r="V41" s="1188">
        <v>650</v>
      </c>
      <c r="W41" s="1188">
        <v>50</v>
      </c>
      <c r="X41" s="1188">
        <v>40</v>
      </c>
      <c r="Y41" s="1188">
        <v>30</v>
      </c>
      <c r="Z41" s="1188">
        <v>50</v>
      </c>
      <c r="AA41" s="1189">
        <v>925</v>
      </c>
      <c r="AB41" s="1189">
        <v>971.25</v>
      </c>
      <c r="AC41" s="1189">
        <v>765</v>
      </c>
      <c r="AD41" s="1189">
        <v>622</v>
      </c>
      <c r="AE41" s="1189">
        <f>SUM(AF41:AS41)</f>
        <v>569</v>
      </c>
      <c r="AF41" s="1189">
        <v>367</v>
      </c>
      <c r="AG41" s="1189">
        <v>40</v>
      </c>
      <c r="AH41" s="1189">
        <v>9</v>
      </c>
      <c r="AI41" s="1189">
        <v>11</v>
      </c>
      <c r="AJ41" s="1189">
        <v>30</v>
      </c>
      <c r="AK41" s="1189">
        <v>18</v>
      </c>
      <c r="AL41" s="1189">
        <v>8</v>
      </c>
      <c r="AM41" s="1189">
        <v>12</v>
      </c>
      <c r="AN41" s="1189">
        <v>25</v>
      </c>
      <c r="AO41" s="1189"/>
      <c r="AP41" s="1189">
        <v>22</v>
      </c>
      <c r="AQ41" s="1189">
        <v>3</v>
      </c>
      <c r="AR41" s="1189">
        <v>14</v>
      </c>
      <c r="AS41" s="1189">
        <v>10</v>
      </c>
      <c r="AT41" s="1189">
        <f>SUM(AU41:BH41)</f>
        <v>803</v>
      </c>
      <c r="AU41" s="1189">
        <v>378</v>
      </c>
      <c r="AV41" s="1189">
        <v>45</v>
      </c>
      <c r="AW41" s="1189">
        <v>35</v>
      </c>
      <c r="AX41" s="1189">
        <v>30</v>
      </c>
      <c r="AY41" s="1189">
        <v>45</v>
      </c>
      <c r="AZ41" s="1189">
        <v>30</v>
      </c>
      <c r="BA41" s="1189">
        <v>30</v>
      </c>
      <c r="BB41" s="1189">
        <v>30</v>
      </c>
      <c r="BC41" s="1189">
        <v>30</v>
      </c>
      <c r="BD41" s="1189">
        <v>30</v>
      </c>
      <c r="BE41" s="1189">
        <v>30</v>
      </c>
      <c r="BF41" s="1189">
        <v>30</v>
      </c>
      <c r="BG41" s="1189">
        <v>30</v>
      </c>
      <c r="BH41" s="1189">
        <v>30</v>
      </c>
      <c r="BI41" s="1189">
        <f t="shared" ref="BI41:BI43" si="33">BJ41+BK41+BL41+BM41+BN41+BO41+BP41+BQ41+BR41+BS41+BT41+BU41+BV41+BW41</f>
        <v>603</v>
      </c>
      <c r="BJ41" s="1189">
        <v>483</v>
      </c>
      <c r="BK41" s="1189">
        <v>25</v>
      </c>
      <c r="BL41" s="1189">
        <v>5</v>
      </c>
      <c r="BM41" s="1189">
        <v>10</v>
      </c>
      <c r="BN41" s="1189">
        <v>10</v>
      </c>
      <c r="BO41" s="1189">
        <v>5</v>
      </c>
      <c r="BP41" s="1189">
        <v>5</v>
      </c>
      <c r="BQ41" s="1189">
        <v>15</v>
      </c>
      <c r="BR41" s="1189">
        <v>10</v>
      </c>
      <c r="BS41" s="1189">
        <v>5</v>
      </c>
      <c r="BT41" s="1189">
        <v>10</v>
      </c>
      <c r="BU41" s="1189">
        <v>5</v>
      </c>
      <c r="BV41" s="1189">
        <v>10</v>
      </c>
      <c r="BW41" s="1189">
        <v>5</v>
      </c>
      <c r="BX41" s="1170">
        <f t="shared" si="20"/>
        <v>78.823529411764696</v>
      </c>
      <c r="BY41" s="1742">
        <f t="shared" si="21"/>
        <v>75.093399750933997</v>
      </c>
      <c r="BZ41" s="1189"/>
      <c r="CA41" s="1270">
        <v>803</v>
      </c>
      <c r="CB41" s="368">
        <f>AT41-CA41</f>
        <v>0</v>
      </c>
      <c r="CC41" s="691"/>
      <c r="CD41" s="184"/>
    </row>
    <row r="42" spans="1:82" s="394" customFormat="1" ht="35.1" customHeight="1">
      <c r="A42" s="640">
        <v>3</v>
      </c>
      <c r="B42" s="1186" t="s">
        <v>285</v>
      </c>
      <c r="C42" s="640" t="s">
        <v>49</v>
      </c>
      <c r="D42" s="1144">
        <v>2300</v>
      </c>
      <c r="E42" s="1187"/>
      <c r="F42" s="1187"/>
      <c r="G42" s="1187"/>
      <c r="H42" s="1187"/>
      <c r="I42" s="1187"/>
      <c r="J42" s="1187"/>
      <c r="K42" s="1187"/>
      <c r="L42" s="1187"/>
      <c r="M42" s="1187"/>
      <c r="N42" s="1187"/>
      <c r="O42" s="1187"/>
      <c r="P42" s="1187"/>
      <c r="Q42" s="1187"/>
      <c r="R42" s="1187"/>
      <c r="S42" s="1187">
        <v>2069</v>
      </c>
      <c r="T42" s="927">
        <v>2078</v>
      </c>
      <c r="U42" s="1144">
        <v>2300</v>
      </c>
      <c r="V42" s="1188"/>
      <c r="W42" s="1188"/>
      <c r="X42" s="1188"/>
      <c r="Y42" s="1188"/>
      <c r="Z42" s="1188"/>
      <c r="AA42" s="1189">
        <v>2042</v>
      </c>
      <c r="AB42" s="1189">
        <v>2144.1</v>
      </c>
      <c r="AC42" s="1189">
        <v>1936</v>
      </c>
      <c r="AD42" s="1189">
        <v>2173</v>
      </c>
      <c r="AE42" s="1189">
        <f>SUM(AF42:AS42)</f>
        <v>2062</v>
      </c>
      <c r="AF42" s="1189">
        <v>565</v>
      </c>
      <c r="AG42" s="1189">
        <v>123</v>
      </c>
      <c r="AH42" s="1189">
        <v>91</v>
      </c>
      <c r="AI42" s="1189">
        <v>70</v>
      </c>
      <c r="AJ42" s="1189">
        <v>133</v>
      </c>
      <c r="AK42" s="1189">
        <v>70</v>
      </c>
      <c r="AL42" s="1189">
        <v>176</v>
      </c>
      <c r="AM42" s="1189">
        <v>137</v>
      </c>
      <c r="AN42" s="1189">
        <v>119</v>
      </c>
      <c r="AO42" s="1189">
        <v>80</v>
      </c>
      <c r="AP42" s="1189">
        <v>138</v>
      </c>
      <c r="AQ42" s="1189">
        <v>85</v>
      </c>
      <c r="AR42" s="1189">
        <v>97</v>
      </c>
      <c r="AS42" s="1189">
        <v>178</v>
      </c>
      <c r="AT42" s="1189">
        <f>SUM(AU42:BH42)</f>
        <v>2119</v>
      </c>
      <c r="AU42" s="1189">
        <v>609</v>
      </c>
      <c r="AV42" s="1189">
        <v>124</v>
      </c>
      <c r="AW42" s="1189">
        <v>92</v>
      </c>
      <c r="AX42" s="1189">
        <v>71</v>
      </c>
      <c r="AY42" s="1189">
        <v>134</v>
      </c>
      <c r="AZ42" s="1189">
        <v>71</v>
      </c>
      <c r="BA42" s="1189">
        <v>177</v>
      </c>
      <c r="BB42" s="1189">
        <v>138</v>
      </c>
      <c r="BC42" s="1189">
        <v>120</v>
      </c>
      <c r="BD42" s="1189">
        <v>81</v>
      </c>
      <c r="BE42" s="1189">
        <v>139</v>
      </c>
      <c r="BF42" s="1189">
        <v>86</v>
      </c>
      <c r="BG42" s="1189">
        <v>98</v>
      </c>
      <c r="BH42" s="1189">
        <v>179</v>
      </c>
      <c r="BI42" s="1189">
        <f t="shared" si="33"/>
        <v>2119</v>
      </c>
      <c r="BJ42" s="1189">
        <v>609</v>
      </c>
      <c r="BK42" s="1189">
        <v>124</v>
      </c>
      <c r="BL42" s="1189">
        <v>92</v>
      </c>
      <c r="BM42" s="1189">
        <v>71</v>
      </c>
      <c r="BN42" s="1189">
        <v>134</v>
      </c>
      <c r="BO42" s="1189">
        <v>71</v>
      </c>
      <c r="BP42" s="1189">
        <v>177</v>
      </c>
      <c r="BQ42" s="1189">
        <v>138</v>
      </c>
      <c r="BR42" s="1189">
        <v>120</v>
      </c>
      <c r="BS42" s="1189">
        <v>81</v>
      </c>
      <c r="BT42" s="1189">
        <v>139</v>
      </c>
      <c r="BU42" s="1189">
        <v>86</v>
      </c>
      <c r="BV42" s="1189">
        <v>98</v>
      </c>
      <c r="BW42" s="1189">
        <v>179</v>
      </c>
      <c r="BX42" s="1170">
        <f t="shared" si="20"/>
        <v>109.45247933884298</v>
      </c>
      <c r="BY42" s="1742">
        <f t="shared" si="21"/>
        <v>100</v>
      </c>
      <c r="BZ42" s="1189"/>
      <c r="CA42" s="1270">
        <v>2119</v>
      </c>
      <c r="CB42" s="368">
        <f>AT42-CA42</f>
        <v>0</v>
      </c>
      <c r="CC42" s="691"/>
      <c r="CD42" s="184"/>
    </row>
    <row r="43" spans="1:82" s="364" customFormat="1" ht="60" customHeight="1">
      <c r="A43" s="947">
        <v>4</v>
      </c>
      <c r="B43" s="932" t="s">
        <v>633</v>
      </c>
      <c r="C43" s="947" t="s">
        <v>49</v>
      </c>
      <c r="D43" s="1160"/>
      <c r="E43" s="1160"/>
      <c r="F43" s="1160"/>
      <c r="G43" s="1160"/>
      <c r="H43" s="1160"/>
      <c r="I43" s="1160"/>
      <c r="J43" s="1160"/>
      <c r="K43" s="1160"/>
      <c r="L43" s="1160"/>
      <c r="M43" s="1160"/>
      <c r="N43" s="1160"/>
      <c r="O43" s="1160"/>
      <c r="P43" s="1160"/>
      <c r="Q43" s="1160"/>
      <c r="R43" s="1160"/>
      <c r="S43" s="1163"/>
      <c r="T43" s="1163"/>
      <c r="U43" s="938">
        <f>2000+42522</f>
        <v>44522</v>
      </c>
      <c r="V43" s="934"/>
      <c r="W43" s="934"/>
      <c r="X43" s="934"/>
      <c r="Y43" s="934"/>
      <c r="Z43" s="934"/>
      <c r="AA43" s="1190">
        <v>46389</v>
      </c>
      <c r="AB43" s="1190">
        <v>48708.450000000004</v>
      </c>
      <c r="AC43" s="1190">
        <v>47115</v>
      </c>
      <c r="AD43" s="1190">
        <v>44904</v>
      </c>
      <c r="AE43" s="1189">
        <f>SUM(AF43:AS43)</f>
        <v>45635</v>
      </c>
      <c r="AF43" s="1190">
        <v>3952</v>
      </c>
      <c r="AG43" s="1190">
        <v>3229</v>
      </c>
      <c r="AH43" s="1190">
        <v>3106</v>
      </c>
      <c r="AI43" s="1190">
        <v>1819</v>
      </c>
      <c r="AJ43" s="1190">
        <v>3594</v>
      </c>
      <c r="AK43" s="1190">
        <v>2130</v>
      </c>
      <c r="AL43" s="1190">
        <v>2919</v>
      </c>
      <c r="AM43" s="1190">
        <v>3826</v>
      </c>
      <c r="AN43" s="1190">
        <v>3539</v>
      </c>
      <c r="AO43" s="1190">
        <v>1868</v>
      </c>
      <c r="AP43" s="1190">
        <v>2906</v>
      </c>
      <c r="AQ43" s="1190">
        <v>2413</v>
      </c>
      <c r="AR43" s="1190">
        <v>2848</v>
      </c>
      <c r="AS43" s="1190">
        <v>7486</v>
      </c>
      <c r="AT43" s="1189">
        <f>SUM(AU43:BH43)</f>
        <v>48095</v>
      </c>
      <c r="AU43" s="1190">
        <v>4489</v>
      </c>
      <c r="AV43" s="1190">
        <v>3800</v>
      </c>
      <c r="AW43" s="1190">
        <v>3122</v>
      </c>
      <c r="AX43" s="1190">
        <v>1829</v>
      </c>
      <c r="AY43" s="1190">
        <v>4400</v>
      </c>
      <c r="AZ43" s="1190">
        <v>2200</v>
      </c>
      <c r="BA43" s="1190">
        <v>3050</v>
      </c>
      <c r="BB43" s="1190">
        <v>3826</v>
      </c>
      <c r="BC43" s="1190">
        <v>3600</v>
      </c>
      <c r="BD43" s="1190">
        <v>2025</v>
      </c>
      <c r="BE43" s="1190">
        <v>2906</v>
      </c>
      <c r="BF43" s="1190">
        <v>2500</v>
      </c>
      <c r="BG43" s="1190">
        <v>2848</v>
      </c>
      <c r="BH43" s="1190">
        <v>7500</v>
      </c>
      <c r="BI43" s="1189">
        <f t="shared" si="33"/>
        <v>41717</v>
      </c>
      <c r="BJ43" s="1190">
        <v>3738</v>
      </c>
      <c r="BK43" s="1190">
        <v>2528</v>
      </c>
      <c r="BL43" s="1190">
        <v>2850</v>
      </c>
      <c r="BM43" s="1190">
        <v>1662</v>
      </c>
      <c r="BN43" s="1190">
        <v>2751</v>
      </c>
      <c r="BO43" s="1190">
        <v>2040</v>
      </c>
      <c r="BP43" s="1190">
        <v>2775</v>
      </c>
      <c r="BQ43" s="1190">
        <v>3773</v>
      </c>
      <c r="BR43" s="1190">
        <v>3387</v>
      </c>
      <c r="BS43" s="1190">
        <v>1718</v>
      </c>
      <c r="BT43" s="1190">
        <v>2247</v>
      </c>
      <c r="BU43" s="1190">
        <v>2162</v>
      </c>
      <c r="BV43" s="1190">
        <v>2787</v>
      </c>
      <c r="BW43" s="1190">
        <v>7299</v>
      </c>
      <c r="BX43" s="1170">
        <f t="shared" si="20"/>
        <v>88.542926881035768</v>
      </c>
      <c r="BY43" s="1742">
        <f t="shared" si="21"/>
        <v>86.738746231416982</v>
      </c>
      <c r="BZ43" s="1190"/>
      <c r="CA43" s="136">
        <v>48095</v>
      </c>
      <c r="CB43" s="368">
        <f>AT43-CA43</f>
        <v>0</v>
      </c>
      <c r="CC43" s="1635"/>
      <c r="CD43" s="185"/>
    </row>
    <row r="44" spans="1:82" s="530" customFormat="1" ht="21.95" customHeight="1">
      <c r="A44" s="1795" t="s">
        <v>121</v>
      </c>
      <c r="B44" s="1139" t="s">
        <v>286</v>
      </c>
      <c r="C44" s="1143"/>
      <c r="D44" s="1160"/>
      <c r="E44" s="1160"/>
      <c r="F44" s="1160"/>
      <c r="G44" s="1160"/>
      <c r="H44" s="1160"/>
      <c r="I44" s="1160"/>
      <c r="J44" s="1160"/>
      <c r="K44" s="1160"/>
      <c r="L44" s="1160"/>
      <c r="M44" s="1160"/>
      <c r="N44" s="1160"/>
      <c r="O44" s="1160"/>
      <c r="P44" s="1160"/>
      <c r="Q44" s="1160"/>
      <c r="R44" s="1160"/>
      <c r="S44" s="1163"/>
      <c r="T44" s="1163"/>
      <c r="U44" s="1163"/>
      <c r="V44" s="1271"/>
      <c r="W44" s="1271"/>
      <c r="X44" s="1271"/>
      <c r="Y44" s="1271"/>
      <c r="Z44" s="1271"/>
      <c r="AA44" s="1271"/>
      <c r="AB44" s="1271"/>
      <c r="AC44" s="1271"/>
      <c r="AD44" s="1271"/>
      <c r="AE44" s="1271"/>
      <c r="AF44" s="1271"/>
      <c r="AG44" s="1271"/>
      <c r="AH44" s="1271"/>
      <c r="AI44" s="1271"/>
      <c r="AJ44" s="1271"/>
      <c r="AK44" s="1271"/>
      <c r="AL44" s="1271"/>
      <c r="AM44" s="1271"/>
      <c r="AN44" s="1271"/>
      <c r="AO44" s="1271"/>
      <c r="AP44" s="1271"/>
      <c r="AQ44" s="1271"/>
      <c r="AR44" s="1271"/>
      <c r="AS44" s="1271"/>
      <c r="AT44" s="1271"/>
      <c r="AU44" s="1271"/>
      <c r="AV44" s="1271"/>
      <c r="AW44" s="1271"/>
      <c r="AX44" s="1271"/>
      <c r="AY44" s="1271"/>
      <c r="AZ44" s="1271"/>
      <c r="BA44" s="1271"/>
      <c r="BB44" s="1271"/>
      <c r="BC44" s="1271"/>
      <c r="BD44" s="1271"/>
      <c r="BE44" s="1271"/>
      <c r="BF44" s="1271"/>
      <c r="BG44" s="1271"/>
      <c r="BH44" s="1271"/>
      <c r="BI44" s="1755"/>
      <c r="BJ44" s="1755"/>
      <c r="BK44" s="1755"/>
      <c r="BL44" s="1755"/>
      <c r="BM44" s="1755"/>
      <c r="BN44" s="1755"/>
      <c r="BO44" s="1755"/>
      <c r="BP44" s="1755"/>
      <c r="BQ44" s="1755"/>
      <c r="BR44" s="1755"/>
      <c r="BS44" s="1755"/>
      <c r="BT44" s="1755"/>
      <c r="BU44" s="1755"/>
      <c r="BV44" s="1755"/>
      <c r="BW44" s="1755"/>
      <c r="BX44" s="1170"/>
      <c r="BY44" s="1742"/>
      <c r="BZ44" s="1271"/>
      <c r="CA44" s="136"/>
      <c r="CB44" s="368"/>
      <c r="CC44" s="432"/>
      <c r="CD44" s="185"/>
    </row>
    <row r="45" spans="1:82" s="530" customFormat="1" ht="35.1" customHeight="1">
      <c r="A45" s="1141">
        <v>1</v>
      </c>
      <c r="B45" s="1142" t="s">
        <v>287</v>
      </c>
      <c r="C45" s="1143" t="s">
        <v>49</v>
      </c>
      <c r="D45" s="1144">
        <f>SUM(E45:R45)</f>
        <v>30955</v>
      </c>
      <c r="E45" s="1144">
        <f>3910</f>
        <v>3910</v>
      </c>
      <c r="F45" s="1144">
        <f>2550</f>
        <v>2550</v>
      </c>
      <c r="G45" s="1144">
        <f>2100</f>
        <v>2100</v>
      </c>
      <c r="H45" s="1144">
        <f>1120</f>
        <v>1120</v>
      </c>
      <c r="I45" s="1144">
        <f>2890</f>
        <v>2890</v>
      </c>
      <c r="J45" s="1144">
        <f>1550</f>
        <v>1550</v>
      </c>
      <c r="K45" s="1144">
        <v>1780</v>
      </c>
      <c r="L45" s="1144">
        <f>2150</f>
        <v>2150</v>
      </c>
      <c r="M45" s="1144">
        <f>2150</f>
        <v>2150</v>
      </c>
      <c r="N45" s="1144">
        <f>1410</f>
        <v>1410</v>
      </c>
      <c r="O45" s="1144">
        <f>1500</f>
        <v>1500</v>
      </c>
      <c r="P45" s="1144">
        <f>1790</f>
        <v>1790</v>
      </c>
      <c r="Q45" s="1144">
        <f>1450</f>
        <v>1450</v>
      </c>
      <c r="R45" s="1144">
        <f>4605</f>
        <v>4605</v>
      </c>
      <c r="S45" s="952">
        <v>30480</v>
      </c>
      <c r="T45" s="952">
        <v>30751</v>
      </c>
      <c r="U45" s="1144">
        <f>SUM(V45:Z45)</f>
        <v>12196</v>
      </c>
      <c r="V45" s="1272">
        <v>3815</v>
      </c>
      <c r="W45" s="1272">
        <v>2451</v>
      </c>
      <c r="X45" s="1272">
        <v>1933</v>
      </c>
      <c r="Y45" s="1272">
        <v>1110</v>
      </c>
      <c r="Z45" s="1272">
        <v>2887</v>
      </c>
      <c r="AA45" s="1144">
        <v>31335</v>
      </c>
      <c r="AB45" s="1144" t="e">
        <f>SUM(#REF!)</f>
        <v>#REF!</v>
      </c>
      <c r="AC45" s="1144">
        <v>31925</v>
      </c>
      <c r="AD45" s="1191">
        <f>+AD48+AD49</f>
        <v>31971</v>
      </c>
      <c r="AE45" s="1191">
        <f>AE48+AE49</f>
        <v>32283</v>
      </c>
      <c r="AF45" s="1191">
        <f t="shared" ref="AF45:BH45" si="34">AF48+AF49</f>
        <v>3977</v>
      </c>
      <c r="AG45" s="1191">
        <f t="shared" si="34"/>
        <v>2545</v>
      </c>
      <c r="AH45" s="1191">
        <f t="shared" si="34"/>
        <v>2008</v>
      </c>
      <c r="AI45" s="1191">
        <f t="shared" si="34"/>
        <v>1152</v>
      </c>
      <c r="AJ45" s="1191">
        <f t="shared" si="34"/>
        <v>2993</v>
      </c>
      <c r="AK45" s="1191">
        <f t="shared" si="34"/>
        <v>1538</v>
      </c>
      <c r="AL45" s="1191">
        <f t="shared" si="34"/>
        <v>1954</v>
      </c>
      <c r="AM45" s="1191">
        <f t="shared" si="34"/>
        <v>2456</v>
      </c>
      <c r="AN45" s="1191">
        <f t="shared" si="34"/>
        <v>2317</v>
      </c>
      <c r="AO45" s="1191">
        <f t="shared" si="34"/>
        <v>1323</v>
      </c>
      <c r="AP45" s="1191">
        <f t="shared" si="34"/>
        <v>1912</v>
      </c>
      <c r="AQ45" s="1191">
        <f t="shared" si="34"/>
        <v>1705</v>
      </c>
      <c r="AR45" s="1191">
        <f t="shared" si="34"/>
        <v>1647</v>
      </c>
      <c r="AS45" s="1191">
        <f t="shared" si="34"/>
        <v>4756</v>
      </c>
      <c r="AT45" s="1191">
        <f t="shared" si="34"/>
        <v>32815</v>
      </c>
      <c r="AU45" s="1191">
        <f t="shared" si="34"/>
        <v>4015</v>
      </c>
      <c r="AV45" s="1191">
        <f t="shared" si="34"/>
        <v>2583</v>
      </c>
      <c r="AW45" s="1191">
        <f t="shared" si="34"/>
        <v>2046</v>
      </c>
      <c r="AX45" s="1191">
        <f t="shared" si="34"/>
        <v>1190</v>
      </c>
      <c r="AY45" s="1191">
        <f t="shared" si="34"/>
        <v>3031</v>
      </c>
      <c r="AZ45" s="1191">
        <f t="shared" si="34"/>
        <v>1576</v>
      </c>
      <c r="BA45" s="1191">
        <f t="shared" si="34"/>
        <v>1992</v>
      </c>
      <c r="BB45" s="1191">
        <f t="shared" si="34"/>
        <v>2494</v>
      </c>
      <c r="BC45" s="1191">
        <f t="shared" si="34"/>
        <v>2355</v>
      </c>
      <c r="BD45" s="1191">
        <f t="shared" si="34"/>
        <v>1361</v>
      </c>
      <c r="BE45" s="1191">
        <f t="shared" si="34"/>
        <v>1950</v>
      </c>
      <c r="BF45" s="1191">
        <f t="shared" si="34"/>
        <v>1743</v>
      </c>
      <c r="BG45" s="1191">
        <f t="shared" si="34"/>
        <v>1685</v>
      </c>
      <c r="BH45" s="1191">
        <f t="shared" si="34"/>
        <v>4794</v>
      </c>
      <c r="BI45" s="945">
        <f>SUM(BJ45:BW45)</f>
        <v>30246</v>
      </c>
      <c r="BJ45" s="945">
        <v>3015</v>
      </c>
      <c r="BK45" s="945">
        <v>2000</v>
      </c>
      <c r="BL45" s="945">
        <v>2046</v>
      </c>
      <c r="BM45" s="945">
        <v>1190</v>
      </c>
      <c r="BN45" s="945">
        <v>2031</v>
      </c>
      <c r="BO45" s="945">
        <v>1576</v>
      </c>
      <c r="BP45" s="945">
        <v>1992</v>
      </c>
      <c r="BQ45" s="945">
        <v>2494</v>
      </c>
      <c r="BR45" s="945">
        <v>2355</v>
      </c>
      <c r="BS45" s="945">
        <v>1375</v>
      </c>
      <c r="BT45" s="945">
        <v>1950</v>
      </c>
      <c r="BU45" s="945">
        <v>1743</v>
      </c>
      <c r="BV45" s="945">
        <v>1685</v>
      </c>
      <c r="BW45" s="945">
        <v>4794</v>
      </c>
      <c r="BX45" s="1170">
        <f t="shared" si="20"/>
        <v>94.740798747063437</v>
      </c>
      <c r="BY45" s="1742">
        <f t="shared" si="21"/>
        <v>92.17126314185586</v>
      </c>
      <c r="BZ45" s="1144"/>
      <c r="CA45" s="136">
        <v>32815</v>
      </c>
      <c r="CB45" s="368">
        <f>AT45-CA45</f>
        <v>0</v>
      </c>
      <c r="CC45" s="432"/>
      <c r="CD45" s="185"/>
    </row>
    <row r="46" spans="1:82" s="530" customFormat="1" ht="21.95" customHeight="1">
      <c r="A46" s="1141"/>
      <c r="B46" s="1142" t="s">
        <v>288</v>
      </c>
      <c r="C46" s="1143" t="s">
        <v>26</v>
      </c>
      <c r="D46" s="1177" t="e">
        <f>D45/'B8. DS-GD&amp;TE '!#REF!%</f>
        <v>#REF!</v>
      </c>
      <c r="E46" s="1160" t="e">
        <f>E45/'B8. DS-GD&amp;TE '!#REF!%</f>
        <v>#REF!</v>
      </c>
      <c r="F46" s="1160" t="e">
        <f>F45/'B8. DS-GD&amp;TE '!#REF!%</f>
        <v>#REF!</v>
      </c>
      <c r="G46" s="1160" t="e">
        <f>G45/'B8. DS-GD&amp;TE '!#REF!%</f>
        <v>#REF!</v>
      </c>
      <c r="H46" s="1160" t="e">
        <f>H45/'B8. DS-GD&amp;TE '!#REF!%</f>
        <v>#REF!</v>
      </c>
      <c r="I46" s="1160" t="e">
        <f>I45/'B8. DS-GD&amp;TE '!#REF!%</f>
        <v>#REF!</v>
      </c>
      <c r="J46" s="1160" t="e">
        <f>J45/'B8. DS-GD&amp;TE '!#REF!%</f>
        <v>#REF!</v>
      </c>
      <c r="K46" s="1160" t="e">
        <f>K45/'B8. DS-GD&amp;TE '!#REF!%</f>
        <v>#REF!</v>
      </c>
      <c r="L46" s="1160" t="e">
        <f>L45/'B8. DS-GD&amp;TE '!#REF!%</f>
        <v>#REF!</v>
      </c>
      <c r="M46" s="1160" t="e">
        <f>M45/'B8. DS-GD&amp;TE '!#REF!%</f>
        <v>#REF!</v>
      </c>
      <c r="N46" s="1160" t="e">
        <f>N45/'B8. DS-GD&amp;TE '!#REF!%</f>
        <v>#REF!</v>
      </c>
      <c r="O46" s="1160" t="e">
        <f>O45/'B8. DS-GD&amp;TE '!#REF!%</f>
        <v>#REF!</v>
      </c>
      <c r="P46" s="1160" t="e">
        <f>P45/'B8. DS-GD&amp;TE '!#REF!%</f>
        <v>#REF!</v>
      </c>
      <c r="Q46" s="1160" t="e">
        <f>Q45/'B8. DS-GD&amp;TE '!#REF!%</f>
        <v>#REF!</v>
      </c>
      <c r="R46" s="1160" t="e">
        <f>R45/'B8. DS-GD&amp;TE '!#REF!%</f>
        <v>#REF!</v>
      </c>
      <c r="S46" s="1192">
        <f>S45/48000*100</f>
        <v>63.5</v>
      </c>
      <c r="T46" s="1163" t="e">
        <f>T45/'B8. DS-GD&amp;TE '!#REF!*100</f>
        <v>#REF!</v>
      </c>
      <c r="U46" s="957" t="e">
        <f>U45/'B8. DS-GD&amp;TE '!#REF!%</f>
        <v>#REF!</v>
      </c>
      <c r="V46" s="957" t="e">
        <f>V45/'B8. DS-GD&amp;TE '!#REF!%</f>
        <v>#REF!</v>
      </c>
      <c r="W46" s="957" t="e">
        <f>W45/'B8. DS-GD&amp;TE '!#REF!%</f>
        <v>#REF!</v>
      </c>
      <c r="X46" s="957" t="e">
        <f>X45/'B8. DS-GD&amp;TE '!#REF!%</f>
        <v>#REF!</v>
      </c>
      <c r="Y46" s="957" t="e">
        <f>Y45/'B8. DS-GD&amp;TE '!#REF!%</f>
        <v>#REF!</v>
      </c>
      <c r="Z46" s="957" t="e">
        <f>Z45/'B8. DS-GD&amp;TE '!#REF!%</f>
        <v>#REF!</v>
      </c>
      <c r="AA46" s="957">
        <v>64.134839739653685</v>
      </c>
      <c r="AB46" s="957" t="e">
        <f>AB45/'B8. DS-GD&amp;TE '!E9%</f>
        <v>#REF!</v>
      </c>
      <c r="AC46" s="957">
        <v>64.94629343315161</v>
      </c>
      <c r="AD46" s="957">
        <f>AD45/'B8. DS-GD&amp;TE '!G9*100</f>
        <v>64.857792023369981</v>
      </c>
      <c r="AE46" s="957">
        <f>AE45/'B8. DS-GD&amp;TE '!H9*100</f>
        <v>65.249818093621144</v>
      </c>
      <c r="AF46" s="957">
        <f>AF45/'B8. DS-GD&amp;TE '!I9*100</f>
        <v>64.856490541422048</v>
      </c>
      <c r="AG46" s="957">
        <f>AG45/'B8. DS-GD&amp;TE '!J9*100</f>
        <v>65.022994379151768</v>
      </c>
      <c r="AH46" s="957">
        <f>AH45/'B8. DS-GD&amp;TE '!K9*100</f>
        <v>64.462279293739968</v>
      </c>
      <c r="AI46" s="957">
        <f>AI45/'B8. DS-GD&amp;TE '!L9*100</f>
        <v>64.285714285714292</v>
      </c>
      <c r="AJ46" s="957">
        <f>AJ45/'B8. DS-GD&amp;TE '!M9*100</f>
        <v>65.192768460030493</v>
      </c>
      <c r="AK46" s="957">
        <f>AK45/'B8. DS-GD&amp;TE '!N9*100</f>
        <v>67.426567295046041</v>
      </c>
      <c r="AL46" s="957">
        <f>AL45/'B8. DS-GD&amp;TE '!O9*100</f>
        <v>64.787798408488058</v>
      </c>
      <c r="AM46" s="957">
        <f>AM45/'B8. DS-GD&amp;TE '!P9*100</f>
        <v>65.440980548894217</v>
      </c>
      <c r="AN46" s="957">
        <f>AN45/'B8. DS-GD&amp;TE '!Q9*100</f>
        <v>65.029469548133605</v>
      </c>
      <c r="AO46" s="957">
        <f>AO45/'B8. DS-GD&amp;TE '!R9*100</f>
        <v>69.194560669456067</v>
      </c>
      <c r="AP46" s="957">
        <f>AP45/'B8. DS-GD&amp;TE '!S9*100</f>
        <v>73.48193697156033</v>
      </c>
      <c r="AQ46" s="957">
        <f>AQ45/'B8. DS-GD&amp;TE '!T9*100</f>
        <v>63.786008230452673</v>
      </c>
      <c r="AR46" s="957">
        <f>AR45/'B8. DS-GD&amp;TE '!U9*100</f>
        <v>62.647394446557627</v>
      </c>
      <c r="AS46" s="957">
        <f>AS45/'B8. DS-GD&amp;TE '!V9*100</f>
        <v>63.387978142076506</v>
      </c>
      <c r="AT46" s="957">
        <f>AT45/'B8. DS-GD&amp;TE '!W9*100</f>
        <v>65.51207825913356</v>
      </c>
      <c r="AU46" s="957">
        <f>AU45/'B8. DS-GD&amp;TE '!X9*100</f>
        <v>64.664197133193753</v>
      </c>
      <c r="AV46" s="957">
        <f>AV45/'B8. DS-GD&amp;TE '!Y9*100</f>
        <v>65.177895533686609</v>
      </c>
      <c r="AW46" s="957">
        <f>AW45/'B8. DS-GD&amp;TE '!Z9*100</f>
        <v>64.870006341154081</v>
      </c>
      <c r="AX46" s="957">
        <f>AX45/'B8. DS-GD&amp;TE '!AA9*100</f>
        <v>65.600882028665936</v>
      </c>
      <c r="AY46" s="957">
        <f>AY45/'B8. DS-GD&amp;TE '!AB9*100</f>
        <v>65.196816519681661</v>
      </c>
      <c r="AZ46" s="957">
        <f>AZ45/'B8. DS-GD&amp;TE '!AC9*100</f>
        <v>68.284228769497403</v>
      </c>
      <c r="BA46" s="957">
        <f>BA45/'B8. DS-GD&amp;TE '!AD9*100</f>
        <v>65.247297739927944</v>
      </c>
      <c r="BB46" s="957">
        <f>BB45/'B8. DS-GD&amp;TE '!AE9*100</f>
        <v>65.631578947368425</v>
      </c>
      <c r="BC46" s="957">
        <f>BC45/'B8. DS-GD&amp;TE '!AF9*100</f>
        <v>65.289714444136408</v>
      </c>
      <c r="BD46" s="957">
        <f>BD45/'B8. DS-GD&amp;TE '!AG9*100</f>
        <v>70.335917312661493</v>
      </c>
      <c r="BE46" s="957">
        <f>BE45/'B8. DS-GD&amp;TE '!AH9*100</f>
        <v>74.031890660592254</v>
      </c>
      <c r="BF46" s="957">
        <f>BF45/'B8. DS-GD&amp;TE '!AI9*100</f>
        <v>64.436229205175593</v>
      </c>
      <c r="BG46" s="957">
        <f>BG45/'B8. DS-GD&amp;TE '!AJ9*100</f>
        <v>63.322059376174366</v>
      </c>
      <c r="BH46" s="957">
        <f>BH45/'B8. DS-GD&amp;TE '!AK9*100</f>
        <v>63.095551460910769</v>
      </c>
      <c r="BI46" s="928">
        <f>BI45/'[1]B8. DS-GD&amp;TE '!AL9*100</f>
        <v>60.767886203363261</v>
      </c>
      <c r="BJ46" s="928">
        <f>BJ45/'[1]B8. DS-GD&amp;TE '!AM9*100</f>
        <v>49.401933475340002</v>
      </c>
      <c r="BK46" s="928">
        <f>BK45/'[1]B8. DS-GD&amp;TE '!AN9*100</f>
        <v>50.67139599695971</v>
      </c>
      <c r="BL46" s="928">
        <f>BL45/'[1]B8. DS-GD&amp;TE '!AO9*100</f>
        <v>65.200764818355637</v>
      </c>
      <c r="BM46" s="928">
        <f>BM45/'[1]B8. DS-GD&amp;TE '!AP9*100</f>
        <v>66.629339305711085</v>
      </c>
      <c r="BN46" s="928">
        <f>BN45/'[1]B8. DS-GD&amp;TE '!AQ9*100</f>
        <v>43.83768616447226</v>
      </c>
      <c r="BO46" s="928">
        <f>BO45/'[1]B8. DS-GD&amp;TE '!AR9*100</f>
        <v>68.760907504363004</v>
      </c>
      <c r="BP46" s="928">
        <f>BP45/'[1]B8. DS-GD&amp;TE '!AS9*100</f>
        <v>65.591043793216983</v>
      </c>
      <c r="BQ46" s="928">
        <f>BQ45/'[1]B8. DS-GD&amp;TE '!AT9*100</f>
        <v>65.70073761854583</v>
      </c>
      <c r="BR46" s="928">
        <f>BR45/'[1]B8. DS-GD&amp;TE '!AU9*100</f>
        <v>65.580618212197166</v>
      </c>
      <c r="BS46" s="928">
        <f>BS45/'[1]B8. DS-GD&amp;TE '!AV9*100</f>
        <v>71.651902032308485</v>
      </c>
      <c r="BT46" s="928">
        <f>BT45/'[1]B8. DS-GD&amp;TE '!AW9*100</f>
        <v>74.484339190221533</v>
      </c>
      <c r="BU46" s="928">
        <f>BU45/'[1]B8. DS-GD&amp;TE '!AX9*100</f>
        <v>64.819635552249906</v>
      </c>
      <c r="BV46" s="928">
        <f>BV45/'[1]B8. DS-GD&amp;TE '!AY9*100</f>
        <v>63.705103969754248</v>
      </c>
      <c r="BW46" s="928">
        <f>BW45/'[1]B8. DS-GD&amp;TE '!AZ9*100</f>
        <v>63.253727404670798</v>
      </c>
      <c r="BX46" s="1170">
        <f t="shared" si="20"/>
        <v>93.566365362960809</v>
      </c>
      <c r="BY46" s="1742">
        <f t="shared" si="21"/>
        <v>92.758294070591674</v>
      </c>
      <c r="BZ46" s="957"/>
      <c r="CA46" s="128">
        <v>66.099999999999994</v>
      </c>
      <c r="CB46" s="368">
        <f>AT46-CA46</f>
        <v>-0.58792174086643456</v>
      </c>
      <c r="CC46" s="369"/>
      <c r="CD46" s="31"/>
    </row>
    <row r="47" spans="1:82" s="530" customFormat="1" ht="21.95" customHeight="1">
      <c r="A47" s="1141"/>
      <c r="B47" s="1142" t="s">
        <v>289</v>
      </c>
      <c r="C47" s="947"/>
      <c r="D47" s="1160"/>
      <c r="E47" s="1160"/>
      <c r="F47" s="1160"/>
      <c r="G47" s="1160"/>
      <c r="H47" s="1160"/>
      <c r="I47" s="1160"/>
      <c r="J47" s="1160"/>
      <c r="K47" s="1160"/>
      <c r="L47" s="1160"/>
      <c r="M47" s="1160"/>
      <c r="N47" s="1160"/>
      <c r="O47" s="1160"/>
      <c r="P47" s="1160"/>
      <c r="Q47" s="1160"/>
      <c r="R47" s="1160"/>
      <c r="S47" s="1192"/>
      <c r="T47" s="1192"/>
      <c r="U47" s="1192"/>
      <c r="V47" s="934"/>
      <c r="W47" s="934"/>
      <c r="X47" s="934"/>
      <c r="Y47" s="934"/>
      <c r="Z47" s="934"/>
      <c r="AA47" s="1215"/>
      <c r="AB47" s="1215"/>
      <c r="AC47" s="1215"/>
      <c r="AD47" s="1215"/>
      <c r="AE47" s="1215"/>
      <c r="AF47" s="1215"/>
      <c r="AG47" s="1215"/>
      <c r="AH47" s="1215"/>
      <c r="AI47" s="1215"/>
      <c r="AJ47" s="1215"/>
      <c r="AK47" s="1215"/>
      <c r="AL47" s="1215"/>
      <c r="AM47" s="1215"/>
      <c r="AN47" s="1215"/>
      <c r="AO47" s="1215"/>
      <c r="AP47" s="1215"/>
      <c r="AQ47" s="1215"/>
      <c r="AR47" s="1215"/>
      <c r="AS47" s="1215"/>
      <c r="AT47" s="1215"/>
      <c r="AU47" s="1215"/>
      <c r="AV47" s="1215"/>
      <c r="AW47" s="1215"/>
      <c r="AX47" s="1215"/>
      <c r="AY47" s="1215"/>
      <c r="AZ47" s="1215"/>
      <c r="BA47" s="1215"/>
      <c r="BB47" s="1215"/>
      <c r="BC47" s="1215"/>
      <c r="BD47" s="1215"/>
      <c r="BE47" s="1215"/>
      <c r="BF47" s="1215"/>
      <c r="BG47" s="1215"/>
      <c r="BH47" s="1215"/>
      <c r="BI47" s="1741"/>
      <c r="BJ47" s="1741"/>
      <c r="BK47" s="1741"/>
      <c r="BL47" s="1741"/>
      <c r="BM47" s="1741"/>
      <c r="BN47" s="1741"/>
      <c r="BO47" s="1741"/>
      <c r="BP47" s="1741"/>
      <c r="BQ47" s="1741"/>
      <c r="BR47" s="1741"/>
      <c r="BS47" s="1741"/>
      <c r="BT47" s="1741"/>
      <c r="BU47" s="1741"/>
      <c r="BV47" s="1741"/>
      <c r="BW47" s="1741"/>
      <c r="BX47" s="1170"/>
      <c r="BY47" s="1742"/>
      <c r="BZ47" s="1215"/>
      <c r="CA47" s="136"/>
      <c r="CB47" s="368"/>
      <c r="CC47" s="432"/>
      <c r="CD47" s="185"/>
    </row>
    <row r="48" spans="1:82" s="1255" customFormat="1" ht="21.95" customHeight="1">
      <c r="A48" s="1148"/>
      <c r="B48" s="1149" t="s">
        <v>290</v>
      </c>
      <c r="C48" s="1150" t="s">
        <v>49</v>
      </c>
      <c r="D48" s="1229">
        <f>SUM(E48:R48)</f>
        <v>3910</v>
      </c>
      <c r="E48" s="1229">
        <f>E45</f>
        <v>3910</v>
      </c>
      <c r="F48" s="1229"/>
      <c r="G48" s="1229"/>
      <c r="H48" s="1229"/>
      <c r="I48" s="1229"/>
      <c r="J48" s="1229"/>
      <c r="K48" s="1229"/>
      <c r="L48" s="1229"/>
      <c r="M48" s="1229"/>
      <c r="N48" s="1229"/>
      <c r="O48" s="1229"/>
      <c r="P48" s="1229"/>
      <c r="Q48" s="1229"/>
      <c r="R48" s="1229"/>
      <c r="S48" s="1229">
        <v>3890</v>
      </c>
      <c r="T48" s="1229">
        <v>3899</v>
      </c>
      <c r="U48" s="1229">
        <f>SUM(V48:Z48)</f>
        <v>3815</v>
      </c>
      <c r="V48" s="1924">
        <v>3815</v>
      </c>
      <c r="W48" s="1919"/>
      <c r="X48" s="1919"/>
      <c r="Y48" s="1919"/>
      <c r="Z48" s="1919"/>
      <c r="AA48" s="1229">
        <v>3680</v>
      </c>
      <c r="AB48" s="1229" t="e">
        <f>SUM(#REF!)</f>
        <v>#REF!</v>
      </c>
      <c r="AC48" s="1229">
        <v>3900</v>
      </c>
      <c r="AD48" s="1229">
        <v>3915</v>
      </c>
      <c r="AE48" s="1229">
        <f>SUM(AF48)</f>
        <v>3977</v>
      </c>
      <c r="AF48" s="1229">
        <v>3977</v>
      </c>
      <c r="AG48" s="1229"/>
      <c r="AH48" s="1229"/>
      <c r="AI48" s="1229"/>
      <c r="AJ48" s="1229"/>
      <c r="AK48" s="1229"/>
      <c r="AL48" s="1229"/>
      <c r="AM48" s="1229"/>
      <c r="AN48" s="1229"/>
      <c r="AO48" s="1229"/>
      <c r="AP48" s="1229"/>
      <c r="AQ48" s="1229"/>
      <c r="AR48" s="1229"/>
      <c r="AS48" s="1229"/>
      <c r="AT48" s="1229">
        <f>SUM(AU48)</f>
        <v>4015</v>
      </c>
      <c r="AU48" s="1229">
        <v>4015</v>
      </c>
      <c r="AV48" s="1229"/>
      <c r="AW48" s="1229"/>
      <c r="AX48" s="1229"/>
      <c r="AY48" s="1229"/>
      <c r="AZ48" s="1229"/>
      <c r="BA48" s="1229"/>
      <c r="BB48" s="1229"/>
      <c r="BC48" s="1229"/>
      <c r="BD48" s="1229"/>
      <c r="BE48" s="1229"/>
      <c r="BF48" s="1229"/>
      <c r="BG48" s="1229"/>
      <c r="BH48" s="1229"/>
      <c r="BI48" s="1308">
        <f>SUM(BJ48)</f>
        <v>3015</v>
      </c>
      <c r="BJ48" s="1308">
        <v>3015</v>
      </c>
      <c r="BK48" s="1308"/>
      <c r="BL48" s="1308"/>
      <c r="BM48" s="1308"/>
      <c r="BN48" s="1308"/>
      <c r="BO48" s="1308"/>
      <c r="BP48" s="1308"/>
      <c r="BQ48" s="1308"/>
      <c r="BR48" s="1308"/>
      <c r="BS48" s="1308"/>
      <c r="BT48" s="1308"/>
      <c r="BU48" s="1308"/>
      <c r="BV48" s="1308"/>
      <c r="BW48" s="1308"/>
      <c r="BX48" s="1174">
        <f t="shared" si="20"/>
        <v>77.307692307692307</v>
      </c>
      <c r="BY48" s="1999">
        <f t="shared" si="21"/>
        <v>75.093399750933997</v>
      </c>
      <c r="BZ48" s="1229"/>
      <c r="CA48" s="1241">
        <v>4015</v>
      </c>
      <c r="CB48" s="1252">
        <f>AT48-CA48</f>
        <v>0</v>
      </c>
      <c r="CC48" s="1260"/>
      <c r="CD48" s="32"/>
    </row>
    <row r="49" spans="1:82" s="1255" customFormat="1" ht="21.95" customHeight="1">
      <c r="A49" s="1148"/>
      <c r="B49" s="1149" t="s">
        <v>291</v>
      </c>
      <c r="C49" s="1150" t="s">
        <v>49</v>
      </c>
      <c r="D49" s="1229">
        <f>SUM(E49:R49)</f>
        <v>27045</v>
      </c>
      <c r="E49" s="1229"/>
      <c r="F49" s="1229">
        <f t="shared" ref="F49:R49" si="35">F45</f>
        <v>2550</v>
      </c>
      <c r="G49" s="1229">
        <f t="shared" si="35"/>
        <v>2100</v>
      </c>
      <c r="H49" s="1229">
        <f t="shared" si="35"/>
        <v>1120</v>
      </c>
      <c r="I49" s="1229">
        <f t="shared" si="35"/>
        <v>2890</v>
      </c>
      <c r="J49" s="1229">
        <f t="shared" si="35"/>
        <v>1550</v>
      </c>
      <c r="K49" s="1229">
        <f t="shared" si="35"/>
        <v>1780</v>
      </c>
      <c r="L49" s="1229">
        <f t="shared" si="35"/>
        <v>2150</v>
      </c>
      <c r="M49" s="1229">
        <f t="shared" si="35"/>
        <v>2150</v>
      </c>
      <c r="N49" s="1229">
        <f t="shared" si="35"/>
        <v>1410</v>
      </c>
      <c r="O49" s="1229">
        <f t="shared" si="35"/>
        <v>1500</v>
      </c>
      <c r="P49" s="1229">
        <f t="shared" si="35"/>
        <v>1790</v>
      </c>
      <c r="Q49" s="1229">
        <f t="shared" si="35"/>
        <v>1450</v>
      </c>
      <c r="R49" s="1229">
        <f t="shared" si="35"/>
        <v>4605</v>
      </c>
      <c r="S49" s="1229">
        <v>26550</v>
      </c>
      <c r="T49" s="1229">
        <v>26852</v>
      </c>
      <c r="U49" s="1229">
        <f>SUM(V49:Z49)</f>
        <v>8381</v>
      </c>
      <c r="V49" s="2000"/>
      <c r="W49" s="2000">
        <v>2451</v>
      </c>
      <c r="X49" s="2000">
        <v>1933</v>
      </c>
      <c r="Y49" s="2000">
        <v>1110</v>
      </c>
      <c r="Z49" s="2000">
        <v>2887</v>
      </c>
      <c r="AA49" s="1229">
        <v>27851</v>
      </c>
      <c r="AB49" s="1229" t="e">
        <f>SUM(#REF!)</f>
        <v>#REF!</v>
      </c>
      <c r="AC49" s="1229">
        <v>28025</v>
      </c>
      <c r="AD49" s="1229">
        <v>28056</v>
      </c>
      <c r="AE49" s="1229">
        <f>SUM(AF49:AS49)</f>
        <v>28306</v>
      </c>
      <c r="AF49" s="1229"/>
      <c r="AG49" s="1229">
        <v>2545</v>
      </c>
      <c r="AH49" s="1229">
        <v>2008</v>
      </c>
      <c r="AI49" s="1229">
        <v>1152</v>
      </c>
      <c r="AJ49" s="1229">
        <v>2993</v>
      </c>
      <c r="AK49" s="1229">
        <v>1538</v>
      </c>
      <c r="AL49" s="1229">
        <v>1954</v>
      </c>
      <c r="AM49" s="1229">
        <v>2456</v>
      </c>
      <c r="AN49" s="1229">
        <v>2317</v>
      </c>
      <c r="AO49" s="1229">
        <v>1323</v>
      </c>
      <c r="AP49" s="1229">
        <v>1912</v>
      </c>
      <c r="AQ49" s="1229">
        <v>1705</v>
      </c>
      <c r="AR49" s="1229">
        <v>1647</v>
      </c>
      <c r="AS49" s="1229">
        <v>4756</v>
      </c>
      <c r="AT49" s="1229">
        <f>SUM(AU49:BH49)</f>
        <v>28800</v>
      </c>
      <c r="AU49" s="1229"/>
      <c r="AV49" s="1229">
        <v>2583</v>
      </c>
      <c r="AW49" s="1229">
        <v>2046</v>
      </c>
      <c r="AX49" s="1229">
        <v>1190</v>
      </c>
      <c r="AY49" s="1229">
        <v>3031</v>
      </c>
      <c r="AZ49" s="1229">
        <v>1576</v>
      </c>
      <c r="BA49" s="1229">
        <v>1992</v>
      </c>
      <c r="BB49" s="1229">
        <v>2494</v>
      </c>
      <c r="BC49" s="1229">
        <v>2355</v>
      </c>
      <c r="BD49" s="1229">
        <v>1361</v>
      </c>
      <c r="BE49" s="1229">
        <v>1950</v>
      </c>
      <c r="BF49" s="1229">
        <v>1743</v>
      </c>
      <c r="BG49" s="1229">
        <v>1685</v>
      </c>
      <c r="BH49" s="1229">
        <v>4794</v>
      </c>
      <c r="BI49" s="1308">
        <f>SUM(BJ49:BW49)</f>
        <v>27217</v>
      </c>
      <c r="BJ49" s="1308"/>
      <c r="BK49" s="1308">
        <v>2000</v>
      </c>
      <c r="BL49" s="1308">
        <v>2046</v>
      </c>
      <c r="BM49" s="1308">
        <v>1190</v>
      </c>
      <c r="BN49" s="1308">
        <v>2031</v>
      </c>
      <c r="BO49" s="1308">
        <v>1576</v>
      </c>
      <c r="BP49" s="1308">
        <v>1992</v>
      </c>
      <c r="BQ49" s="1308">
        <v>2494</v>
      </c>
      <c r="BR49" s="1308">
        <v>2355</v>
      </c>
      <c r="BS49" s="1308">
        <v>1361</v>
      </c>
      <c r="BT49" s="1308">
        <v>1950</v>
      </c>
      <c r="BU49" s="1308">
        <v>1743</v>
      </c>
      <c r="BV49" s="1308">
        <v>1685</v>
      </c>
      <c r="BW49" s="1308">
        <v>4794</v>
      </c>
      <c r="BX49" s="1174">
        <f t="shared" si="20"/>
        <v>97.116859946476367</v>
      </c>
      <c r="BY49" s="1999">
        <f t="shared" si="21"/>
        <v>94.503472222222229</v>
      </c>
      <c r="BZ49" s="1229"/>
      <c r="CA49" s="1241">
        <v>28800</v>
      </c>
      <c r="CB49" s="1252">
        <f>AT49-CA49</f>
        <v>0</v>
      </c>
      <c r="CC49" s="1260"/>
      <c r="CD49" s="32"/>
    </row>
    <row r="50" spans="1:82" s="530" customFormat="1" ht="45" customHeight="1">
      <c r="A50" s="1141">
        <v>2</v>
      </c>
      <c r="B50" s="1142" t="s">
        <v>292</v>
      </c>
      <c r="C50" s="1143" t="s">
        <v>49</v>
      </c>
      <c r="D50" s="952">
        <f>SUM(E50:R50)</f>
        <v>29870</v>
      </c>
      <c r="E50" s="952">
        <v>3830</v>
      </c>
      <c r="F50" s="952">
        <v>2500</v>
      </c>
      <c r="G50" s="952">
        <v>1930</v>
      </c>
      <c r="H50" s="952">
        <v>1080</v>
      </c>
      <c r="I50" s="952">
        <v>2750</v>
      </c>
      <c r="J50" s="952">
        <v>1480</v>
      </c>
      <c r="K50" s="952">
        <v>1780</v>
      </c>
      <c r="L50" s="952">
        <v>2100</v>
      </c>
      <c r="M50" s="952">
        <v>2090</v>
      </c>
      <c r="N50" s="952">
        <v>1320</v>
      </c>
      <c r="O50" s="952">
        <v>1400</v>
      </c>
      <c r="P50" s="952">
        <v>1660</v>
      </c>
      <c r="Q50" s="952">
        <v>1400</v>
      </c>
      <c r="R50" s="952">
        <v>4550</v>
      </c>
      <c r="S50" s="952">
        <v>29540</v>
      </c>
      <c r="T50" s="952">
        <v>29720</v>
      </c>
      <c r="U50" s="952">
        <f>SUM(V50:Z50)</f>
        <v>12090</v>
      </c>
      <c r="V50" s="927">
        <v>3830</v>
      </c>
      <c r="W50" s="927">
        <v>2500</v>
      </c>
      <c r="X50" s="927">
        <v>1930</v>
      </c>
      <c r="Y50" s="927">
        <v>1080</v>
      </c>
      <c r="Z50" s="927">
        <v>2750</v>
      </c>
      <c r="AA50" s="952">
        <v>30659</v>
      </c>
      <c r="AB50" s="952" t="e">
        <f>SUM(#REF!)</f>
        <v>#REF!</v>
      </c>
      <c r="AC50" s="952">
        <v>30824</v>
      </c>
      <c r="AD50" s="952">
        <v>30865</v>
      </c>
      <c r="AE50" s="952">
        <f>SUM(AF50:AS50)</f>
        <v>31074</v>
      </c>
      <c r="AF50" s="952">
        <v>3849</v>
      </c>
      <c r="AG50" s="952">
        <v>2433</v>
      </c>
      <c r="AH50" s="952">
        <v>1930</v>
      </c>
      <c r="AI50" s="952">
        <v>1104</v>
      </c>
      <c r="AJ50" s="952">
        <v>2848</v>
      </c>
      <c r="AK50" s="952">
        <v>1469</v>
      </c>
      <c r="AL50" s="952">
        <v>1894</v>
      </c>
      <c r="AM50" s="952">
        <v>2367</v>
      </c>
      <c r="AN50" s="952">
        <v>2233</v>
      </c>
      <c r="AO50" s="952">
        <v>1275</v>
      </c>
      <c r="AP50" s="952">
        <v>1832</v>
      </c>
      <c r="AQ50" s="952">
        <v>1626</v>
      </c>
      <c r="AR50" s="952">
        <v>1570</v>
      </c>
      <c r="AS50" s="952">
        <v>4644</v>
      </c>
      <c r="AT50" s="952">
        <f>SUM(AU50:BH50)</f>
        <v>31564</v>
      </c>
      <c r="AU50" s="952">
        <v>3884</v>
      </c>
      <c r="AV50" s="952">
        <v>2468</v>
      </c>
      <c r="AW50" s="952">
        <v>1965</v>
      </c>
      <c r="AX50" s="952">
        <v>1139</v>
      </c>
      <c r="AY50" s="952">
        <v>2883</v>
      </c>
      <c r="AZ50" s="952">
        <v>1504</v>
      </c>
      <c r="BA50" s="952">
        <v>1929</v>
      </c>
      <c r="BB50" s="952">
        <v>2402</v>
      </c>
      <c r="BC50" s="952">
        <v>2268</v>
      </c>
      <c r="BD50" s="952">
        <v>1310</v>
      </c>
      <c r="BE50" s="952">
        <v>1867</v>
      </c>
      <c r="BF50" s="952">
        <v>1661</v>
      </c>
      <c r="BG50" s="952">
        <v>1605</v>
      </c>
      <c r="BH50" s="952">
        <v>4679</v>
      </c>
      <c r="BI50" s="945">
        <f>SUM(BJ50:BW50)</f>
        <v>30244</v>
      </c>
      <c r="BJ50" s="945">
        <v>3015</v>
      </c>
      <c r="BK50" s="945">
        <v>2000</v>
      </c>
      <c r="BL50" s="945">
        <v>1956</v>
      </c>
      <c r="BM50" s="945">
        <v>1939</v>
      </c>
      <c r="BN50" s="945">
        <v>2031</v>
      </c>
      <c r="BO50" s="945">
        <v>1576</v>
      </c>
      <c r="BP50" s="945">
        <v>1929</v>
      </c>
      <c r="BQ50" s="945">
        <v>2402</v>
      </c>
      <c r="BR50" s="945">
        <v>2268</v>
      </c>
      <c r="BS50" s="945">
        <v>1310</v>
      </c>
      <c r="BT50" s="945">
        <v>1867</v>
      </c>
      <c r="BU50" s="945">
        <v>1667</v>
      </c>
      <c r="BV50" s="945">
        <v>1605</v>
      </c>
      <c r="BW50" s="945">
        <v>4679</v>
      </c>
      <c r="BX50" s="1170">
        <f t="shared" si="20"/>
        <v>98.118349338178035</v>
      </c>
      <c r="BY50" s="1742">
        <f t="shared" si="21"/>
        <v>95.818020529717401</v>
      </c>
      <c r="BZ50" s="952"/>
      <c r="CA50" s="136">
        <v>31864</v>
      </c>
      <c r="CB50" s="368">
        <f>AT50-CA50</f>
        <v>-300</v>
      </c>
      <c r="CC50" s="1273"/>
      <c r="CD50" s="1274"/>
    </row>
    <row r="51" spans="1:82" s="1255" customFormat="1" ht="21.95" customHeight="1">
      <c r="A51" s="1148"/>
      <c r="B51" s="1149" t="s">
        <v>293</v>
      </c>
      <c r="C51" s="1150"/>
      <c r="D51" s="1160"/>
      <c r="E51" s="1160"/>
      <c r="F51" s="1160"/>
      <c r="G51" s="1160"/>
      <c r="H51" s="1160"/>
      <c r="I51" s="1160"/>
      <c r="J51" s="1160"/>
      <c r="K51" s="1160"/>
      <c r="L51" s="1160"/>
      <c r="M51" s="1160"/>
      <c r="N51" s="1160"/>
      <c r="O51" s="1160"/>
      <c r="P51" s="1160"/>
      <c r="Q51" s="1160"/>
      <c r="R51" s="1160"/>
      <c r="S51" s="1163"/>
      <c r="T51" s="1163"/>
      <c r="U51" s="1163"/>
      <c r="V51" s="1193"/>
      <c r="W51" s="1193"/>
      <c r="X51" s="1193"/>
      <c r="Y51" s="1193"/>
      <c r="Z51" s="1193"/>
      <c r="AA51" s="1215"/>
      <c r="AB51" s="1215"/>
      <c r="AC51" s="1215"/>
      <c r="AD51" s="1215"/>
      <c r="AE51" s="1215"/>
      <c r="AF51" s="1215"/>
      <c r="AG51" s="1215"/>
      <c r="AH51" s="1215"/>
      <c r="AI51" s="1215"/>
      <c r="AJ51" s="1215"/>
      <c r="AK51" s="1215"/>
      <c r="AL51" s="1215"/>
      <c r="AM51" s="1215"/>
      <c r="AN51" s="1215"/>
      <c r="AO51" s="1215"/>
      <c r="AP51" s="1215"/>
      <c r="AQ51" s="1215"/>
      <c r="AR51" s="1215"/>
      <c r="AS51" s="1215"/>
      <c r="AT51" s="1215"/>
      <c r="AU51" s="1215"/>
      <c r="AV51" s="1215"/>
      <c r="AW51" s="1215"/>
      <c r="AX51" s="1215"/>
      <c r="AY51" s="1215"/>
      <c r="AZ51" s="1215"/>
      <c r="BA51" s="1215"/>
      <c r="BB51" s="1215"/>
      <c r="BC51" s="1215"/>
      <c r="BD51" s="1215"/>
      <c r="BE51" s="1215"/>
      <c r="BF51" s="1215"/>
      <c r="BG51" s="1215"/>
      <c r="BH51" s="1215"/>
      <c r="BI51" s="1741"/>
      <c r="BJ51" s="1741"/>
      <c r="BK51" s="1741"/>
      <c r="BL51" s="1741"/>
      <c r="BM51" s="1741"/>
      <c r="BN51" s="1741"/>
      <c r="BO51" s="1741"/>
      <c r="BP51" s="1741"/>
      <c r="BQ51" s="1741"/>
      <c r="BR51" s="1741"/>
      <c r="BS51" s="1741"/>
      <c r="BT51" s="1741"/>
      <c r="BU51" s="1741"/>
      <c r="BV51" s="1741"/>
      <c r="BW51" s="1741"/>
      <c r="BX51" s="1170"/>
      <c r="BY51" s="1742"/>
      <c r="BZ51" s="1215"/>
      <c r="CA51" s="1241"/>
      <c r="CB51" s="368"/>
      <c r="CC51" s="1260"/>
      <c r="CD51" s="185"/>
    </row>
    <row r="52" spans="1:82" s="530" customFormat="1" ht="21.95" customHeight="1">
      <c r="A52" s="1141"/>
      <c r="B52" s="1142" t="s">
        <v>294</v>
      </c>
      <c r="C52" s="1143" t="s">
        <v>26</v>
      </c>
      <c r="D52" s="1194">
        <f>SUM(E52:R52)/14</f>
        <v>67.214285714285708</v>
      </c>
      <c r="E52" s="1194">
        <v>24</v>
      </c>
      <c r="F52" s="1194">
        <v>60.5</v>
      </c>
      <c r="G52" s="1194">
        <v>64.5</v>
      </c>
      <c r="H52" s="1194">
        <v>65</v>
      </c>
      <c r="I52" s="1194">
        <v>60.5</v>
      </c>
      <c r="J52" s="1194">
        <v>71</v>
      </c>
      <c r="K52" s="1194">
        <v>72.5</v>
      </c>
      <c r="L52" s="1194">
        <v>85</v>
      </c>
      <c r="M52" s="1194">
        <v>83</v>
      </c>
      <c r="N52" s="1194">
        <v>82</v>
      </c>
      <c r="O52" s="1194">
        <v>61</v>
      </c>
      <c r="P52" s="1194">
        <v>62</v>
      </c>
      <c r="Q52" s="1194">
        <v>72</v>
      </c>
      <c r="R52" s="1194">
        <v>78</v>
      </c>
      <c r="S52" s="1195">
        <v>67.900000000000006</v>
      </c>
      <c r="T52" s="1195">
        <v>67.599999999999994</v>
      </c>
      <c r="U52" s="1194">
        <f>SUM(V52:Z52)/14</f>
        <v>19.607142857142858</v>
      </c>
      <c r="V52" s="941">
        <v>24</v>
      </c>
      <c r="W52" s="941">
        <v>60.5</v>
      </c>
      <c r="X52" s="941">
        <v>64.5</v>
      </c>
      <c r="Y52" s="941">
        <v>65</v>
      </c>
      <c r="Z52" s="941">
        <v>60.5</v>
      </c>
      <c r="AA52" s="1275">
        <v>66.407142857142858</v>
      </c>
      <c r="AB52" s="1275" t="e">
        <f>SUM(#REF!)/14</f>
        <v>#REF!</v>
      </c>
      <c r="AC52" s="1275">
        <v>66.099999999999994</v>
      </c>
      <c r="AD52" s="1275">
        <v>66.099999999999994</v>
      </c>
      <c r="AE52" s="1275">
        <f>SUM(AF52:AS52)/14</f>
        <v>66.30714285714285</v>
      </c>
      <c r="AF52" s="1275">
        <v>22.2</v>
      </c>
      <c r="AG52" s="1275">
        <v>58.7</v>
      </c>
      <c r="AH52" s="1275">
        <v>62.7</v>
      </c>
      <c r="AI52" s="1275">
        <v>64.2</v>
      </c>
      <c r="AJ52" s="1275">
        <v>57.5</v>
      </c>
      <c r="AK52" s="1275">
        <v>70.3</v>
      </c>
      <c r="AL52" s="1275">
        <v>72.5</v>
      </c>
      <c r="AM52" s="1275">
        <v>81.7</v>
      </c>
      <c r="AN52" s="1275">
        <v>81.5</v>
      </c>
      <c r="AO52" s="1275">
        <v>75.599999999999994</v>
      </c>
      <c r="AP52" s="1275">
        <v>61.9</v>
      </c>
      <c r="AQ52" s="1275">
        <v>68</v>
      </c>
      <c r="AR52" s="1275">
        <v>72</v>
      </c>
      <c r="AS52" s="1275">
        <v>79.5</v>
      </c>
      <c r="AT52" s="1275">
        <f>SUM(AU52:BH52)/14</f>
        <v>68.114285714285714</v>
      </c>
      <c r="AU52" s="1275">
        <v>24.2</v>
      </c>
      <c r="AV52" s="1275">
        <v>60.1</v>
      </c>
      <c r="AW52" s="1275">
        <v>64.5</v>
      </c>
      <c r="AX52" s="1275">
        <v>65.2</v>
      </c>
      <c r="AY52" s="1275">
        <v>59.4</v>
      </c>
      <c r="AZ52" s="1275">
        <v>72.3</v>
      </c>
      <c r="BA52" s="1275">
        <v>74.7</v>
      </c>
      <c r="BB52" s="1275">
        <v>83.6</v>
      </c>
      <c r="BC52" s="1275">
        <v>82.9</v>
      </c>
      <c r="BD52" s="1275">
        <v>77.5</v>
      </c>
      <c r="BE52" s="1275">
        <v>64.099999999999994</v>
      </c>
      <c r="BF52" s="1275">
        <v>70.2</v>
      </c>
      <c r="BG52" s="1275">
        <v>74.3</v>
      </c>
      <c r="BH52" s="1275">
        <v>80.599999999999994</v>
      </c>
      <c r="BI52" s="1276">
        <f>SUM(BJ52:BW52)/14</f>
        <v>61.550000000000004</v>
      </c>
      <c r="BJ52" s="1276">
        <v>24.4</v>
      </c>
      <c r="BK52" s="1276" t="s">
        <v>967</v>
      </c>
      <c r="BL52" s="1276">
        <v>64.5</v>
      </c>
      <c r="BM52" s="1276">
        <v>60.2</v>
      </c>
      <c r="BN52" s="1276">
        <v>59.4</v>
      </c>
      <c r="BO52" s="1276">
        <v>72.3</v>
      </c>
      <c r="BP52" s="1276">
        <v>47.7</v>
      </c>
      <c r="BQ52" s="1276">
        <v>83.6</v>
      </c>
      <c r="BR52" s="1276">
        <v>82.9</v>
      </c>
      <c r="BS52" s="1276">
        <v>77.5</v>
      </c>
      <c r="BT52" s="1276">
        <v>64.099999999999994</v>
      </c>
      <c r="BU52" s="1276">
        <v>70.2</v>
      </c>
      <c r="BV52" s="1276">
        <v>74.3</v>
      </c>
      <c r="BW52" s="1276">
        <v>80.599999999999994</v>
      </c>
      <c r="BX52" s="1170">
        <f t="shared" si="20"/>
        <v>93.116490166414536</v>
      </c>
      <c r="BY52" s="1742">
        <f t="shared" si="21"/>
        <v>90.362835570469798</v>
      </c>
      <c r="BZ52" s="1275"/>
      <c r="CA52" s="128">
        <v>65.900000000000006</v>
      </c>
      <c r="CB52" s="368">
        <f t="shared" ref="CB52:CB58" si="36">AT52-CA52</f>
        <v>2.2142857142857082</v>
      </c>
      <c r="CC52" s="369"/>
      <c r="CD52" s="31"/>
    </row>
    <row r="53" spans="1:82" s="530" customFormat="1" ht="21.95" customHeight="1">
      <c r="A53" s="1141"/>
      <c r="B53" s="1142" t="s">
        <v>22</v>
      </c>
      <c r="C53" s="1143" t="s">
        <v>26</v>
      </c>
      <c r="D53" s="1194">
        <f>SUM(E53:R53)/14</f>
        <v>13.428571428571429</v>
      </c>
      <c r="E53" s="1194">
        <v>33</v>
      </c>
      <c r="F53" s="1194">
        <v>17</v>
      </c>
      <c r="G53" s="1194">
        <v>10.5</v>
      </c>
      <c r="H53" s="1194">
        <v>13</v>
      </c>
      <c r="I53" s="1194">
        <v>15.5</v>
      </c>
      <c r="J53" s="1194">
        <v>14</v>
      </c>
      <c r="K53" s="1194">
        <v>11</v>
      </c>
      <c r="L53" s="1194">
        <v>7</v>
      </c>
      <c r="M53" s="1194">
        <v>10</v>
      </c>
      <c r="N53" s="1194">
        <v>10</v>
      </c>
      <c r="O53" s="1194">
        <v>13</v>
      </c>
      <c r="P53" s="1194">
        <v>13</v>
      </c>
      <c r="Q53" s="1194">
        <v>13</v>
      </c>
      <c r="R53" s="1194">
        <v>8</v>
      </c>
      <c r="S53" s="1195">
        <v>13.2</v>
      </c>
      <c r="T53" s="1195">
        <v>13.3</v>
      </c>
      <c r="U53" s="1194">
        <f>SUM(V53:Z53)/14</f>
        <v>6.3571428571428568</v>
      </c>
      <c r="V53" s="1196">
        <v>33</v>
      </c>
      <c r="W53" s="1196">
        <v>17</v>
      </c>
      <c r="X53" s="1196">
        <v>10.5</v>
      </c>
      <c r="Y53" s="1196">
        <v>13</v>
      </c>
      <c r="Z53" s="1196">
        <v>15.5</v>
      </c>
      <c r="AA53" s="1275">
        <v>13.492857142857146</v>
      </c>
      <c r="AB53" s="1275" t="e">
        <f>SUM(#REF!)/14</f>
        <v>#REF!</v>
      </c>
      <c r="AC53" s="1275">
        <v>13.7</v>
      </c>
      <c r="AD53" s="1275">
        <v>13.7</v>
      </c>
      <c r="AE53" s="1275">
        <f t="shared" ref="AE53:AE54" si="37">SUM(AF53:AS53)/14</f>
        <v>13.492857142857144</v>
      </c>
      <c r="AF53" s="1275">
        <v>33.6</v>
      </c>
      <c r="AG53" s="1275">
        <v>17.3</v>
      </c>
      <c r="AH53" s="1275">
        <v>12.5</v>
      </c>
      <c r="AI53" s="1275">
        <v>13.1</v>
      </c>
      <c r="AJ53" s="1275">
        <v>17.2</v>
      </c>
      <c r="AK53" s="1275">
        <v>15.3</v>
      </c>
      <c r="AL53" s="1275">
        <v>10.6</v>
      </c>
      <c r="AM53" s="1275">
        <v>7.7</v>
      </c>
      <c r="AN53" s="1275">
        <v>11</v>
      </c>
      <c r="AO53" s="1275">
        <v>9.6</v>
      </c>
      <c r="AP53" s="1275">
        <v>12.4</v>
      </c>
      <c r="AQ53" s="1275">
        <v>11</v>
      </c>
      <c r="AR53" s="1275">
        <v>9.9</v>
      </c>
      <c r="AS53" s="1275">
        <v>7.7</v>
      </c>
      <c r="AT53" s="1275">
        <f>SUM(AU53:BH53)/14</f>
        <v>12.864285714285714</v>
      </c>
      <c r="AU53" s="1275">
        <f>100-AU52-AU54</f>
        <v>30.699999999999996</v>
      </c>
      <c r="AV53" s="1275">
        <f t="shared" ref="AV53:BH53" si="38">100-AV52-AV54</f>
        <v>16.399999999999999</v>
      </c>
      <c r="AW53" s="1275">
        <f t="shared" si="38"/>
        <v>11.8</v>
      </c>
      <c r="AX53" s="1275">
        <f t="shared" si="38"/>
        <v>14.299999999999997</v>
      </c>
      <c r="AY53" s="1275">
        <f t="shared" si="38"/>
        <v>15.200000000000003</v>
      </c>
      <c r="AZ53" s="1275">
        <f t="shared" si="38"/>
        <v>15.200000000000003</v>
      </c>
      <c r="BA53" s="1275">
        <f t="shared" si="38"/>
        <v>10.599999999999998</v>
      </c>
      <c r="BB53" s="1275">
        <f t="shared" si="38"/>
        <v>7.5000000000000053</v>
      </c>
      <c r="BC53" s="1275">
        <f t="shared" si="38"/>
        <v>10.699999999999994</v>
      </c>
      <c r="BD53" s="1275">
        <f t="shared" si="38"/>
        <v>9.8000000000000007</v>
      </c>
      <c r="BE53" s="1275">
        <f t="shared" si="38"/>
        <v>12.500000000000007</v>
      </c>
      <c r="BF53" s="1275">
        <f t="shared" si="38"/>
        <v>9.5999999999999979</v>
      </c>
      <c r="BG53" s="1275">
        <f t="shared" si="38"/>
        <v>8.2000000000000028</v>
      </c>
      <c r="BH53" s="1275">
        <f t="shared" si="38"/>
        <v>7.600000000000005</v>
      </c>
      <c r="BI53" s="1276">
        <f>SUM(BJ53:BW53)/14</f>
        <v>11.578571428571426</v>
      </c>
      <c r="BJ53" s="1276">
        <v>20.7</v>
      </c>
      <c r="BK53" s="1276">
        <v>14.4</v>
      </c>
      <c r="BL53" s="1276">
        <v>11.8</v>
      </c>
      <c r="BM53" s="1276">
        <v>13.3</v>
      </c>
      <c r="BN53" s="1276">
        <v>14.2</v>
      </c>
      <c r="BO53" s="1276">
        <v>13.2</v>
      </c>
      <c r="BP53" s="1276">
        <v>10.6</v>
      </c>
      <c r="BQ53" s="1276">
        <v>7.5</v>
      </c>
      <c r="BR53" s="1276">
        <v>10.7</v>
      </c>
      <c r="BS53" s="1276">
        <v>9.8000000000000007</v>
      </c>
      <c r="BT53" s="1276">
        <v>10.5</v>
      </c>
      <c r="BU53" s="1276">
        <v>9.6</v>
      </c>
      <c r="BV53" s="1276">
        <v>8.1999999999999993</v>
      </c>
      <c r="BW53" s="1276">
        <v>7.6</v>
      </c>
      <c r="BX53" s="1170">
        <f t="shared" si="20"/>
        <v>84.515119916579764</v>
      </c>
      <c r="BY53" s="1742">
        <f t="shared" si="21"/>
        <v>90.005552470849508</v>
      </c>
      <c r="BZ53" s="1275"/>
      <c r="CA53" s="128">
        <v>13.6</v>
      </c>
      <c r="CB53" s="368">
        <f t="shared" si="36"/>
        <v>-0.73571428571428577</v>
      </c>
      <c r="CC53" s="369">
        <f>584+74</f>
        <v>658</v>
      </c>
      <c r="CD53" s="31"/>
    </row>
    <row r="54" spans="1:82" s="530" customFormat="1" ht="21.95" customHeight="1">
      <c r="A54" s="1141"/>
      <c r="B54" s="1142" t="s">
        <v>23</v>
      </c>
      <c r="C54" s="1143" t="s">
        <v>26</v>
      </c>
      <c r="D54" s="1194">
        <f>SUM(E54:R54)/14+0.5</f>
        <v>19.857142857142858</v>
      </c>
      <c r="E54" s="1194">
        <v>43</v>
      </c>
      <c r="F54" s="1194">
        <v>22.5</v>
      </c>
      <c r="G54" s="1194">
        <v>25</v>
      </c>
      <c r="H54" s="1194">
        <v>22</v>
      </c>
      <c r="I54" s="1194">
        <v>24</v>
      </c>
      <c r="J54" s="1194">
        <v>15</v>
      </c>
      <c r="K54" s="1194">
        <v>16.5</v>
      </c>
      <c r="L54" s="1194">
        <v>8</v>
      </c>
      <c r="M54" s="1194">
        <v>7</v>
      </c>
      <c r="N54" s="1194">
        <v>8</v>
      </c>
      <c r="O54" s="1194">
        <v>26</v>
      </c>
      <c r="P54" s="1194">
        <v>25</v>
      </c>
      <c r="Q54" s="1194">
        <v>15</v>
      </c>
      <c r="R54" s="1194">
        <v>14</v>
      </c>
      <c r="S54" s="1195">
        <v>18.899999999999999</v>
      </c>
      <c r="T54" s="1195">
        <v>19.100000000000001</v>
      </c>
      <c r="U54" s="1194">
        <f>SUM(V54:Z54)/14</f>
        <v>9.75</v>
      </c>
      <c r="V54" s="941">
        <v>43</v>
      </c>
      <c r="W54" s="941">
        <v>22.5</v>
      </c>
      <c r="X54" s="941">
        <v>25</v>
      </c>
      <c r="Y54" s="941">
        <v>22</v>
      </c>
      <c r="Z54" s="941">
        <v>24</v>
      </c>
      <c r="AA54" s="1275">
        <v>20.100000000000001</v>
      </c>
      <c r="AB54" s="1275" t="e">
        <f>SUM(#REF!)/14</f>
        <v>#REF!</v>
      </c>
      <c r="AC54" s="1275">
        <v>20.2</v>
      </c>
      <c r="AD54" s="1275">
        <v>20.2</v>
      </c>
      <c r="AE54" s="1275">
        <f t="shared" si="37"/>
        <v>20.2</v>
      </c>
      <c r="AF54" s="1275">
        <v>44.2</v>
      </c>
      <c r="AG54" s="1275">
        <v>24</v>
      </c>
      <c r="AH54" s="1275">
        <v>24.8</v>
      </c>
      <c r="AI54" s="1275">
        <v>22.7</v>
      </c>
      <c r="AJ54" s="1275">
        <v>25.3</v>
      </c>
      <c r="AK54" s="1275">
        <v>14.4</v>
      </c>
      <c r="AL54" s="1275">
        <v>16.899999999999999</v>
      </c>
      <c r="AM54" s="1275">
        <v>10.6</v>
      </c>
      <c r="AN54" s="1275">
        <v>7.5</v>
      </c>
      <c r="AO54" s="1275">
        <v>14.8</v>
      </c>
      <c r="AP54" s="1275">
        <v>25.7</v>
      </c>
      <c r="AQ54" s="1275">
        <v>21</v>
      </c>
      <c r="AR54" s="1275">
        <v>18.100000000000001</v>
      </c>
      <c r="AS54" s="1275">
        <v>12.8</v>
      </c>
      <c r="AT54" s="1275">
        <f>SUM(AU54:BH54)/14</f>
        <v>19.021428571428569</v>
      </c>
      <c r="AU54" s="1275">
        <v>45.1</v>
      </c>
      <c r="AV54" s="1275">
        <v>23.5</v>
      </c>
      <c r="AW54" s="1275">
        <v>23.7</v>
      </c>
      <c r="AX54" s="1275">
        <v>20.5</v>
      </c>
      <c r="AY54" s="1275">
        <v>25.4</v>
      </c>
      <c r="AZ54" s="1275">
        <v>12.5</v>
      </c>
      <c r="BA54" s="1275">
        <v>14.7</v>
      </c>
      <c r="BB54" s="1275">
        <v>8.9</v>
      </c>
      <c r="BC54" s="1275">
        <v>6.4</v>
      </c>
      <c r="BD54" s="1275">
        <v>12.7</v>
      </c>
      <c r="BE54" s="1275">
        <v>23.4</v>
      </c>
      <c r="BF54" s="1275">
        <v>20.2</v>
      </c>
      <c r="BG54" s="1275">
        <v>17.5</v>
      </c>
      <c r="BH54" s="1275">
        <v>11.8</v>
      </c>
      <c r="BI54" s="1276">
        <f>SUM(BJ54:BW54)/14</f>
        <v>16.457142857142859</v>
      </c>
      <c r="BJ54" s="1276">
        <v>35.1</v>
      </c>
      <c r="BK54" s="1276">
        <v>13.5</v>
      </c>
      <c r="BL54" s="1276">
        <v>20.7</v>
      </c>
      <c r="BM54" s="1276">
        <v>20.5</v>
      </c>
      <c r="BN54" s="1276">
        <v>12.5</v>
      </c>
      <c r="BO54" s="1276">
        <v>12.5</v>
      </c>
      <c r="BP54" s="1276">
        <v>14.7</v>
      </c>
      <c r="BQ54" s="1276">
        <v>8.9</v>
      </c>
      <c r="BR54" s="1276">
        <v>6.4</v>
      </c>
      <c r="BS54" s="1276">
        <v>12.7</v>
      </c>
      <c r="BT54" s="1276">
        <v>23.4</v>
      </c>
      <c r="BU54" s="1276">
        <v>20.2</v>
      </c>
      <c r="BV54" s="1276">
        <v>17.5</v>
      </c>
      <c r="BW54" s="1276">
        <v>11.8</v>
      </c>
      <c r="BX54" s="1170">
        <f t="shared" si="20"/>
        <v>81.471004243281484</v>
      </c>
      <c r="BY54" s="1742">
        <f t="shared" si="21"/>
        <v>86.518963574915531</v>
      </c>
      <c r="BZ54" s="1275"/>
      <c r="CA54" s="128">
        <v>20.5</v>
      </c>
      <c r="CB54" s="368">
        <f t="shared" si="36"/>
        <v>-1.4785714285714313</v>
      </c>
      <c r="CC54" s="369">
        <f>64+9</f>
        <v>73</v>
      </c>
      <c r="CD54" s="31"/>
    </row>
    <row r="55" spans="1:82" s="530" customFormat="1" ht="35.1" customHeight="1">
      <c r="A55" s="1141">
        <v>3</v>
      </c>
      <c r="B55" s="1142" t="s">
        <v>295</v>
      </c>
      <c r="C55" s="1143" t="s">
        <v>26</v>
      </c>
      <c r="D55" s="1195">
        <f>16972/D50*100</f>
        <v>56.819551389353862</v>
      </c>
      <c r="E55" s="1195">
        <f>2360/E50*100</f>
        <v>61.61879895561357</v>
      </c>
      <c r="F55" s="1195">
        <f>1345/F50*100</f>
        <v>53.800000000000004</v>
      </c>
      <c r="G55" s="1195">
        <f>878/G50*100</f>
        <v>45.492227979274617</v>
      </c>
      <c r="H55" s="1195">
        <f>771/H50*100</f>
        <v>71.388888888888886</v>
      </c>
      <c r="I55" s="1195">
        <f>1401/I50*100</f>
        <v>50.945454545454552</v>
      </c>
      <c r="J55" s="1195">
        <f>1150/J50*100</f>
        <v>77.702702702702695</v>
      </c>
      <c r="K55" s="1195">
        <f>872/K50*100</f>
        <v>48.988764044943821</v>
      </c>
      <c r="L55" s="1195">
        <f>785/L50*100</f>
        <v>37.38095238095238</v>
      </c>
      <c r="M55" s="1195">
        <f>1044/M50*100</f>
        <v>49.952153110047846</v>
      </c>
      <c r="N55" s="1195">
        <f>785/N50*100</f>
        <v>59.469696969696969</v>
      </c>
      <c r="O55" s="1195">
        <f>1022/O50*100</f>
        <v>73</v>
      </c>
      <c r="P55" s="1195">
        <f>1039/P50*100</f>
        <v>62.590361445783124</v>
      </c>
      <c r="Q55" s="1195">
        <f>1000/Q50*100</f>
        <v>71.428571428571431</v>
      </c>
      <c r="R55" s="1195">
        <f>1103/R50*100</f>
        <v>24.241758241758241</v>
      </c>
      <c r="S55" s="1195">
        <v>55.8</v>
      </c>
      <c r="T55" s="1195">
        <v>56.2</v>
      </c>
      <c r="U55" s="1194">
        <f>SUM(V55:Z55)/14</f>
        <v>20.685714285714287</v>
      </c>
      <c r="V55" s="1163">
        <v>68</v>
      </c>
      <c r="W55" s="1163">
        <v>53.8</v>
      </c>
      <c r="X55" s="1163">
        <v>45.5</v>
      </c>
      <c r="Y55" s="1163">
        <v>71.400000000000006</v>
      </c>
      <c r="Z55" s="1163">
        <v>50.9</v>
      </c>
      <c r="AA55" s="1275">
        <v>59.885714285714286</v>
      </c>
      <c r="AB55" s="1276">
        <v>63</v>
      </c>
      <c r="AC55" s="1276">
        <v>61.2</v>
      </c>
      <c r="AD55" s="1275">
        <v>62.1</v>
      </c>
      <c r="AE55" s="1275">
        <f>SUM(AF55:AS55)/14</f>
        <v>62.98571428571428</v>
      </c>
      <c r="AF55" s="1275">
        <v>73.400000000000006</v>
      </c>
      <c r="AG55" s="1275">
        <v>60.2</v>
      </c>
      <c r="AH55" s="1275">
        <v>60.3</v>
      </c>
      <c r="AI55" s="1275">
        <v>76</v>
      </c>
      <c r="AJ55" s="1275">
        <v>62.6</v>
      </c>
      <c r="AK55" s="1275">
        <v>80.5</v>
      </c>
      <c r="AL55" s="1275">
        <v>53</v>
      </c>
      <c r="AM55" s="1275">
        <v>43.1</v>
      </c>
      <c r="AN55" s="1275">
        <v>58.2</v>
      </c>
      <c r="AO55" s="1275">
        <v>62.4</v>
      </c>
      <c r="AP55" s="1275">
        <v>76.400000000000006</v>
      </c>
      <c r="AQ55" s="1275">
        <v>68.3</v>
      </c>
      <c r="AR55" s="1275">
        <v>74.8</v>
      </c>
      <c r="AS55" s="1275">
        <v>32.6</v>
      </c>
      <c r="AT55" s="1275">
        <f>SUM(AU55:BH55)/14</f>
        <v>65.992857142857147</v>
      </c>
      <c r="AU55" s="1275">
        <v>77.2</v>
      </c>
      <c r="AV55" s="1275">
        <v>63.5</v>
      </c>
      <c r="AW55" s="1275">
        <v>64.7</v>
      </c>
      <c r="AX55" s="1275">
        <v>79.400000000000006</v>
      </c>
      <c r="AY55" s="1275">
        <v>65.5</v>
      </c>
      <c r="AZ55" s="1275">
        <v>83.6</v>
      </c>
      <c r="BA55" s="1275">
        <v>56.4</v>
      </c>
      <c r="BB55" s="1275">
        <v>46.7</v>
      </c>
      <c r="BC55" s="1275">
        <v>61.2</v>
      </c>
      <c r="BD55" s="1275">
        <v>65.3</v>
      </c>
      <c r="BE55" s="1275">
        <v>78.7</v>
      </c>
      <c r="BF55" s="1275">
        <v>70.5</v>
      </c>
      <c r="BG55" s="1275">
        <v>77.400000000000006</v>
      </c>
      <c r="BH55" s="1275">
        <v>33.799999999999997</v>
      </c>
      <c r="BI55" s="1276">
        <f>SUM(BJ55:BW55)/14</f>
        <v>63.135714285714293</v>
      </c>
      <c r="BJ55" s="1276">
        <v>65.5</v>
      </c>
      <c r="BK55" s="1276">
        <v>63.4</v>
      </c>
      <c r="BL55" s="1276">
        <v>65.400000000000006</v>
      </c>
      <c r="BM55" s="1276">
        <v>67.599999999999994</v>
      </c>
      <c r="BN55" s="1276">
        <v>66</v>
      </c>
      <c r="BO55" s="1276">
        <v>85.6</v>
      </c>
      <c r="BP55" s="1276">
        <v>55.6</v>
      </c>
      <c r="BQ55" s="1276">
        <v>54.5</v>
      </c>
      <c r="BR55" s="1276">
        <v>66.7</v>
      </c>
      <c r="BS55" s="1276">
        <v>50.5</v>
      </c>
      <c r="BT55" s="1276">
        <v>66.7</v>
      </c>
      <c r="BU55" s="1276">
        <v>60.5</v>
      </c>
      <c r="BV55" s="1276">
        <v>65.400000000000006</v>
      </c>
      <c r="BW55" s="1276">
        <v>50.5</v>
      </c>
      <c r="BX55" s="1170">
        <f t="shared" si="20"/>
        <v>103.16293183940245</v>
      </c>
      <c r="BY55" s="1742">
        <f t="shared" si="21"/>
        <v>95.670527113323971</v>
      </c>
      <c r="BZ55" s="1276"/>
      <c r="CA55" s="128">
        <v>66</v>
      </c>
      <c r="CB55" s="368">
        <f t="shared" si="36"/>
        <v>-7.1428571428526766E-3</v>
      </c>
      <c r="CC55" s="369"/>
      <c r="CD55" s="31"/>
    </row>
    <row r="56" spans="1:82" s="1255" customFormat="1" ht="21.95" hidden="1" customHeight="1">
      <c r="A56" s="1148"/>
      <c r="B56" s="1149" t="s">
        <v>296</v>
      </c>
      <c r="C56" s="1150" t="s">
        <v>26</v>
      </c>
      <c r="D56" s="1160"/>
      <c r="E56" s="1160"/>
      <c r="F56" s="1160"/>
      <c r="G56" s="1160"/>
      <c r="H56" s="1160"/>
      <c r="I56" s="1160"/>
      <c r="J56" s="1160"/>
      <c r="K56" s="1160"/>
      <c r="L56" s="1160"/>
      <c r="M56" s="1160"/>
      <c r="N56" s="1160"/>
      <c r="O56" s="1160"/>
      <c r="P56" s="1160"/>
      <c r="Q56" s="1160"/>
      <c r="R56" s="1160"/>
      <c r="S56" s="1163"/>
      <c r="T56" s="1163">
        <v>54.2</v>
      </c>
      <c r="U56" s="1163"/>
      <c r="V56" s="1163"/>
      <c r="W56" s="1163"/>
      <c r="X56" s="1163"/>
      <c r="Y56" s="1163"/>
      <c r="Z56" s="1163"/>
      <c r="AA56" s="1275">
        <v>0</v>
      </c>
      <c r="AB56" s="933"/>
      <c r="AC56" s="933"/>
      <c r="AD56" s="933"/>
      <c r="AE56" s="1192"/>
      <c r="AF56" s="1192"/>
      <c r="AG56" s="1192"/>
      <c r="AH56" s="1192"/>
      <c r="AI56" s="1192"/>
      <c r="AJ56" s="1192"/>
      <c r="AK56" s="1192"/>
      <c r="AL56" s="1192"/>
      <c r="AM56" s="1192"/>
      <c r="AN56" s="1192"/>
      <c r="AO56" s="1192"/>
      <c r="AP56" s="1192"/>
      <c r="AQ56" s="1192"/>
      <c r="AR56" s="1192"/>
      <c r="AS56" s="1192"/>
      <c r="AT56" s="1277"/>
      <c r="AU56" s="1277"/>
      <c r="AV56" s="1277"/>
      <c r="AW56" s="1277"/>
      <c r="AX56" s="1277"/>
      <c r="AY56" s="1277"/>
      <c r="AZ56" s="1277"/>
      <c r="BA56" s="1277"/>
      <c r="BB56" s="1277"/>
      <c r="BC56" s="1277"/>
      <c r="BD56" s="1277"/>
      <c r="BE56" s="1277"/>
      <c r="BF56" s="1277"/>
      <c r="BG56" s="1277"/>
      <c r="BH56" s="1277"/>
      <c r="BI56" s="928"/>
      <c r="BJ56" s="928"/>
      <c r="BK56" s="928"/>
      <c r="BL56" s="928"/>
      <c r="BM56" s="928"/>
      <c r="BN56" s="928"/>
      <c r="BO56" s="928"/>
      <c r="BP56" s="928"/>
      <c r="BQ56" s="928"/>
      <c r="BR56" s="928"/>
      <c r="BS56" s="928"/>
      <c r="BT56" s="928"/>
      <c r="BU56" s="928"/>
      <c r="BV56" s="928"/>
      <c r="BW56" s="928"/>
      <c r="BX56" s="1170" t="e">
        <f t="shared" si="20"/>
        <v>#DIV/0!</v>
      </c>
      <c r="BY56" s="1742" t="e">
        <f t="shared" si="21"/>
        <v>#DIV/0!</v>
      </c>
      <c r="BZ56" s="933"/>
      <c r="CA56" s="1241"/>
      <c r="CB56" s="368">
        <f t="shared" si="36"/>
        <v>0</v>
      </c>
      <c r="CC56" s="1260"/>
      <c r="CD56" s="185"/>
    </row>
    <row r="57" spans="1:82" s="530" customFormat="1" ht="21.95" customHeight="1">
      <c r="A57" s="1141">
        <v>4</v>
      </c>
      <c r="B57" s="1142" t="s">
        <v>725</v>
      </c>
      <c r="C57" s="1143" t="s">
        <v>49</v>
      </c>
      <c r="D57" s="1197">
        <f>SUM(E57:R57)</f>
        <v>670</v>
      </c>
      <c r="E57" s="1198">
        <v>35</v>
      </c>
      <c r="F57" s="1198">
        <v>44</v>
      </c>
      <c r="G57" s="1198">
        <v>16</v>
      </c>
      <c r="H57" s="1198">
        <v>40</v>
      </c>
      <c r="I57" s="1198">
        <v>75</v>
      </c>
      <c r="J57" s="1198">
        <v>70</v>
      </c>
      <c r="K57" s="1198">
        <v>40</v>
      </c>
      <c r="L57" s="1198">
        <v>40</v>
      </c>
      <c r="M57" s="1198">
        <v>50</v>
      </c>
      <c r="N57" s="1198">
        <v>35</v>
      </c>
      <c r="O57" s="1198">
        <v>50</v>
      </c>
      <c r="P57" s="1198">
        <v>70</v>
      </c>
      <c r="Q57" s="1198">
        <v>30</v>
      </c>
      <c r="R57" s="1198">
        <v>75</v>
      </c>
      <c r="S57" s="1198">
        <v>418</v>
      </c>
      <c r="T57" s="1278">
        <v>495</v>
      </c>
      <c r="U57" s="956">
        <v>1012</v>
      </c>
      <c r="V57" s="938">
        <v>35</v>
      </c>
      <c r="W57" s="938">
        <v>44</v>
      </c>
      <c r="X57" s="938">
        <v>16</v>
      </c>
      <c r="Y57" s="938">
        <v>40</v>
      </c>
      <c r="Z57" s="938">
        <v>75</v>
      </c>
      <c r="AA57" s="1215">
        <v>705</v>
      </c>
      <c r="AB57" s="1215" t="e">
        <f>SUM(#REF!)</f>
        <v>#REF!</v>
      </c>
      <c r="AC57" s="1215">
        <v>356</v>
      </c>
      <c r="AD57" s="1215">
        <v>635</v>
      </c>
      <c r="AE57" s="1215">
        <f>SUM(AF57:AS57)</f>
        <v>705</v>
      </c>
      <c r="AF57" s="1215">
        <v>90</v>
      </c>
      <c r="AG57" s="1215">
        <v>85</v>
      </c>
      <c r="AH57" s="1215">
        <v>50</v>
      </c>
      <c r="AI57" s="1215">
        <v>35</v>
      </c>
      <c r="AJ57" s="1215">
        <v>135</v>
      </c>
      <c r="AK57" s="1215">
        <v>32</v>
      </c>
      <c r="AL57" s="1215">
        <v>41</v>
      </c>
      <c r="AM57" s="1215">
        <v>33</v>
      </c>
      <c r="AN57" s="1215">
        <v>31</v>
      </c>
      <c r="AO57" s="1215">
        <v>30</v>
      </c>
      <c r="AP57" s="1215">
        <v>45</v>
      </c>
      <c r="AQ57" s="1215">
        <v>32</v>
      </c>
      <c r="AR57" s="1215">
        <v>30</v>
      </c>
      <c r="AS57" s="1215">
        <v>36</v>
      </c>
      <c r="AT57" s="1215">
        <f>SUM(AU57:BH57)</f>
        <v>760</v>
      </c>
      <c r="AU57" s="1215">
        <v>95</v>
      </c>
      <c r="AV57" s="1215">
        <v>91</v>
      </c>
      <c r="AW57" s="1215">
        <v>56</v>
      </c>
      <c r="AX57" s="1215">
        <v>41</v>
      </c>
      <c r="AY57" s="1215">
        <v>100</v>
      </c>
      <c r="AZ57" s="1215">
        <v>40</v>
      </c>
      <c r="BA57" s="1215">
        <v>47</v>
      </c>
      <c r="BB57" s="1215">
        <v>39</v>
      </c>
      <c r="BC57" s="1215">
        <v>39</v>
      </c>
      <c r="BD57" s="1215">
        <v>39</v>
      </c>
      <c r="BE57" s="1215">
        <v>51</v>
      </c>
      <c r="BF57" s="1215">
        <v>40</v>
      </c>
      <c r="BG57" s="1215">
        <v>41</v>
      </c>
      <c r="BH57" s="1215">
        <v>41</v>
      </c>
      <c r="BI57" s="1741">
        <f>SUM(BJ57:BW57)</f>
        <v>475</v>
      </c>
      <c r="BJ57" s="1741">
        <v>35</v>
      </c>
      <c r="BK57" s="1741">
        <v>30</v>
      </c>
      <c r="BL57" s="1741">
        <v>30</v>
      </c>
      <c r="BM57" s="1741">
        <v>30</v>
      </c>
      <c r="BN57" s="1741">
        <v>40</v>
      </c>
      <c r="BO57" s="1741">
        <v>35</v>
      </c>
      <c r="BP57" s="1741">
        <v>36</v>
      </c>
      <c r="BQ57" s="1741">
        <v>34</v>
      </c>
      <c r="BR57" s="1741">
        <v>35</v>
      </c>
      <c r="BS57" s="1741">
        <v>32</v>
      </c>
      <c r="BT57" s="1741">
        <v>35</v>
      </c>
      <c r="BU57" s="1741">
        <v>36</v>
      </c>
      <c r="BV57" s="1741">
        <v>30</v>
      </c>
      <c r="BW57" s="1741">
        <v>37</v>
      </c>
      <c r="BX57" s="1170">
        <f t="shared" si="20"/>
        <v>133.42696629213484</v>
      </c>
      <c r="BY57" s="1742">
        <f t="shared" si="21"/>
        <v>62.5</v>
      </c>
      <c r="BZ57" s="1215"/>
      <c r="CA57" s="136">
        <v>760</v>
      </c>
      <c r="CB57" s="368">
        <f t="shared" si="36"/>
        <v>0</v>
      </c>
      <c r="CC57" s="432"/>
      <c r="CD57" s="185"/>
    </row>
    <row r="58" spans="1:82" s="534" customFormat="1" ht="21.95" customHeight="1">
      <c r="A58" s="1199"/>
      <c r="B58" s="1200" t="s">
        <v>297</v>
      </c>
      <c r="C58" s="1223" t="s">
        <v>49</v>
      </c>
      <c r="D58" s="1201">
        <f>SUM(E58:R58)</f>
        <v>310</v>
      </c>
      <c r="E58" s="1201">
        <v>20</v>
      </c>
      <c r="F58" s="1201">
        <v>20</v>
      </c>
      <c r="G58" s="1201">
        <v>15</v>
      </c>
      <c r="H58" s="1201">
        <v>25</v>
      </c>
      <c r="I58" s="1201">
        <v>20</v>
      </c>
      <c r="J58" s="1201">
        <v>40</v>
      </c>
      <c r="K58" s="1201">
        <v>20</v>
      </c>
      <c r="L58" s="1201">
        <v>20</v>
      </c>
      <c r="M58" s="1201">
        <v>15</v>
      </c>
      <c r="N58" s="1201">
        <v>15</v>
      </c>
      <c r="O58" s="1201">
        <v>25</v>
      </c>
      <c r="P58" s="1201">
        <v>30</v>
      </c>
      <c r="Q58" s="1201">
        <v>10</v>
      </c>
      <c r="R58" s="1201">
        <v>35</v>
      </c>
      <c r="S58" s="1202">
        <v>196</v>
      </c>
      <c r="T58" s="1203">
        <v>231</v>
      </c>
      <c r="U58" s="1204">
        <v>492</v>
      </c>
      <c r="V58" s="1279">
        <v>20</v>
      </c>
      <c r="W58" s="1279">
        <v>20</v>
      </c>
      <c r="X58" s="1279">
        <v>15</v>
      </c>
      <c r="Y58" s="1279">
        <v>25</v>
      </c>
      <c r="Z58" s="1279">
        <v>20</v>
      </c>
      <c r="AA58" s="1280">
        <v>363</v>
      </c>
      <c r="AB58" s="1280" t="e">
        <f>SUM(#REF!)</f>
        <v>#REF!</v>
      </c>
      <c r="AC58" s="1280">
        <v>130</v>
      </c>
      <c r="AD58" s="1280">
        <v>220</v>
      </c>
      <c r="AE58" s="1280">
        <f>SUM(AF58:AS58)</f>
        <v>340</v>
      </c>
      <c r="AF58" s="1280">
        <v>40</v>
      </c>
      <c r="AG58" s="1280">
        <v>40</v>
      </c>
      <c r="AH58" s="1280">
        <v>25</v>
      </c>
      <c r="AI58" s="1280">
        <v>16</v>
      </c>
      <c r="AJ58" s="1280">
        <v>70</v>
      </c>
      <c r="AK58" s="1280">
        <v>16</v>
      </c>
      <c r="AL58" s="1280">
        <v>15</v>
      </c>
      <c r="AM58" s="1280">
        <v>17</v>
      </c>
      <c r="AN58" s="1280">
        <v>15</v>
      </c>
      <c r="AO58" s="1280">
        <v>15</v>
      </c>
      <c r="AP58" s="1280">
        <v>25</v>
      </c>
      <c r="AQ58" s="1280">
        <v>17</v>
      </c>
      <c r="AR58" s="1280">
        <v>14</v>
      </c>
      <c r="AS58" s="1280">
        <v>15</v>
      </c>
      <c r="AT58" s="1280">
        <f>SUM(AU58:BH58)</f>
        <v>326</v>
      </c>
      <c r="AU58" s="1280">
        <v>38</v>
      </c>
      <c r="AV58" s="1280">
        <v>37</v>
      </c>
      <c r="AW58" s="1280">
        <v>24</v>
      </c>
      <c r="AX58" s="1280">
        <v>14</v>
      </c>
      <c r="AY58" s="1280">
        <v>68</v>
      </c>
      <c r="AZ58" s="1280">
        <v>15</v>
      </c>
      <c r="BA58" s="1280">
        <v>15</v>
      </c>
      <c r="BB58" s="1280">
        <v>16</v>
      </c>
      <c r="BC58" s="1280">
        <v>15</v>
      </c>
      <c r="BD58" s="1280">
        <v>15</v>
      </c>
      <c r="BE58" s="1280">
        <v>24</v>
      </c>
      <c r="BF58" s="1280">
        <v>16</v>
      </c>
      <c r="BG58" s="1280">
        <v>14</v>
      </c>
      <c r="BH58" s="1280">
        <v>15</v>
      </c>
      <c r="BI58" s="1740">
        <f>SUM(BJ58:BW58)</f>
        <v>181</v>
      </c>
      <c r="BJ58" s="1740">
        <v>15</v>
      </c>
      <c r="BK58" s="1740">
        <v>15</v>
      </c>
      <c r="BL58" s="1740">
        <v>15</v>
      </c>
      <c r="BM58" s="1740">
        <v>10</v>
      </c>
      <c r="BN58" s="1740">
        <v>25</v>
      </c>
      <c r="BO58" s="1740">
        <v>10</v>
      </c>
      <c r="BP58" s="1740">
        <v>10</v>
      </c>
      <c r="BQ58" s="1740">
        <v>12</v>
      </c>
      <c r="BR58" s="1740">
        <v>9</v>
      </c>
      <c r="BS58" s="1740">
        <v>10</v>
      </c>
      <c r="BT58" s="1740">
        <v>15</v>
      </c>
      <c r="BU58" s="1740">
        <v>10</v>
      </c>
      <c r="BV58" s="1740">
        <v>15</v>
      </c>
      <c r="BW58" s="1740">
        <v>10</v>
      </c>
      <c r="BX58" s="1174">
        <f t="shared" si="20"/>
        <v>139.23076923076923</v>
      </c>
      <c r="BY58" s="1999">
        <f t="shared" si="21"/>
        <v>55.521472392638039</v>
      </c>
      <c r="BZ58" s="1280"/>
      <c r="CA58" s="1281">
        <v>326</v>
      </c>
      <c r="CB58" s="1252">
        <f t="shared" si="36"/>
        <v>0</v>
      </c>
      <c r="CC58" s="533"/>
      <c r="CD58" s="189"/>
    </row>
    <row r="59" spans="1:82" s="530" customFormat="1" ht="35.1" customHeight="1">
      <c r="A59" s="1141">
        <v>5</v>
      </c>
      <c r="B59" s="1142" t="s">
        <v>298</v>
      </c>
      <c r="C59" s="1143" t="s">
        <v>26</v>
      </c>
      <c r="D59" s="1205">
        <f>E59</f>
        <v>3.8363171355498724</v>
      </c>
      <c r="E59" s="1205">
        <f>150/E45*100</f>
        <v>3.8363171355498724</v>
      </c>
      <c r="F59" s="1160"/>
      <c r="G59" s="1160"/>
      <c r="H59" s="1160"/>
      <c r="I59" s="1160"/>
      <c r="J59" s="1160"/>
      <c r="K59" s="1160"/>
      <c r="L59" s="1160"/>
      <c r="M59" s="1160"/>
      <c r="N59" s="1160"/>
      <c r="O59" s="1160"/>
      <c r="P59" s="1160"/>
      <c r="Q59" s="1160"/>
      <c r="R59" s="1160"/>
      <c r="S59" s="1192">
        <v>3.6</v>
      </c>
      <c r="T59" s="928">
        <v>3.6</v>
      </c>
      <c r="U59" s="1192">
        <f>V59</f>
        <v>3.8</v>
      </c>
      <c r="V59" s="1163">
        <v>3.8</v>
      </c>
      <c r="W59" s="1163"/>
      <c r="X59" s="1163"/>
      <c r="Y59" s="1163"/>
      <c r="Z59" s="1163"/>
      <c r="AA59" s="1275">
        <v>3.8</v>
      </c>
      <c r="AB59" s="1275" t="e">
        <f>#REF!</f>
        <v>#REF!</v>
      </c>
      <c r="AC59" s="1275">
        <v>3.7</v>
      </c>
      <c r="AD59" s="1275">
        <v>3.7</v>
      </c>
      <c r="AE59" s="1275">
        <f>SUM(AF59:AS59)/1</f>
        <v>3.7</v>
      </c>
      <c r="AF59" s="1275">
        <v>3.7</v>
      </c>
      <c r="AG59" s="1275"/>
      <c r="AH59" s="1275"/>
      <c r="AI59" s="1275"/>
      <c r="AJ59" s="1275"/>
      <c r="AK59" s="1275"/>
      <c r="AL59" s="1275"/>
      <c r="AM59" s="1275"/>
      <c r="AN59" s="1275"/>
      <c r="AO59" s="1275"/>
      <c r="AP59" s="1275"/>
      <c r="AQ59" s="1275"/>
      <c r="AR59" s="1275"/>
      <c r="AS59" s="1275"/>
      <c r="AT59" s="1275">
        <f>SUM(AU59:BH59)/1</f>
        <v>3.6</v>
      </c>
      <c r="AU59" s="1275">
        <v>3.6</v>
      </c>
      <c r="AV59" s="1275"/>
      <c r="AW59" s="1275"/>
      <c r="AX59" s="1275"/>
      <c r="AY59" s="1275"/>
      <c r="AZ59" s="1275"/>
      <c r="BA59" s="1275"/>
      <c r="BB59" s="1275"/>
      <c r="BC59" s="1275"/>
      <c r="BD59" s="1275"/>
      <c r="BE59" s="1275"/>
      <c r="BF59" s="1275"/>
      <c r="BG59" s="1275"/>
      <c r="BH59" s="1275"/>
      <c r="BI59" s="1276">
        <v>2.8</v>
      </c>
      <c r="BJ59" s="1276">
        <v>2.8</v>
      </c>
      <c r="BK59" s="1276"/>
      <c r="BL59" s="1276"/>
      <c r="BM59" s="1276"/>
      <c r="BN59" s="1276"/>
      <c r="BO59" s="1276"/>
      <c r="BP59" s="1276"/>
      <c r="BQ59" s="1276"/>
      <c r="BR59" s="1276"/>
      <c r="BS59" s="1276"/>
      <c r="BT59" s="1276"/>
      <c r="BU59" s="1276"/>
      <c r="BV59" s="1276"/>
      <c r="BW59" s="1276"/>
      <c r="BX59" s="1170">
        <f t="shared" si="20"/>
        <v>75.675675675675663</v>
      </c>
      <c r="BY59" s="1742">
        <f t="shared" si="21"/>
        <v>77.777777777777757</v>
      </c>
      <c r="BZ59" s="1275"/>
      <c r="CA59" s="136"/>
      <c r="CB59" s="484"/>
      <c r="CC59" s="432"/>
      <c r="CD59" s="185"/>
    </row>
    <row r="60" spans="1:82" s="1255" customFormat="1" ht="35.1" customHeight="1">
      <c r="A60" s="1148"/>
      <c r="B60" s="1149" t="s">
        <v>299</v>
      </c>
      <c r="C60" s="1150" t="s">
        <v>26</v>
      </c>
      <c r="D60" s="1206">
        <f>E60</f>
        <v>3.5135135135135136</v>
      </c>
      <c r="E60" s="1206">
        <f>65/1850*100</f>
        <v>3.5135135135135136</v>
      </c>
      <c r="F60" s="1207"/>
      <c r="G60" s="1207"/>
      <c r="H60" s="1207"/>
      <c r="I60" s="1207"/>
      <c r="J60" s="1207"/>
      <c r="K60" s="1207"/>
      <c r="L60" s="1207"/>
      <c r="M60" s="1207"/>
      <c r="N60" s="1207"/>
      <c r="O60" s="1207"/>
      <c r="P60" s="1207"/>
      <c r="Q60" s="1207"/>
      <c r="R60" s="1207"/>
      <c r="S60" s="1208">
        <v>3.6</v>
      </c>
      <c r="T60" s="950">
        <v>3.6</v>
      </c>
      <c r="U60" s="1208">
        <f>V60</f>
        <v>3.5</v>
      </c>
      <c r="V60" s="1282">
        <v>3.5</v>
      </c>
      <c r="W60" s="1282"/>
      <c r="X60" s="1282"/>
      <c r="Y60" s="1282"/>
      <c r="Z60" s="1282"/>
      <c r="AA60" s="1283">
        <v>3.5</v>
      </c>
      <c r="AB60" s="1283" t="e">
        <f>#REF!</f>
        <v>#REF!</v>
      </c>
      <c r="AC60" s="1283">
        <v>3.5</v>
      </c>
      <c r="AD60" s="1283">
        <v>3.5</v>
      </c>
      <c r="AE60" s="1283">
        <f>SUM(AF60:AS60)/1</f>
        <v>3.5</v>
      </c>
      <c r="AF60" s="1283">
        <v>3.5</v>
      </c>
      <c r="AG60" s="1283"/>
      <c r="AH60" s="1283"/>
      <c r="AI60" s="1283"/>
      <c r="AJ60" s="1283"/>
      <c r="AK60" s="1283"/>
      <c r="AL60" s="1283"/>
      <c r="AM60" s="1283"/>
      <c r="AN60" s="1283"/>
      <c r="AO60" s="1283"/>
      <c r="AP60" s="1283"/>
      <c r="AQ60" s="1283"/>
      <c r="AR60" s="1283"/>
      <c r="AS60" s="1283"/>
      <c r="AT60" s="1283">
        <f>SUM(AU60:BH60)/1</f>
        <v>3.4</v>
      </c>
      <c r="AU60" s="1283">
        <v>3.4</v>
      </c>
      <c r="AV60" s="1283"/>
      <c r="AW60" s="1283"/>
      <c r="AX60" s="1283"/>
      <c r="AY60" s="1283"/>
      <c r="AZ60" s="1283"/>
      <c r="BA60" s="1283"/>
      <c r="BB60" s="1283"/>
      <c r="BC60" s="1283"/>
      <c r="BD60" s="1283"/>
      <c r="BE60" s="1283"/>
      <c r="BF60" s="1283"/>
      <c r="BG60" s="1283"/>
      <c r="BH60" s="1283"/>
      <c r="BI60" s="1756">
        <v>2.5</v>
      </c>
      <c r="BJ60" s="1756">
        <v>2.5</v>
      </c>
      <c r="BK60" s="1756"/>
      <c r="BL60" s="1756"/>
      <c r="BM60" s="1756"/>
      <c r="BN60" s="1756"/>
      <c r="BO60" s="1756"/>
      <c r="BP60" s="1756"/>
      <c r="BQ60" s="1756"/>
      <c r="BR60" s="1756"/>
      <c r="BS60" s="1756"/>
      <c r="BT60" s="1756"/>
      <c r="BU60" s="1756"/>
      <c r="BV60" s="1756"/>
      <c r="BW60" s="1756"/>
      <c r="BX60" s="1170">
        <f t="shared" si="20"/>
        <v>71.428571428571416</v>
      </c>
      <c r="BY60" s="1742">
        <f t="shared" si="21"/>
        <v>73.529411764705884</v>
      </c>
      <c r="BZ60" s="1283"/>
      <c r="CA60" s="1241"/>
      <c r="CB60" s="1266"/>
      <c r="CC60" s="1260"/>
      <c r="CD60" s="32"/>
    </row>
    <row r="61" spans="1:82" s="530" customFormat="1" ht="35.1" customHeight="1">
      <c r="A61" s="1141">
        <v>6</v>
      </c>
      <c r="B61" s="1142" t="s">
        <v>300</v>
      </c>
      <c r="C61" s="1143" t="s">
        <v>26</v>
      </c>
      <c r="D61" s="1209">
        <f>SUM(F61:R61)/14</f>
        <v>3.6547862300120109</v>
      </c>
      <c r="E61" s="1160"/>
      <c r="F61" s="1205">
        <f>70/F45*100</f>
        <v>2.7450980392156863</v>
      </c>
      <c r="G61" s="1205">
        <f t="shared" ref="G61:P61" si="39">70/G45*100</f>
        <v>3.3333333333333335</v>
      </c>
      <c r="H61" s="1205">
        <f>50/H45*100</f>
        <v>4.4642857142857144</v>
      </c>
      <c r="I61" s="1205">
        <f t="shared" si="39"/>
        <v>2.422145328719723</v>
      </c>
      <c r="J61" s="1205">
        <f t="shared" si="39"/>
        <v>4.5161290322580641</v>
      </c>
      <c r="K61" s="1205">
        <f>90/K45*100</f>
        <v>5.0561797752808983</v>
      </c>
      <c r="L61" s="1205">
        <f>110/L45*100</f>
        <v>5.1162790697674421</v>
      </c>
      <c r="M61" s="1205">
        <f>90/M45*100</f>
        <v>4.1860465116279073</v>
      </c>
      <c r="N61" s="1205">
        <f t="shared" si="39"/>
        <v>4.9645390070921991</v>
      </c>
      <c r="O61" s="1205">
        <f>70/O45*100</f>
        <v>4.666666666666667</v>
      </c>
      <c r="P61" s="1205">
        <f t="shared" si="39"/>
        <v>3.9106145251396649</v>
      </c>
      <c r="Q61" s="1205">
        <f>65/Q45*100</f>
        <v>4.4827586206896548</v>
      </c>
      <c r="R61" s="1205">
        <f>60/R45*100</f>
        <v>1.3029315960912053</v>
      </c>
      <c r="S61" s="1192">
        <v>3.7</v>
      </c>
      <c r="T61" s="928">
        <v>3.7</v>
      </c>
      <c r="U61" s="1210">
        <f>SUM(W61:Z61)/14</f>
        <v>0.88571428571428579</v>
      </c>
      <c r="V61" s="1163"/>
      <c r="W61" s="1163">
        <v>2.7</v>
      </c>
      <c r="X61" s="1163">
        <v>3</v>
      </c>
      <c r="Y61" s="1163">
        <v>4.3</v>
      </c>
      <c r="Z61" s="1163">
        <v>2.4</v>
      </c>
      <c r="AA61" s="1275">
        <v>3.615384615384615</v>
      </c>
      <c r="AB61" s="1275" t="e">
        <f>SUM(#REF!)/13</f>
        <v>#REF!</v>
      </c>
      <c r="AC61" s="1275">
        <v>3.6</v>
      </c>
      <c r="AD61" s="1275">
        <v>3.6</v>
      </c>
      <c r="AE61" s="1275">
        <f>SUM(AF61:AS61)/13</f>
        <v>3.615384615384615</v>
      </c>
      <c r="AF61" s="1275"/>
      <c r="AG61" s="1275">
        <v>2.5</v>
      </c>
      <c r="AH61" s="1275">
        <v>2.6</v>
      </c>
      <c r="AI61" s="1275">
        <v>3.3</v>
      </c>
      <c r="AJ61" s="1275">
        <v>2.4</v>
      </c>
      <c r="AK61" s="1275">
        <v>3.5</v>
      </c>
      <c r="AL61" s="1275">
        <v>5</v>
      </c>
      <c r="AM61" s="1275">
        <v>5</v>
      </c>
      <c r="AN61" s="1275">
        <v>4.2</v>
      </c>
      <c r="AO61" s="1275">
        <v>4.5</v>
      </c>
      <c r="AP61" s="1275">
        <v>3.9</v>
      </c>
      <c r="AQ61" s="1275">
        <v>3.8</v>
      </c>
      <c r="AR61" s="1275">
        <v>3.8</v>
      </c>
      <c r="AS61" s="1275">
        <v>2.5</v>
      </c>
      <c r="AT61" s="1275">
        <f>SUM(AU61:BH61)/13</f>
        <v>3.5153846153846158</v>
      </c>
      <c r="AU61" s="1275"/>
      <c r="AV61" s="1275">
        <v>2.4</v>
      </c>
      <c r="AW61" s="1275">
        <v>2.5</v>
      </c>
      <c r="AX61" s="1275">
        <v>3.2</v>
      </c>
      <c r="AY61" s="1275">
        <v>2.2999999999999998</v>
      </c>
      <c r="AZ61" s="1275">
        <v>3.4</v>
      </c>
      <c r="BA61" s="1275">
        <v>4.9000000000000004</v>
      </c>
      <c r="BB61" s="1275">
        <v>4.9000000000000004</v>
      </c>
      <c r="BC61" s="1275">
        <v>4.0999999999999996</v>
      </c>
      <c r="BD61" s="1275">
        <v>4.4000000000000004</v>
      </c>
      <c r="BE61" s="1275">
        <v>3.8</v>
      </c>
      <c r="BF61" s="1275">
        <v>3.7</v>
      </c>
      <c r="BG61" s="1275">
        <v>3.7</v>
      </c>
      <c r="BH61" s="1275">
        <v>2.4</v>
      </c>
      <c r="BI61" s="1276">
        <v>3</v>
      </c>
      <c r="BJ61" s="1276"/>
      <c r="BK61" s="1276">
        <v>2.4</v>
      </c>
      <c r="BL61" s="1276">
        <v>2.5</v>
      </c>
      <c r="BM61" s="1276">
        <v>3.2</v>
      </c>
      <c r="BN61" s="1276">
        <v>2.2999999999999998</v>
      </c>
      <c r="BO61" s="1276">
        <v>3.4</v>
      </c>
      <c r="BP61" s="1276">
        <v>4.5</v>
      </c>
      <c r="BQ61" s="1276">
        <v>4.5</v>
      </c>
      <c r="BR61" s="1276">
        <v>4.0999999999999996</v>
      </c>
      <c r="BS61" s="1276">
        <v>4.4000000000000004</v>
      </c>
      <c r="BT61" s="1276">
        <v>3.8</v>
      </c>
      <c r="BU61" s="1276">
        <v>3.7</v>
      </c>
      <c r="BV61" s="1276">
        <v>3.7</v>
      </c>
      <c r="BW61" s="1276">
        <v>2.4</v>
      </c>
      <c r="BX61" s="1170">
        <f t="shared" si="20"/>
        <v>83.333333333333329</v>
      </c>
      <c r="BY61" s="1742">
        <f t="shared" si="21"/>
        <v>85.339168490153156</v>
      </c>
      <c r="BZ61" s="1275"/>
      <c r="CA61" s="136"/>
      <c r="CB61" s="484"/>
      <c r="CC61" s="432"/>
      <c r="CD61" s="185"/>
    </row>
    <row r="62" spans="1:82" s="1255" customFormat="1" ht="35.1" customHeight="1">
      <c r="A62" s="1148"/>
      <c r="B62" s="1149" t="s">
        <v>301</v>
      </c>
      <c r="C62" s="1150" t="s">
        <v>26</v>
      </c>
      <c r="D62" s="1211">
        <f>SUM(F62:R62)/14</f>
        <v>2.9010088272383898</v>
      </c>
      <c r="E62" s="1207"/>
      <c r="F62" s="1206">
        <f>16/1260*100</f>
        <v>1.2698412698412698</v>
      </c>
      <c r="G62" s="1206">
        <f>25/1000*100</f>
        <v>2.5</v>
      </c>
      <c r="H62" s="1206">
        <f>15/490*100</f>
        <v>3.0612244897959182</v>
      </c>
      <c r="I62" s="1206">
        <f>25/1360*100</f>
        <v>1.8382352941176472</v>
      </c>
      <c r="J62" s="1206">
        <f>22/600*100</f>
        <v>3.6666666666666665</v>
      </c>
      <c r="K62" s="1206">
        <f>33/870*100</f>
        <v>3.7931034482758621</v>
      </c>
      <c r="L62" s="1206">
        <f>39/990*100</f>
        <v>3.939393939393939</v>
      </c>
      <c r="M62" s="1206">
        <f>40/1220*100</f>
        <v>3.278688524590164</v>
      </c>
      <c r="N62" s="1206">
        <f>23/480*100</f>
        <v>4.791666666666667</v>
      </c>
      <c r="O62" s="1206">
        <f>35/880*100</f>
        <v>3.9772727272727271</v>
      </c>
      <c r="P62" s="1206">
        <f>27/860*100</f>
        <v>3.1395348837209305</v>
      </c>
      <c r="Q62" s="1206">
        <f>28/660*100</f>
        <v>4.2424242424242431</v>
      </c>
      <c r="R62" s="1206">
        <f>25/2240*100</f>
        <v>1.1160714285714286</v>
      </c>
      <c r="S62" s="1208">
        <v>3</v>
      </c>
      <c r="T62" s="950">
        <v>2.9</v>
      </c>
      <c r="U62" s="1212">
        <f>SUM(W62:Z62)/14</f>
        <v>0.6071428571428571</v>
      </c>
      <c r="V62" s="1282"/>
      <c r="W62" s="1282">
        <v>1.3</v>
      </c>
      <c r="X62" s="1282">
        <v>2.2999999999999998</v>
      </c>
      <c r="Y62" s="1282">
        <v>3.1</v>
      </c>
      <c r="Z62" s="1282">
        <v>1.8</v>
      </c>
      <c r="AA62" s="1283">
        <v>2.7230769230769232</v>
      </c>
      <c r="AB62" s="1283" t="e">
        <f>SUM(#REF!)/13</f>
        <v>#REF!</v>
      </c>
      <c r="AC62" s="1283">
        <v>3.5</v>
      </c>
      <c r="AD62" s="1283">
        <v>3.5</v>
      </c>
      <c r="AE62" s="1283">
        <f>SUM(AF62:AS62)/13</f>
        <v>3.4538461538461536</v>
      </c>
      <c r="AF62" s="1283"/>
      <c r="AG62" s="1283">
        <v>2.2999999999999998</v>
      </c>
      <c r="AH62" s="1283">
        <v>2.4</v>
      </c>
      <c r="AI62" s="1283">
        <v>3.1</v>
      </c>
      <c r="AJ62" s="1283">
        <v>2.2000000000000002</v>
      </c>
      <c r="AK62" s="1283">
        <v>3.3</v>
      </c>
      <c r="AL62" s="1283">
        <v>4.8</v>
      </c>
      <c r="AM62" s="1283">
        <v>4.9000000000000004</v>
      </c>
      <c r="AN62" s="1283">
        <v>4.0999999999999996</v>
      </c>
      <c r="AO62" s="1283">
        <v>4.4000000000000004</v>
      </c>
      <c r="AP62" s="1283">
        <v>3.8</v>
      </c>
      <c r="AQ62" s="1283">
        <v>3.7</v>
      </c>
      <c r="AR62" s="1283">
        <v>3.6</v>
      </c>
      <c r="AS62" s="1283">
        <v>2.2999999999999998</v>
      </c>
      <c r="AT62" s="1283">
        <f>SUM(AU62:BH62)/13</f>
        <v>3.3538461538461544</v>
      </c>
      <c r="AU62" s="1283"/>
      <c r="AV62" s="1283">
        <v>2.2000000000000002</v>
      </c>
      <c r="AW62" s="1283">
        <v>2.2999999999999998</v>
      </c>
      <c r="AX62" s="1283">
        <v>3</v>
      </c>
      <c r="AY62" s="1283">
        <v>2.1</v>
      </c>
      <c r="AZ62" s="1283">
        <v>3.2</v>
      </c>
      <c r="BA62" s="1283">
        <v>4.7</v>
      </c>
      <c r="BB62" s="1283">
        <v>4.8</v>
      </c>
      <c r="BC62" s="1283">
        <v>4</v>
      </c>
      <c r="BD62" s="1283">
        <v>4.3</v>
      </c>
      <c r="BE62" s="1283">
        <v>3.7</v>
      </c>
      <c r="BF62" s="1283">
        <v>3.6</v>
      </c>
      <c r="BG62" s="1283">
        <v>3.5</v>
      </c>
      <c r="BH62" s="1283">
        <v>2.2000000000000002</v>
      </c>
      <c r="BI62" s="1756">
        <v>3</v>
      </c>
      <c r="BJ62" s="1756"/>
      <c r="BK62" s="1756">
        <v>1.2</v>
      </c>
      <c r="BL62" s="1756">
        <v>2.1</v>
      </c>
      <c r="BM62" s="1756">
        <v>2.2999999999999998</v>
      </c>
      <c r="BN62" s="1756">
        <v>2.1</v>
      </c>
      <c r="BO62" s="1756">
        <v>2.5</v>
      </c>
      <c r="BP62" s="1756">
        <v>3.7</v>
      </c>
      <c r="BQ62" s="1756">
        <v>38</v>
      </c>
      <c r="BR62" s="1756">
        <v>3.5</v>
      </c>
      <c r="BS62" s="1756">
        <v>3.5</v>
      </c>
      <c r="BT62" s="1756">
        <v>3.2</v>
      </c>
      <c r="BU62" s="1756">
        <v>2.7</v>
      </c>
      <c r="BV62" s="1756">
        <v>2.5</v>
      </c>
      <c r="BW62" s="1756">
        <v>1.2</v>
      </c>
      <c r="BX62" s="1174">
        <f t="shared" si="20"/>
        <v>85.714285714285708</v>
      </c>
      <c r="BY62" s="1999">
        <f t="shared" si="21"/>
        <v>89.449541284403651</v>
      </c>
      <c r="BZ62" s="1283"/>
      <c r="CA62" s="1241"/>
      <c r="CB62" s="1266"/>
      <c r="CC62" s="1260"/>
      <c r="CD62" s="32"/>
    </row>
    <row r="63" spans="1:82" s="184" customFormat="1" ht="35.1" customHeight="1">
      <c r="A63" s="1213">
        <v>7</v>
      </c>
      <c r="B63" s="1186" t="s">
        <v>302</v>
      </c>
      <c r="C63" s="640" t="s">
        <v>49</v>
      </c>
      <c r="D63" s="1214">
        <v>10</v>
      </c>
      <c r="E63" s="1214"/>
      <c r="F63" s="1214"/>
      <c r="G63" s="1214">
        <v>10</v>
      </c>
      <c r="H63" s="1214"/>
      <c r="I63" s="1214"/>
      <c r="J63" s="1214"/>
      <c r="K63" s="1214"/>
      <c r="L63" s="1214"/>
      <c r="M63" s="1214"/>
      <c r="N63" s="1214"/>
      <c r="O63" s="1214"/>
      <c r="P63" s="1214"/>
      <c r="Q63" s="1214"/>
      <c r="R63" s="1214"/>
      <c r="S63" s="1165">
        <v>5</v>
      </c>
      <c r="T63" s="1284">
        <v>10</v>
      </c>
      <c r="U63" s="1214">
        <v>11</v>
      </c>
      <c r="V63" s="1163"/>
      <c r="W63" s="1163"/>
      <c r="X63" s="938">
        <v>10</v>
      </c>
      <c r="Y63" s="938"/>
      <c r="Z63" s="938"/>
      <c r="AA63" s="1215">
        <v>17</v>
      </c>
      <c r="AB63" s="1215" t="e">
        <f>SUM(#REF!)</f>
        <v>#REF!</v>
      </c>
      <c r="AC63" s="1215">
        <v>10</v>
      </c>
      <c r="AD63" s="1215">
        <v>20</v>
      </c>
      <c r="AE63" s="1215">
        <f>SUM(AF63:AS63)</f>
        <v>32</v>
      </c>
      <c r="AF63" s="1215">
        <v>5</v>
      </c>
      <c r="AG63" s="1215">
        <v>1</v>
      </c>
      <c r="AH63" s="1215">
        <v>7</v>
      </c>
      <c r="AI63" s="1215"/>
      <c r="AJ63" s="1215">
        <v>7</v>
      </c>
      <c r="AK63" s="1215">
        <v>7</v>
      </c>
      <c r="AL63" s="1215"/>
      <c r="AM63" s="1215">
        <v>1</v>
      </c>
      <c r="AN63" s="1215"/>
      <c r="AO63" s="1215"/>
      <c r="AP63" s="1215">
        <v>1</v>
      </c>
      <c r="AQ63" s="1215">
        <v>1</v>
      </c>
      <c r="AR63" s="1215">
        <v>1</v>
      </c>
      <c r="AS63" s="1215">
        <v>1</v>
      </c>
      <c r="AT63" s="1215">
        <f>SUM(AU63:BH63)</f>
        <v>20</v>
      </c>
      <c r="AU63" s="1215">
        <v>2</v>
      </c>
      <c r="AV63" s="1215">
        <v>2</v>
      </c>
      <c r="AW63" s="1215">
        <v>2</v>
      </c>
      <c r="AX63" s="1215">
        <v>2</v>
      </c>
      <c r="AY63" s="1215">
        <v>2</v>
      </c>
      <c r="AZ63" s="1215">
        <v>2</v>
      </c>
      <c r="BA63" s="1215"/>
      <c r="BB63" s="1215"/>
      <c r="BC63" s="1215"/>
      <c r="BD63" s="1215"/>
      <c r="BE63" s="1215">
        <v>2</v>
      </c>
      <c r="BF63" s="1215">
        <v>2</v>
      </c>
      <c r="BG63" s="1215">
        <v>2</v>
      </c>
      <c r="BH63" s="1215">
        <v>2</v>
      </c>
      <c r="BI63" s="1741">
        <v>14</v>
      </c>
      <c r="BJ63" s="1741" t="s">
        <v>197</v>
      </c>
      <c r="BK63" s="1741">
        <v>1</v>
      </c>
      <c r="BL63" s="1741" t="s">
        <v>197</v>
      </c>
      <c r="BM63" s="1741" t="s">
        <v>197</v>
      </c>
      <c r="BN63" s="1741">
        <v>3</v>
      </c>
      <c r="BO63" s="1741">
        <v>8</v>
      </c>
      <c r="BP63" s="1741"/>
      <c r="BQ63" s="1741"/>
      <c r="BR63" s="1741">
        <v>1</v>
      </c>
      <c r="BS63" s="1741"/>
      <c r="BT63" s="1741" t="s">
        <v>197</v>
      </c>
      <c r="BU63" s="1741" t="s">
        <v>197</v>
      </c>
      <c r="BV63" s="1741">
        <v>1</v>
      </c>
      <c r="BW63" s="1741" t="s">
        <v>197</v>
      </c>
      <c r="BX63" s="1170">
        <f t="shared" si="20"/>
        <v>140</v>
      </c>
      <c r="BY63" s="1742">
        <f t="shared" si="21"/>
        <v>70</v>
      </c>
      <c r="BZ63" s="1215"/>
      <c r="CA63" s="1270">
        <v>18</v>
      </c>
      <c r="CB63" s="368">
        <f>AT63-CA63</f>
        <v>2</v>
      </c>
      <c r="CC63" s="183"/>
    </row>
    <row r="64" spans="1:82" s="32" customFormat="1" ht="45" customHeight="1">
      <c r="A64" s="947">
        <v>8</v>
      </c>
      <c r="B64" s="932" t="s">
        <v>746</v>
      </c>
      <c r="C64" s="1216" t="s">
        <v>49</v>
      </c>
      <c r="D64" s="1160"/>
      <c r="E64" s="1160"/>
      <c r="F64" s="1160"/>
      <c r="G64" s="1160"/>
      <c r="H64" s="1160"/>
      <c r="I64" s="1160"/>
      <c r="J64" s="1160"/>
      <c r="K64" s="1160"/>
      <c r="L64" s="1160"/>
      <c r="M64" s="1160"/>
      <c r="N64" s="1160"/>
      <c r="O64" s="1160"/>
      <c r="P64" s="1160"/>
      <c r="Q64" s="1160"/>
      <c r="R64" s="1160"/>
      <c r="S64" s="1163"/>
      <c r="T64" s="1163"/>
      <c r="U64" s="1217">
        <v>9</v>
      </c>
      <c r="V64" s="1163"/>
      <c r="W64" s="1163"/>
      <c r="X64" s="1163"/>
      <c r="Y64" s="1163"/>
      <c r="Z64" s="1163"/>
      <c r="AA64" s="1215">
        <v>14</v>
      </c>
      <c r="AB64" s="1215" t="e">
        <f>SUM(#REF!)</f>
        <v>#REF!</v>
      </c>
      <c r="AC64" s="1215">
        <v>16</v>
      </c>
      <c r="AD64" s="1215">
        <v>18</v>
      </c>
      <c r="AE64" s="1215">
        <f>SUM(AF64:AS64)</f>
        <v>21</v>
      </c>
      <c r="AF64" s="1215"/>
      <c r="AG64" s="1215"/>
      <c r="AH64" s="1215"/>
      <c r="AI64" s="1215"/>
      <c r="AJ64" s="1215">
        <v>1</v>
      </c>
      <c r="AK64" s="1215"/>
      <c r="AL64" s="1215"/>
      <c r="AM64" s="1215"/>
      <c r="AN64" s="1215"/>
      <c r="AO64" s="1215">
        <v>1</v>
      </c>
      <c r="AP64" s="1215"/>
      <c r="AQ64" s="1215"/>
      <c r="AR64" s="1215"/>
      <c r="AS64" s="1215">
        <v>19</v>
      </c>
      <c r="AT64" s="1215">
        <f>SUM(AU64:BH64)</f>
        <v>36</v>
      </c>
      <c r="AU64" s="1215">
        <v>2</v>
      </c>
      <c r="AV64" s="1215">
        <v>2</v>
      </c>
      <c r="AW64" s="1215">
        <v>2</v>
      </c>
      <c r="AX64" s="1215">
        <v>2</v>
      </c>
      <c r="AY64" s="1215">
        <v>2</v>
      </c>
      <c r="AZ64" s="1215">
        <v>2</v>
      </c>
      <c r="BA64" s="1215">
        <v>2</v>
      </c>
      <c r="BB64" s="1215">
        <v>2</v>
      </c>
      <c r="BC64" s="1215">
        <v>2</v>
      </c>
      <c r="BD64" s="1215">
        <v>2</v>
      </c>
      <c r="BE64" s="1215">
        <v>2</v>
      </c>
      <c r="BF64" s="1215">
        <v>2</v>
      </c>
      <c r="BG64" s="1215">
        <v>2</v>
      </c>
      <c r="BH64" s="1215">
        <v>10</v>
      </c>
      <c r="BI64" s="1741">
        <v>20</v>
      </c>
      <c r="BJ64" s="1741" t="s">
        <v>197</v>
      </c>
      <c r="BK64" s="1741">
        <v>2</v>
      </c>
      <c r="BL64" s="1741" t="s">
        <v>197</v>
      </c>
      <c r="BM64" s="1741">
        <v>2</v>
      </c>
      <c r="BN64" s="1741">
        <v>2</v>
      </c>
      <c r="BO64" s="1741">
        <v>2</v>
      </c>
      <c r="BP64" s="1741" t="s">
        <v>197</v>
      </c>
      <c r="BQ64" s="1741" t="s">
        <v>197</v>
      </c>
      <c r="BR64" s="1741">
        <v>2</v>
      </c>
      <c r="BS64" s="1741" t="s">
        <v>197</v>
      </c>
      <c r="BT64" s="1741" t="s">
        <v>197</v>
      </c>
      <c r="BU64" s="1741" t="s">
        <v>197</v>
      </c>
      <c r="BV64" s="1741" t="s">
        <v>197</v>
      </c>
      <c r="BW64" s="1741">
        <v>10</v>
      </c>
      <c r="BX64" s="1170">
        <f t="shared" si="20"/>
        <v>125</v>
      </c>
      <c r="BY64" s="1742">
        <f t="shared" si="21"/>
        <v>55.555555555555557</v>
      </c>
      <c r="BZ64" s="1215"/>
      <c r="CA64" s="1241"/>
      <c r="CB64" s="1242"/>
      <c r="CC64" s="1243"/>
      <c r="CD64" s="185"/>
    </row>
    <row r="65" spans="1:82" s="530" customFormat="1" ht="21.95" customHeight="1">
      <c r="A65" s="1795" t="s">
        <v>303</v>
      </c>
      <c r="B65" s="925" t="s">
        <v>304</v>
      </c>
      <c r="C65" s="947"/>
      <c r="D65" s="1160"/>
      <c r="E65" s="1160"/>
      <c r="F65" s="1160"/>
      <c r="G65" s="1160"/>
      <c r="H65" s="1160"/>
      <c r="I65" s="1160"/>
      <c r="J65" s="1160"/>
      <c r="K65" s="1160"/>
      <c r="L65" s="1160"/>
      <c r="M65" s="1160"/>
      <c r="N65" s="1160"/>
      <c r="O65" s="1160"/>
      <c r="P65" s="1160"/>
      <c r="Q65" s="1160"/>
      <c r="R65" s="1160"/>
      <c r="S65" s="1163"/>
      <c r="T65" s="1163"/>
      <c r="U65" s="1163"/>
      <c r="V65" s="1163"/>
      <c r="W65" s="1163"/>
      <c r="X65" s="1163"/>
      <c r="Y65" s="1163"/>
      <c r="Z65" s="1163"/>
      <c r="AA65" s="1163"/>
      <c r="AB65" s="1163"/>
      <c r="AC65" s="1163"/>
      <c r="AD65" s="1163"/>
      <c r="AE65" s="1163"/>
      <c r="AF65" s="1163"/>
      <c r="AG65" s="1163"/>
      <c r="AH65" s="1163"/>
      <c r="AI65" s="1163"/>
      <c r="AJ65" s="1163"/>
      <c r="AK65" s="1163"/>
      <c r="AL65" s="1163"/>
      <c r="AM65" s="1163"/>
      <c r="AN65" s="1163"/>
      <c r="AO65" s="1163"/>
      <c r="AP65" s="1163"/>
      <c r="AQ65" s="1163"/>
      <c r="AR65" s="1163"/>
      <c r="AS65" s="1163"/>
      <c r="AT65" s="1163"/>
      <c r="AU65" s="1163"/>
      <c r="AV65" s="1163"/>
      <c r="AW65" s="1163"/>
      <c r="AX65" s="1163"/>
      <c r="AY65" s="1163"/>
      <c r="AZ65" s="1163"/>
      <c r="BA65" s="1163"/>
      <c r="BB65" s="1163"/>
      <c r="BC65" s="1163"/>
      <c r="BD65" s="1163"/>
      <c r="BE65" s="1163"/>
      <c r="BF65" s="1163"/>
      <c r="BG65" s="1163"/>
      <c r="BH65" s="1163"/>
      <c r="BI65" s="933"/>
      <c r="BJ65" s="933"/>
      <c r="BK65" s="933"/>
      <c r="BL65" s="933"/>
      <c r="BM65" s="933"/>
      <c r="BN65" s="933"/>
      <c r="BO65" s="933"/>
      <c r="BP65" s="933"/>
      <c r="BQ65" s="933"/>
      <c r="BR65" s="933"/>
      <c r="BS65" s="933"/>
      <c r="BT65" s="933"/>
      <c r="BU65" s="933"/>
      <c r="BV65" s="933"/>
      <c r="BW65" s="933"/>
      <c r="BX65" s="1170"/>
      <c r="BY65" s="1742"/>
      <c r="BZ65" s="1163"/>
      <c r="CA65" s="136"/>
      <c r="CB65" s="484"/>
      <c r="CC65" s="432"/>
      <c r="CD65" s="185"/>
    </row>
    <row r="66" spans="1:82" s="530" customFormat="1" ht="35.1" customHeight="1">
      <c r="A66" s="1141"/>
      <c r="B66" s="1218" t="s">
        <v>305</v>
      </c>
      <c r="C66" s="947" t="s">
        <v>49</v>
      </c>
      <c r="D66" s="1219">
        <f>SUM(E66:R66)</f>
        <v>1000</v>
      </c>
      <c r="E66" s="1219">
        <f>E67+E68</f>
        <v>60</v>
      </c>
      <c r="F66" s="1219">
        <f t="shared" ref="F66:R66" si="40">F67+F68</f>
        <v>60</v>
      </c>
      <c r="G66" s="1219">
        <f t="shared" si="40"/>
        <v>30</v>
      </c>
      <c r="H66" s="1219">
        <f t="shared" si="40"/>
        <v>60</v>
      </c>
      <c r="I66" s="1219">
        <f t="shared" si="40"/>
        <v>90</v>
      </c>
      <c r="J66" s="1219">
        <v>150</v>
      </c>
      <c r="K66" s="1219">
        <f t="shared" si="40"/>
        <v>60</v>
      </c>
      <c r="L66" s="1219">
        <f t="shared" si="40"/>
        <v>60</v>
      </c>
      <c r="M66" s="1219">
        <f t="shared" si="40"/>
        <v>60</v>
      </c>
      <c r="N66" s="1219">
        <f t="shared" si="40"/>
        <v>60</v>
      </c>
      <c r="O66" s="1219">
        <f t="shared" si="40"/>
        <v>60</v>
      </c>
      <c r="P66" s="1219">
        <f t="shared" si="40"/>
        <v>90</v>
      </c>
      <c r="Q66" s="1219">
        <f t="shared" si="40"/>
        <v>60</v>
      </c>
      <c r="R66" s="1219">
        <f t="shared" si="40"/>
        <v>100</v>
      </c>
      <c r="S66" s="1219">
        <v>370</v>
      </c>
      <c r="T66" s="1219">
        <v>670</v>
      </c>
      <c r="U66" s="1219">
        <f>SUM(V66:Z66)</f>
        <v>374</v>
      </c>
      <c r="V66" s="938">
        <v>130</v>
      </c>
      <c r="W66" s="938">
        <v>60</v>
      </c>
      <c r="X66" s="938">
        <v>33</v>
      </c>
      <c r="Y66" s="938">
        <v>60</v>
      </c>
      <c r="Z66" s="938">
        <v>91</v>
      </c>
      <c r="AA66" s="1219">
        <v>1105</v>
      </c>
      <c r="AB66" s="1219" t="e">
        <f>SUM(#REF!)</f>
        <v>#REF!</v>
      </c>
      <c r="AC66" s="1219">
        <v>410</v>
      </c>
      <c r="AD66" s="1219">
        <f>AD67</f>
        <v>770</v>
      </c>
      <c r="AE66" s="1219">
        <f>SUM(AF66:AS66)</f>
        <v>1100</v>
      </c>
      <c r="AF66" s="1219">
        <v>190</v>
      </c>
      <c r="AG66" s="1219">
        <v>90</v>
      </c>
      <c r="AH66" s="1219">
        <v>60</v>
      </c>
      <c r="AI66" s="1219">
        <v>30</v>
      </c>
      <c r="AJ66" s="1219">
        <v>60</v>
      </c>
      <c r="AK66" s="1219">
        <v>60</v>
      </c>
      <c r="AL66" s="1219">
        <v>120</v>
      </c>
      <c r="AM66" s="1219">
        <v>65</v>
      </c>
      <c r="AN66" s="1219">
        <v>30</v>
      </c>
      <c r="AO66" s="1219">
        <v>30</v>
      </c>
      <c r="AP66" s="1219">
        <v>120</v>
      </c>
      <c r="AQ66" s="1219">
        <v>90</v>
      </c>
      <c r="AR66" s="1219">
        <v>35</v>
      </c>
      <c r="AS66" s="1219">
        <v>120</v>
      </c>
      <c r="AT66" s="940">
        <f>SUM(AU66:BH66)</f>
        <v>1100</v>
      </c>
      <c r="AU66" s="1219">
        <v>140</v>
      </c>
      <c r="AV66" s="1219">
        <v>70</v>
      </c>
      <c r="AW66" s="1219">
        <v>35</v>
      </c>
      <c r="AX66" s="1219">
        <v>0</v>
      </c>
      <c r="AY66" s="1219">
        <v>105</v>
      </c>
      <c r="AZ66" s="1219">
        <v>100</v>
      </c>
      <c r="BA66" s="1219">
        <v>205</v>
      </c>
      <c r="BB66" s="1219">
        <v>35</v>
      </c>
      <c r="BC66" s="1219">
        <v>35</v>
      </c>
      <c r="BD66" s="1219">
        <v>35</v>
      </c>
      <c r="BE66" s="1219">
        <v>35</v>
      </c>
      <c r="BF66" s="1219">
        <v>100</v>
      </c>
      <c r="BG66" s="1219">
        <v>65</v>
      </c>
      <c r="BH66" s="1219">
        <v>140</v>
      </c>
      <c r="BI66" s="940">
        <v>0</v>
      </c>
      <c r="BJ66" s="940"/>
      <c r="BK66" s="940"/>
      <c r="BL66" s="940"/>
      <c r="BM66" s="940"/>
      <c r="BN66" s="940"/>
      <c r="BO66" s="940"/>
      <c r="BP66" s="940"/>
      <c r="BQ66" s="940"/>
      <c r="BR66" s="940"/>
      <c r="BS66" s="940"/>
      <c r="BT66" s="940"/>
      <c r="BU66" s="940"/>
      <c r="BV66" s="940"/>
      <c r="BW66" s="940"/>
      <c r="BX66" s="1170">
        <f t="shared" si="20"/>
        <v>0</v>
      </c>
      <c r="BY66" s="1742">
        <f t="shared" si="21"/>
        <v>0</v>
      </c>
      <c r="BZ66" s="1219"/>
      <c r="CA66" s="136">
        <v>1100</v>
      </c>
      <c r="CB66" s="368">
        <f>AT66-CA66</f>
        <v>0</v>
      </c>
      <c r="CC66" s="432"/>
      <c r="CD66" s="185"/>
    </row>
    <row r="67" spans="1:82" s="530" customFormat="1" ht="35.1" customHeight="1">
      <c r="A67" s="1141"/>
      <c r="B67" s="932" t="s">
        <v>306</v>
      </c>
      <c r="C67" s="947" t="s">
        <v>49</v>
      </c>
      <c r="D67" s="1219">
        <f>SUM(E67:R67)</f>
        <v>1000</v>
      </c>
      <c r="E67" s="1219">
        <f>30+30</f>
        <v>60</v>
      </c>
      <c r="F67" s="1219">
        <f>30+30</f>
        <v>60</v>
      </c>
      <c r="G67" s="1219">
        <f>30</f>
        <v>30</v>
      </c>
      <c r="H67" s="1219">
        <f>30+30</f>
        <v>60</v>
      </c>
      <c r="I67" s="1219">
        <f>30+60</f>
        <v>90</v>
      </c>
      <c r="J67" s="1219">
        <v>150</v>
      </c>
      <c r="K67" s="1219">
        <f>30+30</f>
        <v>60</v>
      </c>
      <c r="L67" s="1219">
        <f>30+30</f>
        <v>60</v>
      </c>
      <c r="M67" s="1219">
        <f>30+30</f>
        <v>60</v>
      </c>
      <c r="N67" s="1219">
        <f>30+30</f>
        <v>60</v>
      </c>
      <c r="O67" s="1219">
        <f>30+30</f>
        <v>60</v>
      </c>
      <c r="P67" s="1219">
        <f>30+30+30</f>
        <v>90</v>
      </c>
      <c r="Q67" s="1219">
        <f>30+30</f>
        <v>60</v>
      </c>
      <c r="R67" s="1219">
        <v>100</v>
      </c>
      <c r="S67" s="1219">
        <v>370</v>
      </c>
      <c r="T67" s="1219">
        <v>670</v>
      </c>
      <c r="U67" s="1219">
        <f>SUM(V67:Z67)</f>
        <v>374</v>
      </c>
      <c r="V67" s="938">
        <v>130</v>
      </c>
      <c r="W67" s="938">
        <v>60</v>
      </c>
      <c r="X67" s="938">
        <v>33</v>
      </c>
      <c r="Y67" s="938">
        <v>60</v>
      </c>
      <c r="Z67" s="938">
        <v>91</v>
      </c>
      <c r="AA67" s="1219">
        <v>1105</v>
      </c>
      <c r="AB67" s="1219" t="e">
        <f>SUM(#REF!)</f>
        <v>#REF!</v>
      </c>
      <c r="AC67" s="1219">
        <v>410</v>
      </c>
      <c r="AD67" s="1219">
        <v>770</v>
      </c>
      <c r="AE67" s="1219">
        <f>SUM(AF67:AS67)</f>
        <v>1100</v>
      </c>
      <c r="AF67" s="1219">
        <v>190</v>
      </c>
      <c r="AG67" s="1219">
        <v>90</v>
      </c>
      <c r="AH67" s="1219">
        <v>60</v>
      </c>
      <c r="AI67" s="1219">
        <v>30</v>
      </c>
      <c r="AJ67" s="1219">
        <v>60</v>
      </c>
      <c r="AK67" s="1219">
        <v>60</v>
      </c>
      <c r="AL67" s="1219">
        <v>120</v>
      </c>
      <c r="AM67" s="1219">
        <v>65</v>
      </c>
      <c r="AN67" s="1219">
        <v>30</v>
      </c>
      <c r="AO67" s="1219">
        <v>30</v>
      </c>
      <c r="AP67" s="1219">
        <v>120</v>
      </c>
      <c r="AQ67" s="1219">
        <v>90</v>
      </c>
      <c r="AR67" s="1219">
        <v>35</v>
      </c>
      <c r="AS67" s="1219">
        <v>120</v>
      </c>
      <c r="AT67" s="940">
        <f>SUM(AU67:BH67)</f>
        <v>1100</v>
      </c>
      <c r="AU67" s="1219">
        <v>140</v>
      </c>
      <c r="AV67" s="1219">
        <v>70</v>
      </c>
      <c r="AW67" s="1219">
        <v>35</v>
      </c>
      <c r="AX67" s="1219"/>
      <c r="AY67" s="1219">
        <v>105</v>
      </c>
      <c r="AZ67" s="1219">
        <v>100</v>
      </c>
      <c r="BA67" s="1219">
        <v>205</v>
      </c>
      <c r="BB67" s="1219">
        <v>35</v>
      </c>
      <c r="BC67" s="1219">
        <v>35</v>
      </c>
      <c r="BD67" s="1219">
        <v>35</v>
      </c>
      <c r="BE67" s="1219">
        <v>35</v>
      </c>
      <c r="BF67" s="1219">
        <v>100</v>
      </c>
      <c r="BG67" s="1219">
        <v>65</v>
      </c>
      <c r="BH67" s="1219">
        <v>140</v>
      </c>
      <c r="BI67" s="940">
        <v>0</v>
      </c>
      <c r="BJ67" s="940"/>
      <c r="BK67" s="940"/>
      <c r="BL67" s="940"/>
      <c r="BM67" s="940"/>
      <c r="BN67" s="940"/>
      <c r="BO67" s="940"/>
      <c r="BP67" s="940"/>
      <c r="BQ67" s="940"/>
      <c r="BR67" s="940"/>
      <c r="BS67" s="940"/>
      <c r="BT67" s="940"/>
      <c r="BU67" s="940"/>
      <c r="BV67" s="940"/>
      <c r="BW67" s="940"/>
      <c r="BX67" s="1170">
        <f t="shared" si="20"/>
        <v>0</v>
      </c>
      <c r="BY67" s="1742">
        <f t="shared" si="21"/>
        <v>0</v>
      </c>
      <c r="BZ67" s="1219"/>
      <c r="CA67" s="136">
        <v>1100</v>
      </c>
      <c r="CB67" s="368">
        <f>AT67-CA67</f>
        <v>0</v>
      </c>
      <c r="CC67" s="432"/>
      <c r="CD67" s="185"/>
    </row>
    <row r="68" spans="1:82" s="530" customFormat="1" ht="21.95" hidden="1" customHeight="1">
      <c r="A68" s="1141"/>
      <c r="B68" s="932" t="s">
        <v>307</v>
      </c>
      <c r="C68" s="947" t="s">
        <v>49</v>
      </c>
      <c r="D68" s="1160"/>
      <c r="E68" s="1160"/>
      <c r="F68" s="1160"/>
      <c r="G68" s="1160"/>
      <c r="H68" s="1160"/>
      <c r="I68" s="1160"/>
      <c r="J68" s="1160"/>
      <c r="K68" s="1160"/>
      <c r="L68" s="1160"/>
      <c r="M68" s="1160"/>
      <c r="N68" s="1160"/>
      <c r="O68" s="1160"/>
      <c r="P68" s="1160"/>
      <c r="Q68" s="1160"/>
      <c r="R68" s="1160"/>
      <c r="S68" s="1163"/>
      <c r="T68" s="1163"/>
      <c r="U68" s="1163"/>
      <c r="V68" s="1163"/>
      <c r="W68" s="1163"/>
      <c r="X68" s="1163"/>
      <c r="Y68" s="1163"/>
      <c r="Z68" s="1163"/>
      <c r="AA68" s="1163"/>
      <c r="AB68" s="1163"/>
      <c r="AC68" s="1163"/>
      <c r="AD68" s="1163"/>
      <c r="AE68" s="1163"/>
      <c r="AF68" s="1163"/>
      <c r="AG68" s="1163"/>
      <c r="AH68" s="1163"/>
      <c r="AI68" s="1163"/>
      <c r="AJ68" s="1163"/>
      <c r="AK68" s="1163"/>
      <c r="AL68" s="1163"/>
      <c r="AM68" s="1163"/>
      <c r="AN68" s="1163"/>
      <c r="AO68" s="1163"/>
      <c r="AP68" s="1163"/>
      <c r="AQ68" s="1163"/>
      <c r="AR68" s="1163"/>
      <c r="AS68" s="1163"/>
      <c r="AT68" s="1163"/>
      <c r="AU68" s="1163"/>
      <c r="AV68" s="1163"/>
      <c r="AW68" s="1163"/>
      <c r="AX68" s="1163"/>
      <c r="AY68" s="1163"/>
      <c r="AZ68" s="1163"/>
      <c r="BA68" s="1163"/>
      <c r="BB68" s="1163"/>
      <c r="BC68" s="1163"/>
      <c r="BD68" s="1163"/>
      <c r="BE68" s="1163"/>
      <c r="BF68" s="1163"/>
      <c r="BG68" s="1163"/>
      <c r="BH68" s="1163"/>
      <c r="BI68" s="933"/>
      <c r="BJ68" s="933"/>
      <c r="BK68" s="933"/>
      <c r="BL68" s="933"/>
      <c r="BM68" s="933"/>
      <c r="BN68" s="933"/>
      <c r="BO68" s="933"/>
      <c r="BP68" s="933"/>
      <c r="BQ68" s="933"/>
      <c r="BR68" s="933"/>
      <c r="BS68" s="933"/>
      <c r="BT68" s="933"/>
      <c r="BU68" s="933"/>
      <c r="BV68" s="933"/>
      <c r="BW68" s="933"/>
      <c r="BX68" s="1170" t="e">
        <f t="shared" si="20"/>
        <v>#DIV/0!</v>
      </c>
      <c r="BY68" s="1742" t="e">
        <f t="shared" si="21"/>
        <v>#DIV/0!</v>
      </c>
      <c r="BZ68" s="1163"/>
      <c r="CA68" s="136"/>
      <c r="CB68" s="484"/>
      <c r="CC68" s="432"/>
      <c r="CD68" s="185"/>
    </row>
    <row r="69" spans="1:82" s="185" customFormat="1" ht="21.95" customHeight="1">
      <c r="A69" s="1791" t="s">
        <v>308</v>
      </c>
      <c r="B69" s="925" t="s">
        <v>309</v>
      </c>
      <c r="C69" s="947"/>
      <c r="D69" s="1160"/>
      <c r="E69" s="1160"/>
      <c r="F69" s="1160"/>
      <c r="G69" s="1160"/>
      <c r="H69" s="1160"/>
      <c r="I69" s="1160"/>
      <c r="J69" s="1160"/>
      <c r="K69" s="1160"/>
      <c r="L69" s="1160"/>
      <c r="M69" s="1160"/>
      <c r="N69" s="1160"/>
      <c r="O69" s="1160"/>
      <c r="P69" s="1160"/>
      <c r="Q69" s="1160"/>
      <c r="R69" s="1160"/>
      <c r="S69" s="1163"/>
      <c r="T69" s="1163"/>
      <c r="U69" s="1163"/>
      <c r="V69" s="1163"/>
      <c r="W69" s="1163"/>
      <c r="X69" s="1163"/>
      <c r="Y69" s="1163"/>
      <c r="Z69" s="1163"/>
      <c r="AA69" s="1163"/>
      <c r="AB69" s="1163"/>
      <c r="AC69" s="1163"/>
      <c r="AD69" s="1163"/>
      <c r="AE69" s="1163"/>
      <c r="AF69" s="1163"/>
      <c r="AG69" s="1163"/>
      <c r="AH69" s="1163"/>
      <c r="AI69" s="1163"/>
      <c r="AJ69" s="1163"/>
      <c r="AK69" s="1163"/>
      <c r="AL69" s="1163"/>
      <c r="AM69" s="1163"/>
      <c r="AN69" s="1163"/>
      <c r="AO69" s="1163"/>
      <c r="AP69" s="1163"/>
      <c r="AQ69" s="1163"/>
      <c r="AR69" s="1163"/>
      <c r="AS69" s="1163"/>
      <c r="AT69" s="1163"/>
      <c r="AU69" s="1163"/>
      <c r="AV69" s="1163"/>
      <c r="AW69" s="1163"/>
      <c r="AX69" s="1163"/>
      <c r="AY69" s="1163"/>
      <c r="AZ69" s="1163"/>
      <c r="BA69" s="1163"/>
      <c r="BB69" s="1163"/>
      <c r="BC69" s="1163"/>
      <c r="BD69" s="1163"/>
      <c r="BE69" s="1163"/>
      <c r="BF69" s="1163"/>
      <c r="BG69" s="1163"/>
      <c r="BH69" s="1163"/>
      <c r="BI69" s="933"/>
      <c r="BJ69" s="933"/>
      <c r="BK69" s="933"/>
      <c r="BL69" s="933"/>
      <c r="BM69" s="933"/>
      <c r="BN69" s="933"/>
      <c r="BO69" s="933"/>
      <c r="BP69" s="933"/>
      <c r="BQ69" s="933"/>
      <c r="BR69" s="933"/>
      <c r="BS69" s="933"/>
      <c r="BT69" s="933"/>
      <c r="BU69" s="933"/>
      <c r="BV69" s="933"/>
      <c r="BW69" s="933"/>
      <c r="BX69" s="1170"/>
      <c r="BY69" s="1742"/>
      <c r="BZ69" s="1163"/>
      <c r="CA69" s="136"/>
      <c r="CB69" s="1239"/>
      <c r="CC69" s="186"/>
    </row>
    <row r="70" spans="1:82" s="184" customFormat="1" ht="35.1" customHeight="1">
      <c r="A70" s="640"/>
      <c r="B70" s="1186" t="s">
        <v>310</v>
      </c>
      <c r="C70" s="947" t="s">
        <v>942</v>
      </c>
      <c r="D70" s="1187">
        <v>25</v>
      </c>
      <c r="E70" s="1187" t="e">
        <f>E71+#REF!+#REF!</f>
        <v>#REF!</v>
      </c>
      <c r="F70" s="1187" t="e">
        <f>F71+#REF!+#REF!</f>
        <v>#REF!</v>
      </c>
      <c r="G70" s="1187" t="e">
        <f>G71+#REF!+#REF!</f>
        <v>#REF!</v>
      </c>
      <c r="H70" s="1187" t="e">
        <f>H71+#REF!+#REF!</f>
        <v>#REF!</v>
      </c>
      <c r="I70" s="1187" t="e">
        <f>I71+#REF!+#REF!</f>
        <v>#REF!</v>
      </c>
      <c r="J70" s="1187" t="e">
        <f>J71+#REF!+#REF!</f>
        <v>#REF!</v>
      </c>
      <c r="K70" s="1187" t="e">
        <f>K71+#REF!+#REF!</f>
        <v>#REF!</v>
      </c>
      <c r="L70" s="1187" t="e">
        <f>L71+#REF!+#REF!</f>
        <v>#REF!</v>
      </c>
      <c r="M70" s="1187" t="e">
        <f>M71+#REF!+#REF!</f>
        <v>#REF!</v>
      </c>
      <c r="N70" s="1187" t="e">
        <f>N71+#REF!+#REF!</f>
        <v>#REF!</v>
      </c>
      <c r="O70" s="1187" t="e">
        <f>O71+#REF!+#REF!</f>
        <v>#REF!</v>
      </c>
      <c r="P70" s="1187" t="e">
        <f>P71+#REF!+#REF!</f>
        <v>#REF!</v>
      </c>
      <c r="Q70" s="1187" t="e">
        <f>Q71+#REF!+#REF!</f>
        <v>#REF!</v>
      </c>
      <c r="R70" s="1187" t="e">
        <f>R71+#REF!+#REF!</f>
        <v>#REF!</v>
      </c>
      <c r="S70" s="1220">
        <v>26</v>
      </c>
      <c r="T70" s="1220">
        <v>36</v>
      </c>
      <c r="U70" s="1187">
        <f>SUM(V70:Z70)</f>
        <v>12</v>
      </c>
      <c r="V70" s="938">
        <v>3</v>
      </c>
      <c r="W70" s="938"/>
      <c r="X70" s="938"/>
      <c r="Y70" s="938">
        <v>3</v>
      </c>
      <c r="Z70" s="938">
        <v>6</v>
      </c>
      <c r="AA70" s="1187">
        <v>39</v>
      </c>
      <c r="AB70" s="1187" t="e">
        <f>SUM(#REF!)</f>
        <v>#REF!</v>
      </c>
      <c r="AC70" s="1187">
        <v>12</v>
      </c>
      <c r="AD70" s="1220">
        <v>29</v>
      </c>
      <c r="AE70" s="1220">
        <f>SUM(AF70:AS70)</f>
        <v>31</v>
      </c>
      <c r="AF70" s="952">
        <f>AF71</f>
        <v>5</v>
      </c>
      <c r="AG70" s="952">
        <f t="shared" ref="AG70:AS70" si="41">AG71</f>
        <v>0</v>
      </c>
      <c r="AH70" s="952">
        <f t="shared" si="41"/>
        <v>0</v>
      </c>
      <c r="AI70" s="952">
        <f t="shared" si="41"/>
        <v>0</v>
      </c>
      <c r="AJ70" s="952">
        <f t="shared" si="41"/>
        <v>1</v>
      </c>
      <c r="AK70" s="952">
        <f t="shared" si="41"/>
        <v>0</v>
      </c>
      <c r="AL70" s="952">
        <f t="shared" si="41"/>
        <v>5</v>
      </c>
      <c r="AM70" s="952">
        <f t="shared" si="41"/>
        <v>4</v>
      </c>
      <c r="AN70" s="952">
        <f t="shared" si="41"/>
        <v>10</v>
      </c>
      <c r="AO70" s="952">
        <f t="shared" si="41"/>
        <v>5</v>
      </c>
      <c r="AP70" s="952">
        <f t="shared" si="41"/>
        <v>0</v>
      </c>
      <c r="AQ70" s="952">
        <f t="shared" si="41"/>
        <v>0</v>
      </c>
      <c r="AR70" s="952">
        <f t="shared" si="41"/>
        <v>1</v>
      </c>
      <c r="AS70" s="952">
        <f t="shared" si="41"/>
        <v>0</v>
      </c>
      <c r="AT70" s="952">
        <f>SUM(AU70:BH70)</f>
        <v>15</v>
      </c>
      <c r="AU70" s="952">
        <f>AU71</f>
        <v>0</v>
      </c>
      <c r="AV70" s="952">
        <f t="shared" ref="AV70:BH70" si="42">AV71</f>
        <v>1</v>
      </c>
      <c r="AW70" s="952">
        <f t="shared" si="42"/>
        <v>0</v>
      </c>
      <c r="AX70" s="952">
        <f t="shared" si="42"/>
        <v>1</v>
      </c>
      <c r="AY70" s="952">
        <f t="shared" si="42"/>
        <v>0</v>
      </c>
      <c r="AZ70" s="952">
        <f t="shared" si="42"/>
        <v>0</v>
      </c>
      <c r="BA70" s="952">
        <f t="shared" si="42"/>
        <v>3</v>
      </c>
      <c r="BB70" s="952">
        <f t="shared" si="42"/>
        <v>3</v>
      </c>
      <c r="BC70" s="952">
        <f t="shared" si="42"/>
        <v>3</v>
      </c>
      <c r="BD70" s="952">
        <f t="shared" si="42"/>
        <v>2</v>
      </c>
      <c r="BE70" s="952">
        <f t="shared" si="42"/>
        <v>1</v>
      </c>
      <c r="BF70" s="952">
        <f t="shared" si="42"/>
        <v>0</v>
      </c>
      <c r="BG70" s="952">
        <f t="shared" si="42"/>
        <v>0</v>
      </c>
      <c r="BH70" s="952">
        <f t="shared" si="42"/>
        <v>1</v>
      </c>
      <c r="BI70" s="945">
        <f>BI71</f>
        <v>11</v>
      </c>
      <c r="BJ70" s="945">
        <f t="shared" ref="BJ70:BW70" si="43">BJ71</f>
        <v>2</v>
      </c>
      <c r="BK70" s="945">
        <f t="shared" si="43"/>
        <v>0</v>
      </c>
      <c r="BL70" s="945">
        <f t="shared" si="43"/>
        <v>1</v>
      </c>
      <c r="BM70" s="945">
        <f t="shared" si="43"/>
        <v>1</v>
      </c>
      <c r="BN70" s="945">
        <f t="shared" si="43"/>
        <v>0</v>
      </c>
      <c r="BO70" s="945">
        <f t="shared" si="43"/>
        <v>0</v>
      </c>
      <c r="BP70" s="945">
        <f t="shared" si="43"/>
        <v>1</v>
      </c>
      <c r="BQ70" s="945">
        <f t="shared" si="43"/>
        <v>1</v>
      </c>
      <c r="BR70" s="945">
        <f t="shared" si="43"/>
        <v>2</v>
      </c>
      <c r="BS70" s="945">
        <f t="shared" si="43"/>
        <v>0</v>
      </c>
      <c r="BT70" s="945">
        <f t="shared" si="43"/>
        <v>1</v>
      </c>
      <c r="BU70" s="945">
        <f t="shared" si="43"/>
        <v>2</v>
      </c>
      <c r="BV70" s="945">
        <f t="shared" si="43"/>
        <v>0</v>
      </c>
      <c r="BW70" s="945">
        <f t="shared" si="43"/>
        <v>0</v>
      </c>
      <c r="BX70" s="1170">
        <f t="shared" si="20"/>
        <v>91.666666666666671</v>
      </c>
      <c r="BY70" s="1742">
        <f t="shared" si="21"/>
        <v>73.333333333333343</v>
      </c>
      <c r="BZ70" s="1187"/>
      <c r="CA70" s="1270">
        <v>15</v>
      </c>
      <c r="CB70" s="368">
        <f>AT70-CA70</f>
        <v>0</v>
      </c>
      <c r="CC70" s="2089" t="s">
        <v>969</v>
      </c>
    </row>
    <row r="71" spans="1:82" s="185" customFormat="1" ht="60" customHeight="1">
      <c r="A71" s="947"/>
      <c r="B71" s="943" t="s">
        <v>843</v>
      </c>
      <c r="C71" s="947" t="s">
        <v>942</v>
      </c>
      <c r="D71" s="1187">
        <v>25</v>
      </c>
      <c r="E71" s="927"/>
      <c r="F71" s="927">
        <v>5</v>
      </c>
      <c r="G71" s="927">
        <v>5</v>
      </c>
      <c r="H71" s="927">
        <v>5</v>
      </c>
      <c r="I71" s="927"/>
      <c r="J71" s="927"/>
      <c r="K71" s="927"/>
      <c r="L71" s="927"/>
      <c r="M71" s="927"/>
      <c r="N71" s="927"/>
      <c r="O71" s="927"/>
      <c r="P71" s="927"/>
      <c r="Q71" s="927"/>
      <c r="R71" s="927">
        <v>10</v>
      </c>
      <c r="S71" s="935">
        <v>26</v>
      </c>
      <c r="T71" s="935">
        <v>36</v>
      </c>
      <c r="U71" s="1187">
        <f>SUM(V71:Z71)</f>
        <v>12</v>
      </c>
      <c r="V71" s="938">
        <v>3</v>
      </c>
      <c r="W71" s="938"/>
      <c r="X71" s="938"/>
      <c r="Y71" s="938">
        <v>3</v>
      </c>
      <c r="Z71" s="938">
        <v>6</v>
      </c>
      <c r="AA71" s="1187">
        <v>39</v>
      </c>
      <c r="AB71" s="1187" t="e">
        <f>SUM(#REF!)</f>
        <v>#REF!</v>
      </c>
      <c r="AC71" s="1187">
        <v>12</v>
      </c>
      <c r="AD71" s="1220">
        <v>29</v>
      </c>
      <c r="AE71" s="1220">
        <f>SUM(AF71:AS71)</f>
        <v>31</v>
      </c>
      <c r="AF71" s="1220">
        <v>5</v>
      </c>
      <c r="AG71" s="1220">
        <v>0</v>
      </c>
      <c r="AH71" s="1220">
        <v>0</v>
      </c>
      <c r="AI71" s="1220">
        <v>0</v>
      </c>
      <c r="AJ71" s="1220">
        <v>1</v>
      </c>
      <c r="AK71" s="1220">
        <v>0</v>
      </c>
      <c r="AL71" s="1220">
        <v>5</v>
      </c>
      <c r="AM71" s="1220">
        <v>4</v>
      </c>
      <c r="AN71" s="1220">
        <v>10</v>
      </c>
      <c r="AO71" s="1220">
        <v>5</v>
      </c>
      <c r="AP71" s="1220">
        <v>0</v>
      </c>
      <c r="AQ71" s="1220">
        <v>0</v>
      </c>
      <c r="AR71" s="1220">
        <v>1</v>
      </c>
      <c r="AS71" s="1220">
        <v>0</v>
      </c>
      <c r="AT71" s="952">
        <f>SUM(AU71:BH71)</f>
        <v>15</v>
      </c>
      <c r="AU71" s="1220">
        <v>0</v>
      </c>
      <c r="AV71" s="1220">
        <v>1</v>
      </c>
      <c r="AW71" s="1220">
        <v>0</v>
      </c>
      <c r="AX71" s="1220">
        <v>1</v>
      </c>
      <c r="AY71" s="1220">
        <v>0</v>
      </c>
      <c r="AZ71" s="1220">
        <v>0</v>
      </c>
      <c r="BA71" s="1220">
        <v>3</v>
      </c>
      <c r="BB71" s="1220">
        <v>3</v>
      </c>
      <c r="BC71" s="1220">
        <v>3</v>
      </c>
      <c r="BD71" s="1220">
        <v>2</v>
      </c>
      <c r="BE71" s="1220">
        <v>1</v>
      </c>
      <c r="BF71" s="1220">
        <v>0</v>
      </c>
      <c r="BG71" s="1220">
        <v>0</v>
      </c>
      <c r="BH71" s="1220">
        <v>1</v>
      </c>
      <c r="BI71" s="945">
        <f>SUM(BJ71:BW71)</f>
        <v>11</v>
      </c>
      <c r="BJ71" s="935">
        <v>2</v>
      </c>
      <c r="BK71" s="935"/>
      <c r="BL71" s="935">
        <v>1</v>
      </c>
      <c r="BM71" s="935">
        <v>1</v>
      </c>
      <c r="BN71" s="935"/>
      <c r="BO71" s="935"/>
      <c r="BP71" s="935">
        <v>1</v>
      </c>
      <c r="BQ71" s="935">
        <v>1</v>
      </c>
      <c r="BR71" s="935">
        <v>2</v>
      </c>
      <c r="BS71" s="935"/>
      <c r="BT71" s="935">
        <v>1</v>
      </c>
      <c r="BU71" s="935">
        <v>2</v>
      </c>
      <c r="BV71" s="935"/>
      <c r="BW71" s="935"/>
      <c r="BX71" s="1170">
        <f t="shared" si="20"/>
        <v>91.666666666666671</v>
      </c>
      <c r="BY71" s="1742">
        <f t="shared" si="21"/>
        <v>73.333333333333343</v>
      </c>
      <c r="BZ71" s="1187"/>
      <c r="CA71" s="136">
        <v>15</v>
      </c>
      <c r="CB71" s="368">
        <f>AT71-CA71</f>
        <v>0</v>
      </c>
      <c r="CC71" s="2089"/>
    </row>
    <row r="72" spans="1:82" s="383" customFormat="1" ht="45" customHeight="1">
      <c r="A72" s="947"/>
      <c r="B72" s="932" t="s">
        <v>311</v>
      </c>
      <c r="C72" s="947" t="s">
        <v>942</v>
      </c>
      <c r="D72" s="1165">
        <v>466</v>
      </c>
      <c r="E72" s="1165"/>
      <c r="F72" s="1165"/>
      <c r="G72" s="1165"/>
      <c r="H72" s="1165"/>
      <c r="I72" s="1165"/>
      <c r="J72" s="1165"/>
      <c r="K72" s="1165"/>
      <c r="L72" s="1165"/>
      <c r="M72" s="1165"/>
      <c r="N72" s="1165"/>
      <c r="O72" s="1165"/>
      <c r="P72" s="1165"/>
      <c r="Q72" s="1165"/>
      <c r="R72" s="1165"/>
      <c r="S72" s="1165">
        <v>443</v>
      </c>
      <c r="T72" s="1165">
        <v>360</v>
      </c>
      <c r="U72" s="1165">
        <v>338</v>
      </c>
      <c r="V72" s="1163"/>
      <c r="W72" s="1163"/>
      <c r="X72" s="1163"/>
      <c r="Y72" s="1163"/>
      <c r="Z72" s="1163"/>
      <c r="AA72" s="937">
        <v>392</v>
      </c>
      <c r="AB72" s="937">
        <v>410</v>
      </c>
      <c r="AC72" s="937"/>
      <c r="AD72" s="937"/>
      <c r="AE72" s="937">
        <v>410</v>
      </c>
      <c r="AF72" s="937"/>
      <c r="AG72" s="937"/>
      <c r="AH72" s="937"/>
      <c r="AI72" s="937"/>
      <c r="AJ72" s="937"/>
      <c r="AK72" s="937"/>
      <c r="AL72" s="937"/>
      <c r="AM72" s="937"/>
      <c r="AN72" s="937"/>
      <c r="AO72" s="937"/>
      <c r="AP72" s="937"/>
      <c r="AQ72" s="937"/>
      <c r="AR72" s="937"/>
      <c r="AS72" s="937"/>
      <c r="AT72" s="937">
        <v>430</v>
      </c>
      <c r="AU72" s="937"/>
      <c r="AV72" s="937"/>
      <c r="AW72" s="937"/>
      <c r="AX72" s="937"/>
      <c r="AY72" s="937"/>
      <c r="AZ72" s="937"/>
      <c r="BA72" s="937"/>
      <c r="BB72" s="937"/>
      <c r="BC72" s="937"/>
      <c r="BD72" s="937"/>
      <c r="BE72" s="937"/>
      <c r="BF72" s="937"/>
      <c r="BG72" s="937"/>
      <c r="BH72" s="937"/>
      <c r="BI72" s="937">
        <f>SUM(BJ72:BW72)</f>
        <v>415</v>
      </c>
      <c r="BJ72" s="937">
        <v>46</v>
      </c>
      <c r="BK72" s="937">
        <v>7</v>
      </c>
      <c r="BL72" s="937">
        <v>11</v>
      </c>
      <c r="BM72" s="937">
        <v>12</v>
      </c>
      <c r="BN72" s="937">
        <v>35</v>
      </c>
      <c r="BO72" s="937" t="s">
        <v>968</v>
      </c>
      <c r="BP72" s="937">
        <v>5</v>
      </c>
      <c r="BQ72" s="937">
        <v>88</v>
      </c>
      <c r="BR72" s="937">
        <v>20</v>
      </c>
      <c r="BS72" s="937">
        <v>80</v>
      </c>
      <c r="BT72" s="937" t="s">
        <v>968</v>
      </c>
      <c r="BU72" s="937">
        <v>43</v>
      </c>
      <c r="BV72" s="937" t="s">
        <v>968</v>
      </c>
      <c r="BW72" s="937">
        <v>68</v>
      </c>
      <c r="BX72" s="1170"/>
      <c r="BY72" s="1742">
        <f t="shared" si="21"/>
        <v>96.511627906976742</v>
      </c>
      <c r="BZ72" s="937"/>
      <c r="CA72" s="136">
        <v>410</v>
      </c>
      <c r="CB72" s="368">
        <f>AT72-CA72</f>
        <v>20</v>
      </c>
      <c r="CC72" s="1285"/>
      <c r="CD72" s="185"/>
    </row>
    <row r="73" spans="1:82" s="383" customFormat="1" ht="21.95" customHeight="1">
      <c r="A73" s="1791" t="s">
        <v>312</v>
      </c>
      <c r="B73" s="925" t="s">
        <v>313</v>
      </c>
      <c r="C73" s="947"/>
      <c r="D73" s="1160"/>
      <c r="E73" s="1160"/>
      <c r="F73" s="1160"/>
      <c r="G73" s="1160"/>
      <c r="H73" s="1160"/>
      <c r="I73" s="1160"/>
      <c r="J73" s="1160"/>
      <c r="K73" s="1160"/>
      <c r="L73" s="1160"/>
      <c r="M73" s="1160"/>
      <c r="N73" s="1160"/>
      <c r="O73" s="1160"/>
      <c r="P73" s="1160"/>
      <c r="Q73" s="1160"/>
      <c r="R73" s="1160"/>
      <c r="S73" s="1163"/>
      <c r="T73" s="1163"/>
      <c r="U73" s="1163"/>
      <c r="V73" s="1163"/>
      <c r="W73" s="1163"/>
      <c r="X73" s="1163"/>
      <c r="Y73" s="1163"/>
      <c r="Z73" s="1163"/>
      <c r="AA73" s="1192"/>
      <c r="AB73" s="1192"/>
      <c r="AC73" s="1192"/>
      <c r="AD73" s="1192"/>
      <c r="AE73" s="1192"/>
      <c r="AF73" s="1192"/>
      <c r="AG73" s="1192"/>
      <c r="AH73" s="1192"/>
      <c r="AI73" s="1192"/>
      <c r="AJ73" s="1192"/>
      <c r="AK73" s="1192"/>
      <c r="AL73" s="1192"/>
      <c r="AM73" s="1192"/>
      <c r="AN73" s="1192"/>
      <c r="AO73" s="1192"/>
      <c r="AP73" s="1192"/>
      <c r="AQ73" s="1192"/>
      <c r="AR73" s="1192"/>
      <c r="AS73" s="1192"/>
      <c r="AT73" s="1192"/>
      <c r="AU73" s="1192"/>
      <c r="AV73" s="1192"/>
      <c r="AW73" s="1192"/>
      <c r="AX73" s="1192"/>
      <c r="AY73" s="1192"/>
      <c r="AZ73" s="1192"/>
      <c r="BA73" s="1192"/>
      <c r="BB73" s="1192"/>
      <c r="BC73" s="1192"/>
      <c r="BD73" s="1192"/>
      <c r="BE73" s="1192"/>
      <c r="BF73" s="1192"/>
      <c r="BG73" s="1192"/>
      <c r="BH73" s="1192"/>
      <c r="BI73" s="928"/>
      <c r="BJ73" s="928"/>
      <c r="BK73" s="928"/>
      <c r="BL73" s="928"/>
      <c r="BM73" s="928"/>
      <c r="BN73" s="928"/>
      <c r="BO73" s="928"/>
      <c r="BP73" s="928"/>
      <c r="BQ73" s="928"/>
      <c r="BR73" s="928"/>
      <c r="BS73" s="928"/>
      <c r="BT73" s="928"/>
      <c r="BU73" s="928"/>
      <c r="BV73" s="928"/>
      <c r="BW73" s="928"/>
      <c r="BX73" s="1170"/>
      <c r="BY73" s="1742"/>
      <c r="BZ73" s="1192"/>
      <c r="CA73" s="1244"/>
      <c r="CB73" s="1286"/>
      <c r="CC73" s="1285"/>
      <c r="CD73" s="185"/>
    </row>
    <row r="74" spans="1:82" s="185" customFormat="1" ht="45" customHeight="1">
      <c r="A74" s="947">
        <v>1</v>
      </c>
      <c r="B74" s="932" t="s">
        <v>314</v>
      </c>
      <c r="C74" s="947" t="s">
        <v>33</v>
      </c>
      <c r="D74" s="952">
        <f>SUM(E74:R74)</f>
        <v>8</v>
      </c>
      <c r="E74" s="1221">
        <v>1</v>
      </c>
      <c r="F74" s="1221">
        <v>1</v>
      </c>
      <c r="G74" s="1221"/>
      <c r="H74" s="1221">
        <v>1</v>
      </c>
      <c r="I74" s="1221">
        <v>1</v>
      </c>
      <c r="J74" s="1221">
        <v>1</v>
      </c>
      <c r="K74" s="1221">
        <v>1</v>
      </c>
      <c r="L74" s="1221"/>
      <c r="M74" s="1221"/>
      <c r="N74" s="1221"/>
      <c r="O74" s="1221">
        <v>1</v>
      </c>
      <c r="P74" s="1221">
        <v>1</v>
      </c>
      <c r="Q74" s="1221"/>
      <c r="R74" s="1221"/>
      <c r="S74" s="1221">
        <v>8</v>
      </c>
      <c r="T74" s="1221">
        <v>8</v>
      </c>
      <c r="U74" s="952">
        <f>SUM(V74:Z74)</f>
        <v>2</v>
      </c>
      <c r="V74" s="938"/>
      <c r="W74" s="938">
        <v>1</v>
      </c>
      <c r="X74" s="938"/>
      <c r="Y74" s="938">
        <v>1</v>
      </c>
      <c r="Z74" s="938"/>
      <c r="AA74" s="935">
        <v>6</v>
      </c>
      <c r="AB74" s="935" t="e">
        <f>SUM(#REF!)</f>
        <v>#REF!</v>
      </c>
      <c r="AC74" s="935">
        <v>7</v>
      </c>
      <c r="AD74" s="935">
        <v>7</v>
      </c>
      <c r="AE74" s="1220">
        <f>SUM(AF74:AS74)</f>
        <v>7</v>
      </c>
      <c r="AF74" s="1220">
        <v>1</v>
      </c>
      <c r="AG74" s="1220">
        <v>1</v>
      </c>
      <c r="AH74" s="1220">
        <v>1</v>
      </c>
      <c r="AI74" s="1220">
        <v>1</v>
      </c>
      <c r="AJ74" s="1220"/>
      <c r="AK74" s="1220">
        <v>1</v>
      </c>
      <c r="AL74" s="1220"/>
      <c r="AM74" s="1220"/>
      <c r="AN74" s="1220"/>
      <c r="AO74" s="1220">
        <v>1</v>
      </c>
      <c r="AP74" s="1220"/>
      <c r="AQ74" s="1220"/>
      <c r="AR74" s="1220">
        <v>1</v>
      </c>
      <c r="AS74" s="1220"/>
      <c r="AT74" s="1220">
        <f>SUM(AU74:BH74)</f>
        <v>8</v>
      </c>
      <c r="AU74" s="1220">
        <v>1</v>
      </c>
      <c r="AV74" s="1220">
        <v>1</v>
      </c>
      <c r="AW74" s="1220">
        <v>1</v>
      </c>
      <c r="AX74" s="1220">
        <v>1</v>
      </c>
      <c r="AY74" s="1220"/>
      <c r="AZ74" s="1220">
        <v>1</v>
      </c>
      <c r="BA74" s="1220"/>
      <c r="BB74" s="1220"/>
      <c r="BC74" s="1220"/>
      <c r="BD74" s="1220"/>
      <c r="BE74" s="1220">
        <v>1</v>
      </c>
      <c r="BF74" s="1220">
        <v>1</v>
      </c>
      <c r="BG74" s="1220">
        <v>1</v>
      </c>
      <c r="BH74" s="1220"/>
      <c r="BI74" s="935">
        <f>SUM(BJ74:BW74)</f>
        <v>8</v>
      </c>
      <c r="BJ74" s="935">
        <v>1</v>
      </c>
      <c r="BK74" s="935">
        <v>1</v>
      </c>
      <c r="BL74" s="935">
        <v>1</v>
      </c>
      <c r="BM74" s="935">
        <v>1</v>
      </c>
      <c r="BN74" s="935"/>
      <c r="BO74" s="935">
        <v>1</v>
      </c>
      <c r="BP74" s="935"/>
      <c r="BQ74" s="935"/>
      <c r="BR74" s="935"/>
      <c r="BS74" s="935">
        <v>1</v>
      </c>
      <c r="BT74" s="935">
        <v>1</v>
      </c>
      <c r="BU74" s="935"/>
      <c r="BV74" s="935">
        <v>1</v>
      </c>
      <c r="BW74" s="935"/>
      <c r="BX74" s="1170">
        <f t="shared" si="20"/>
        <v>114.28571428571428</v>
      </c>
      <c r="BY74" s="1742">
        <f t="shared" si="21"/>
        <v>100</v>
      </c>
      <c r="BZ74" s="935"/>
      <c r="CA74" s="136">
        <v>8</v>
      </c>
      <c r="CB74" s="368">
        <f>AT74-CA74</f>
        <v>0</v>
      </c>
      <c r="CC74" s="186"/>
    </row>
    <row r="75" spans="1:82" s="185" customFormat="1" ht="35.1" customHeight="1">
      <c r="A75" s="1222"/>
      <c r="B75" s="932" t="s">
        <v>315</v>
      </c>
      <c r="C75" s="1222" t="s">
        <v>26</v>
      </c>
      <c r="D75" s="1170">
        <f>D74/14%</f>
        <v>57.142857142857139</v>
      </c>
      <c r="E75" s="1146"/>
      <c r="F75" s="1146"/>
      <c r="G75" s="952"/>
      <c r="H75" s="1146"/>
      <c r="I75" s="1146"/>
      <c r="J75" s="1146"/>
      <c r="K75" s="1146"/>
      <c r="L75" s="952"/>
      <c r="M75" s="952"/>
      <c r="N75" s="952"/>
      <c r="O75" s="1146"/>
      <c r="P75" s="1146"/>
      <c r="Q75" s="952"/>
      <c r="R75" s="952"/>
      <c r="S75" s="1170">
        <f>S74/14*100</f>
        <v>57.142857142857139</v>
      </c>
      <c r="T75" s="1170">
        <v>57.142857142857139</v>
      </c>
      <c r="U75" s="1170">
        <f>U74/14%</f>
        <v>14.285714285714285</v>
      </c>
      <c r="V75" s="957"/>
      <c r="W75" s="933">
        <v>7.1428571428571423</v>
      </c>
      <c r="X75" s="933"/>
      <c r="Y75" s="933">
        <v>7.1428571428571423</v>
      </c>
      <c r="Z75" s="933"/>
      <c r="AA75" s="928">
        <v>42.857142857142847</v>
      </c>
      <c r="AB75" s="928">
        <f>7/14%</f>
        <v>49.999999999999993</v>
      </c>
      <c r="AC75" s="928">
        <v>49.999999999999993</v>
      </c>
      <c r="AD75" s="928">
        <v>49.999999999999993</v>
      </c>
      <c r="AE75" s="1192">
        <f>AE74/14*100</f>
        <v>50</v>
      </c>
      <c r="AF75" s="1192">
        <f>1/14*100</f>
        <v>7.1428571428571423</v>
      </c>
      <c r="AG75" s="1192">
        <f>1/14*100</f>
        <v>7.1428571428571423</v>
      </c>
      <c r="AH75" s="1192">
        <f>1/14*100</f>
        <v>7.1428571428571423</v>
      </c>
      <c r="AI75" s="1192">
        <f>1/14*100</f>
        <v>7.1428571428571423</v>
      </c>
      <c r="AJ75" s="1192"/>
      <c r="AK75" s="1192">
        <f>1/14*100</f>
        <v>7.1428571428571423</v>
      </c>
      <c r="AL75" s="1192"/>
      <c r="AM75" s="1192"/>
      <c r="AN75" s="1192"/>
      <c r="AO75" s="1192">
        <f>1/14*100</f>
        <v>7.1428571428571423</v>
      </c>
      <c r="AP75" s="1192"/>
      <c r="AQ75" s="1192"/>
      <c r="AR75" s="1192">
        <f>1/14*100</f>
        <v>7.1428571428571423</v>
      </c>
      <c r="AS75" s="1192"/>
      <c r="AT75" s="1192">
        <f>AT74/14*100</f>
        <v>57.142857142857139</v>
      </c>
      <c r="AU75" s="1192">
        <f>1/14*100</f>
        <v>7.1428571428571423</v>
      </c>
      <c r="AV75" s="1192">
        <f t="shared" ref="AV75:AZ75" si="44">1/14*100</f>
        <v>7.1428571428571423</v>
      </c>
      <c r="AW75" s="1192">
        <f t="shared" si="44"/>
        <v>7.1428571428571423</v>
      </c>
      <c r="AX75" s="1192">
        <f t="shared" si="44"/>
        <v>7.1428571428571423</v>
      </c>
      <c r="AY75" s="1192"/>
      <c r="AZ75" s="1192">
        <f t="shared" si="44"/>
        <v>7.1428571428571423</v>
      </c>
      <c r="BA75" s="1192"/>
      <c r="BB75" s="1192"/>
      <c r="BC75" s="1192"/>
      <c r="BD75" s="1192"/>
      <c r="BE75" s="1192">
        <f>BE74/14*100</f>
        <v>7.1428571428571423</v>
      </c>
      <c r="BF75" s="1192">
        <f t="shared" ref="BF75:BG75" si="45">BF74/14*100</f>
        <v>7.1428571428571423</v>
      </c>
      <c r="BG75" s="1192">
        <f t="shared" si="45"/>
        <v>7.1428571428571423</v>
      </c>
      <c r="BH75" s="1192"/>
      <c r="BI75" s="928">
        <f>BI74/14*100</f>
        <v>57.142857142857139</v>
      </c>
      <c r="BJ75" s="928">
        <f>1/14*100</f>
        <v>7.1428571428571423</v>
      </c>
      <c r="BK75" s="928">
        <f t="shared" ref="BK75:BO75" si="46">1/14*100</f>
        <v>7.1428571428571423</v>
      </c>
      <c r="BL75" s="928">
        <f t="shared" si="46"/>
        <v>7.1428571428571423</v>
      </c>
      <c r="BM75" s="928">
        <f t="shared" si="46"/>
        <v>7.1428571428571423</v>
      </c>
      <c r="BN75" s="928"/>
      <c r="BO75" s="928">
        <f t="shared" si="46"/>
        <v>7.1428571428571423</v>
      </c>
      <c r="BP75" s="928"/>
      <c r="BQ75" s="928"/>
      <c r="BR75" s="928"/>
      <c r="BS75" s="928">
        <f>BS74/14*100</f>
        <v>7.1428571428571423</v>
      </c>
      <c r="BT75" s="928">
        <f>BT74/14*100</f>
        <v>7.1428571428571423</v>
      </c>
      <c r="BU75" s="928"/>
      <c r="BV75" s="928">
        <f t="shared" ref="BV75" si="47">BV74/14*100</f>
        <v>7.1428571428571423</v>
      </c>
      <c r="BW75" s="928"/>
      <c r="BX75" s="1170">
        <f t="shared" si="20"/>
        <v>114.28571428571429</v>
      </c>
      <c r="BY75" s="1742">
        <f t="shared" si="21"/>
        <v>100</v>
      </c>
      <c r="BZ75" s="928"/>
      <c r="CA75" s="368">
        <v>57.1</v>
      </c>
      <c r="CB75" s="368">
        <f>AT75-CA75</f>
        <v>4.2857142857137376E-2</v>
      </c>
      <c r="CC75" s="186"/>
      <c r="CD75" s="31"/>
    </row>
    <row r="76" spans="1:82" s="185" customFormat="1" ht="35.1" customHeight="1">
      <c r="A76" s="1222">
        <v>2</v>
      </c>
      <c r="B76" s="932" t="s">
        <v>316</v>
      </c>
      <c r="C76" s="1222" t="s">
        <v>26</v>
      </c>
      <c r="D76" s="1198">
        <f>SUM(E76:R76)/14</f>
        <v>70</v>
      </c>
      <c r="E76" s="1221">
        <v>80</v>
      </c>
      <c r="F76" s="1221">
        <v>75</v>
      </c>
      <c r="G76" s="1221">
        <v>68</v>
      </c>
      <c r="H76" s="1221">
        <v>70</v>
      </c>
      <c r="I76" s="1221">
        <v>75</v>
      </c>
      <c r="J76" s="1221">
        <v>74</v>
      </c>
      <c r="K76" s="1221">
        <v>65</v>
      </c>
      <c r="L76" s="1221">
        <v>60</v>
      </c>
      <c r="M76" s="1221">
        <v>60</v>
      </c>
      <c r="N76" s="1221">
        <v>60</v>
      </c>
      <c r="O76" s="1221">
        <v>75</v>
      </c>
      <c r="P76" s="1221">
        <v>73</v>
      </c>
      <c r="Q76" s="1221">
        <v>75</v>
      </c>
      <c r="R76" s="1221">
        <v>70</v>
      </c>
      <c r="S76" s="1221">
        <v>67</v>
      </c>
      <c r="T76" s="1221">
        <v>67</v>
      </c>
      <c r="U76" s="1198">
        <f>SUM(V76:Z76)/14</f>
        <v>26.285714285714285</v>
      </c>
      <c r="V76" s="938">
        <v>80</v>
      </c>
      <c r="W76" s="938">
        <v>75</v>
      </c>
      <c r="X76" s="938">
        <v>68</v>
      </c>
      <c r="Y76" s="938">
        <v>70</v>
      </c>
      <c r="Z76" s="938">
        <v>75</v>
      </c>
      <c r="AA76" s="935">
        <v>70</v>
      </c>
      <c r="AB76" s="935" t="e">
        <f>SUM(#REF!)/14</f>
        <v>#REF!</v>
      </c>
      <c r="AC76" s="935">
        <v>72</v>
      </c>
      <c r="AD76" s="935">
        <v>72</v>
      </c>
      <c r="AE76" s="1192">
        <f>SUM(AF76:AS76)/14</f>
        <v>72.614285714285714</v>
      </c>
      <c r="AF76" s="1192">
        <v>80.599999999999994</v>
      </c>
      <c r="AG76" s="1192">
        <v>75.5</v>
      </c>
      <c r="AH76" s="1192">
        <v>72</v>
      </c>
      <c r="AI76" s="1192">
        <v>72</v>
      </c>
      <c r="AJ76" s="1192">
        <v>76</v>
      </c>
      <c r="AK76" s="1192">
        <v>75</v>
      </c>
      <c r="AL76" s="1192">
        <v>66.5</v>
      </c>
      <c r="AM76" s="1192">
        <v>65</v>
      </c>
      <c r="AN76" s="1192">
        <v>66</v>
      </c>
      <c r="AO76" s="1192">
        <v>65</v>
      </c>
      <c r="AP76" s="1192">
        <v>77</v>
      </c>
      <c r="AQ76" s="1192">
        <v>76</v>
      </c>
      <c r="AR76" s="1192">
        <v>77</v>
      </c>
      <c r="AS76" s="1192">
        <v>73</v>
      </c>
      <c r="AT76" s="1192">
        <f>SUM(AU76:BH76)/14</f>
        <v>76.035714285714292</v>
      </c>
      <c r="AU76" s="1192">
        <v>88</v>
      </c>
      <c r="AV76" s="1192">
        <v>84</v>
      </c>
      <c r="AW76" s="1192">
        <v>75</v>
      </c>
      <c r="AX76" s="1192">
        <v>78</v>
      </c>
      <c r="AY76" s="1192">
        <v>79</v>
      </c>
      <c r="AZ76" s="1192">
        <v>77</v>
      </c>
      <c r="BA76" s="1192">
        <v>68</v>
      </c>
      <c r="BB76" s="1192">
        <v>67</v>
      </c>
      <c r="BC76" s="1192">
        <v>67</v>
      </c>
      <c r="BD76" s="1192">
        <v>67</v>
      </c>
      <c r="BE76" s="1192">
        <v>79.5</v>
      </c>
      <c r="BF76" s="1192">
        <v>79</v>
      </c>
      <c r="BG76" s="1192">
        <v>78</v>
      </c>
      <c r="BH76" s="1192">
        <v>78</v>
      </c>
      <c r="BI76" s="928">
        <f>SUM(BJ76:BW76)/14</f>
        <v>77.752233402664629</v>
      </c>
      <c r="BJ76" s="928">
        <f>18/21*100</f>
        <v>85.714285714285708</v>
      </c>
      <c r="BK76" s="928">
        <f>16/16*100</f>
        <v>100</v>
      </c>
      <c r="BL76" s="928">
        <f>7/12*100</f>
        <v>58.333333333333336</v>
      </c>
      <c r="BM76" s="928">
        <f>9/11*100</f>
        <v>81.818181818181827</v>
      </c>
      <c r="BN76" s="928">
        <f>11/16*100</f>
        <v>68.75</v>
      </c>
      <c r="BO76" s="928">
        <f>7/7*100</f>
        <v>100</v>
      </c>
      <c r="BP76" s="928">
        <f>15/19*100</f>
        <v>78.94736842105263</v>
      </c>
      <c r="BQ76" s="928">
        <f>22/27*100</f>
        <v>81.481481481481481</v>
      </c>
      <c r="BR76" s="928">
        <f>24/28*100</f>
        <v>85.714285714285708</v>
      </c>
      <c r="BS76" s="928">
        <f>6/10*100</f>
        <v>60</v>
      </c>
      <c r="BT76" s="928">
        <f>15/17*100</f>
        <v>88.235294117647058</v>
      </c>
      <c r="BU76" s="928">
        <f>5/8*100</f>
        <v>62.5</v>
      </c>
      <c r="BV76" s="928">
        <f>4/6*100</f>
        <v>66.666666666666657</v>
      </c>
      <c r="BW76" s="928">
        <f>38/54*100</f>
        <v>70.370370370370367</v>
      </c>
      <c r="BX76" s="1170">
        <f t="shared" si="20"/>
        <v>107.98921305925643</v>
      </c>
      <c r="BY76" s="1742">
        <f t="shared" si="21"/>
        <v>102.25751692224563</v>
      </c>
      <c r="BZ76" s="935"/>
      <c r="CA76" s="368">
        <v>76</v>
      </c>
      <c r="CB76" s="368">
        <f>AT76-CA76</f>
        <v>3.5714285714291805E-2</v>
      </c>
      <c r="CC76" s="186"/>
    </row>
    <row r="77" spans="1:82" ht="15.75" customHeight="1">
      <c r="B77" s="383"/>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c r="AT77" s="272"/>
      <c r="AU77" s="272"/>
      <c r="AV77" s="272"/>
      <c r="AW77" s="272"/>
      <c r="AX77" s="272"/>
      <c r="AY77" s="272"/>
      <c r="AZ77" s="272"/>
      <c r="BA77" s="272"/>
      <c r="BB77" s="272"/>
      <c r="BC77" s="272"/>
      <c r="BD77" s="272"/>
      <c r="BE77" s="272"/>
      <c r="BF77" s="272"/>
      <c r="BG77" s="272"/>
      <c r="BH77" s="272"/>
      <c r="BI77" s="260"/>
      <c r="BJ77" s="260"/>
      <c r="BK77" s="260"/>
      <c r="BL77" s="260"/>
      <c r="BM77" s="260"/>
      <c r="BN77" s="260"/>
      <c r="BO77" s="260"/>
      <c r="BP77" s="260"/>
      <c r="BQ77" s="260"/>
      <c r="BR77" s="260"/>
      <c r="BS77" s="260"/>
      <c r="BT77" s="260"/>
      <c r="BU77" s="260"/>
      <c r="BV77" s="260"/>
      <c r="BW77" s="260"/>
      <c r="BX77" s="272"/>
      <c r="BY77" s="272"/>
      <c r="BZ77" s="272"/>
    </row>
    <row r="78" spans="1:82" ht="15.75" customHeight="1">
      <c r="E78" s="526">
        <f>90/110%</f>
        <v>81.818181818181813</v>
      </c>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c r="AT78" s="272"/>
      <c r="AU78" s="272"/>
      <c r="AV78" s="272"/>
      <c r="AW78" s="272"/>
      <c r="AX78" s="272"/>
      <c r="AY78" s="272"/>
      <c r="AZ78" s="272"/>
      <c r="BA78" s="272"/>
      <c r="BB78" s="272"/>
      <c r="BC78" s="272"/>
      <c r="BD78" s="272"/>
      <c r="BE78" s="272"/>
      <c r="BF78" s="272"/>
      <c r="BG78" s="272"/>
      <c r="BH78" s="272"/>
      <c r="BI78" s="260"/>
      <c r="BJ78" s="1757"/>
      <c r="BK78" s="1757"/>
      <c r="BL78" s="1757"/>
      <c r="BM78" s="1757"/>
      <c r="BN78" s="1757"/>
      <c r="BO78" s="1757"/>
      <c r="BP78" s="1757"/>
      <c r="BQ78" s="1757"/>
      <c r="BR78" s="1757"/>
      <c r="BS78" s="1757"/>
      <c r="BT78" s="1757"/>
      <c r="BU78" s="1757"/>
      <c r="BV78" s="1757"/>
      <c r="BW78" s="1757"/>
      <c r="BX78" s="1287"/>
      <c r="BY78" s="1287"/>
      <c r="BZ78" s="272"/>
    </row>
    <row r="79" spans="1:82" ht="15.75" customHeight="1">
      <c r="V79" s="272"/>
      <c r="W79" s="272"/>
      <c r="X79" s="272"/>
      <c r="Y79" s="272"/>
      <c r="Z79" s="272"/>
      <c r="AA79" s="272"/>
      <c r="AB79" s="272"/>
      <c r="AC79" s="272"/>
      <c r="AD79" s="272"/>
      <c r="AE79" s="272"/>
      <c r="AF79" s="272"/>
      <c r="AG79" s="272"/>
      <c r="AH79" s="272"/>
      <c r="AI79" s="272"/>
      <c r="AJ79" s="272"/>
      <c r="AK79" s="272"/>
      <c r="AL79" s="272"/>
      <c r="AM79" s="272"/>
      <c r="AN79" s="272"/>
      <c r="AO79" s="272"/>
      <c r="AP79" s="272"/>
      <c r="AQ79" s="272"/>
      <c r="AR79" s="272"/>
      <c r="AS79" s="272"/>
      <c r="AT79" s="272"/>
      <c r="AU79" s="272"/>
      <c r="AV79" s="272"/>
      <c r="AW79" s="272"/>
      <c r="AX79" s="272"/>
      <c r="AY79" s="272"/>
      <c r="AZ79" s="272"/>
      <c r="BA79" s="272"/>
      <c r="BB79" s="272"/>
      <c r="BC79" s="272"/>
      <c r="BD79" s="272"/>
      <c r="BE79" s="272"/>
      <c r="BF79" s="272"/>
      <c r="BG79" s="272"/>
      <c r="BH79" s="272"/>
      <c r="BI79" s="260"/>
      <c r="BJ79" s="260"/>
      <c r="BK79" s="260"/>
      <c r="BL79" s="260"/>
      <c r="BM79" s="260"/>
      <c r="BN79" s="260"/>
      <c r="BO79" s="260"/>
      <c r="BP79" s="260"/>
      <c r="BQ79" s="260"/>
      <c r="BR79" s="260"/>
      <c r="BS79" s="260"/>
      <c r="BT79" s="260"/>
      <c r="BU79" s="260"/>
      <c r="BV79" s="260"/>
      <c r="BW79" s="260"/>
      <c r="BX79" s="272"/>
      <c r="BY79" s="272"/>
      <c r="BZ79" s="272"/>
    </row>
    <row r="80" spans="1:82" ht="15.75" customHeight="1">
      <c r="V80" s="272"/>
      <c r="W80" s="272"/>
      <c r="X80" s="272"/>
      <c r="Y80" s="272"/>
      <c r="Z80" s="272"/>
      <c r="AA80" s="272"/>
      <c r="AB80" s="272"/>
      <c r="AC80" s="272"/>
      <c r="AD80" s="272"/>
      <c r="AE80" s="272"/>
      <c r="AF80" s="272"/>
      <c r="AG80" s="272"/>
      <c r="AH80" s="272"/>
      <c r="AI80" s="272"/>
      <c r="AJ80" s="272"/>
      <c r="AK80" s="272"/>
      <c r="AL80" s="272"/>
      <c r="AM80" s="272"/>
      <c r="AN80" s="272"/>
      <c r="AO80" s="272"/>
      <c r="AP80" s="272"/>
      <c r="AQ80" s="272"/>
      <c r="AR80" s="272"/>
      <c r="AS80" s="272"/>
      <c r="AT80" s="272"/>
      <c r="AU80" s="272"/>
      <c r="AV80" s="272"/>
      <c r="AW80" s="272"/>
      <c r="AX80" s="272"/>
      <c r="AY80" s="272"/>
      <c r="AZ80" s="272"/>
      <c r="BA80" s="272"/>
      <c r="BB80" s="272"/>
      <c r="BC80" s="272"/>
      <c r="BD80" s="272"/>
      <c r="BE80" s="272"/>
      <c r="BF80" s="272"/>
      <c r="BG80" s="272"/>
      <c r="BH80" s="272"/>
      <c r="BI80" s="260"/>
      <c r="BJ80" s="261"/>
      <c r="BK80" s="261"/>
      <c r="BL80" s="261"/>
      <c r="BM80" s="261"/>
      <c r="BN80" s="261"/>
      <c r="BO80" s="261"/>
      <c r="BP80" s="261"/>
      <c r="BQ80" s="261"/>
      <c r="BR80" s="261"/>
      <c r="BS80" s="261"/>
      <c r="BT80" s="261"/>
      <c r="BU80" s="261"/>
      <c r="BV80" s="261"/>
      <c r="BW80" s="261"/>
      <c r="BX80" s="261"/>
      <c r="BY80" s="261"/>
      <c r="BZ80" s="272"/>
    </row>
    <row r="81" spans="22:78" ht="15.75" customHeight="1">
      <c r="V81" s="260"/>
      <c r="W81" s="260"/>
      <c r="X81" s="260"/>
      <c r="Y81" s="260"/>
      <c r="Z81" s="260"/>
      <c r="AA81" s="260"/>
      <c r="AB81" s="260"/>
      <c r="AC81" s="260"/>
      <c r="AD81" s="260"/>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0"/>
      <c r="BB81" s="260"/>
      <c r="BC81" s="260"/>
      <c r="BD81" s="260"/>
      <c r="BE81" s="260"/>
      <c r="BF81" s="260"/>
      <c r="BG81" s="260"/>
      <c r="BH81" s="260"/>
      <c r="BI81" s="260"/>
      <c r="BJ81" s="537"/>
      <c r="BK81" s="537"/>
      <c r="BL81" s="537"/>
      <c r="BM81" s="537"/>
      <c r="BN81" s="537"/>
      <c r="BO81" s="537"/>
      <c r="BP81" s="537"/>
      <c r="BQ81" s="537"/>
      <c r="BR81" s="537"/>
      <c r="BS81" s="537"/>
      <c r="BT81" s="537"/>
      <c r="BU81" s="537"/>
      <c r="BV81" s="537"/>
      <c r="BW81" s="537"/>
      <c r="BX81" s="537"/>
      <c r="BY81" s="537"/>
      <c r="BZ81" s="260"/>
    </row>
    <row r="82" spans="22:78" ht="15.75" customHeight="1">
      <c r="V82" s="1287"/>
      <c r="W82" s="1287"/>
      <c r="X82" s="1287"/>
      <c r="Y82" s="1287"/>
      <c r="Z82" s="1287"/>
      <c r="AA82" s="1287"/>
      <c r="AB82" s="1287"/>
      <c r="AC82" s="1287"/>
      <c r="AD82" s="1287"/>
      <c r="AE82" s="1287"/>
      <c r="AF82" s="1287"/>
      <c r="AG82" s="1287"/>
      <c r="AH82" s="1287"/>
      <c r="AI82" s="1287"/>
      <c r="AJ82" s="1287"/>
      <c r="AK82" s="1287"/>
      <c r="AL82" s="1287"/>
      <c r="AM82" s="1287"/>
      <c r="AN82" s="1287"/>
      <c r="AO82" s="1287"/>
      <c r="AP82" s="1287"/>
      <c r="AQ82" s="1287"/>
      <c r="AR82" s="1287"/>
      <c r="AS82" s="1287"/>
      <c r="AT82" s="1287"/>
      <c r="AU82" s="1287"/>
      <c r="AV82" s="1287"/>
      <c r="AW82" s="1287"/>
      <c r="AX82" s="1287"/>
      <c r="AY82" s="1287"/>
      <c r="AZ82" s="1287"/>
      <c r="BA82" s="1287"/>
      <c r="BB82" s="1287"/>
      <c r="BC82" s="1287"/>
      <c r="BD82" s="1287"/>
      <c r="BE82" s="1287"/>
      <c r="BF82" s="1287"/>
      <c r="BG82" s="1287"/>
      <c r="BH82" s="1287"/>
      <c r="BI82" s="1757"/>
      <c r="BJ82" s="537"/>
      <c r="BK82" s="537"/>
      <c r="BL82" s="537"/>
      <c r="BM82" s="537"/>
      <c r="BN82" s="537"/>
      <c r="BO82" s="537"/>
      <c r="BP82" s="537"/>
      <c r="BQ82" s="537"/>
      <c r="BR82" s="537"/>
      <c r="BS82" s="537"/>
      <c r="BT82" s="537"/>
      <c r="BU82" s="537"/>
      <c r="BV82" s="537"/>
      <c r="BW82" s="537"/>
      <c r="BX82" s="537"/>
      <c r="BY82" s="537"/>
      <c r="BZ82" s="1287"/>
    </row>
    <row r="83" spans="22:78" ht="15.75" hidden="1" customHeight="1">
      <c r="V83" s="272"/>
      <c r="W83" s="272"/>
      <c r="X83" s="272"/>
      <c r="Y83" s="272"/>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2"/>
      <c r="AW83" s="272"/>
      <c r="AX83" s="272"/>
      <c r="AY83" s="272"/>
      <c r="AZ83" s="272"/>
      <c r="BA83" s="272"/>
      <c r="BB83" s="272"/>
      <c r="BC83" s="272"/>
      <c r="BD83" s="272"/>
      <c r="BE83" s="272"/>
      <c r="BF83" s="272"/>
      <c r="BG83" s="272"/>
      <c r="BH83" s="272"/>
      <c r="BI83" s="260"/>
      <c r="BJ83" s="537"/>
      <c r="BK83" s="537"/>
      <c r="BL83" s="537"/>
      <c r="BM83" s="537"/>
      <c r="BN83" s="537"/>
      <c r="BO83" s="537"/>
      <c r="BP83" s="537"/>
      <c r="BQ83" s="537"/>
      <c r="BR83" s="537"/>
      <c r="BS83" s="537"/>
      <c r="BT83" s="537"/>
      <c r="BU83" s="537"/>
      <c r="BV83" s="537"/>
      <c r="BW83" s="537"/>
      <c r="BX83" s="537"/>
      <c r="BY83" s="537"/>
      <c r="BZ83" s="272"/>
    </row>
    <row r="84" spans="22:78" ht="15.75" customHeight="1">
      <c r="V84" s="261"/>
      <c r="W84" s="261"/>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1758"/>
      <c r="BK84" s="1758"/>
      <c r="BL84" s="1758"/>
      <c r="BM84" s="1758"/>
      <c r="BN84" s="1758"/>
      <c r="BO84" s="1758"/>
      <c r="BP84" s="1758"/>
      <c r="BQ84" s="1758"/>
      <c r="BR84" s="1758"/>
      <c r="BS84" s="1758"/>
      <c r="BT84" s="1758">
        <f>743/721*100</f>
        <v>103.05131761442441</v>
      </c>
      <c r="BU84" s="1758"/>
      <c r="BV84" s="1758"/>
      <c r="BW84" s="1758"/>
      <c r="BX84" s="1288"/>
      <c r="BY84" s="1288"/>
      <c r="BZ84" s="261"/>
    </row>
    <row r="85" spans="22:78" ht="15.75" customHeight="1">
      <c r="V85" s="537"/>
      <c r="W85" s="537"/>
      <c r="X85" s="537"/>
      <c r="Y85" s="537"/>
      <c r="Z85" s="537"/>
      <c r="AA85" s="537"/>
      <c r="AB85" s="537"/>
      <c r="AC85" s="537"/>
      <c r="AD85" s="537"/>
      <c r="AE85" s="537"/>
      <c r="AF85" s="537"/>
      <c r="AG85" s="537"/>
      <c r="AH85" s="537"/>
      <c r="AI85" s="537"/>
      <c r="AJ85" s="537"/>
      <c r="AK85" s="537"/>
      <c r="AL85" s="537"/>
      <c r="AM85" s="537"/>
      <c r="AN85" s="537"/>
      <c r="AO85" s="537"/>
      <c r="AP85" s="537"/>
      <c r="AQ85" s="537"/>
      <c r="AR85" s="537"/>
      <c r="AS85" s="537"/>
      <c r="AT85" s="537"/>
      <c r="AU85" s="537"/>
      <c r="AV85" s="537"/>
      <c r="AW85" s="537"/>
      <c r="AX85" s="537"/>
      <c r="AY85" s="537"/>
      <c r="AZ85" s="537"/>
      <c r="BA85" s="537"/>
      <c r="BB85" s="537"/>
      <c r="BC85" s="537"/>
      <c r="BD85" s="537"/>
      <c r="BE85" s="537"/>
      <c r="BF85" s="537"/>
      <c r="BG85" s="537"/>
      <c r="BH85" s="537"/>
      <c r="BI85" s="537"/>
      <c r="BJ85" s="262"/>
      <c r="BK85" s="262"/>
      <c r="BL85" s="262"/>
      <c r="BM85" s="262"/>
      <c r="BN85" s="262"/>
      <c r="BO85" s="262"/>
      <c r="BP85" s="262"/>
      <c r="BQ85" s="262"/>
      <c r="BR85" s="262"/>
      <c r="BS85" s="262"/>
      <c r="BT85" s="262"/>
      <c r="BU85" s="262"/>
      <c r="BV85" s="262"/>
      <c r="BW85" s="262"/>
      <c r="BX85" s="262"/>
      <c r="BY85" s="262"/>
      <c r="BZ85" s="537"/>
    </row>
    <row r="86" spans="22:78" ht="15.75" customHeight="1">
      <c r="V86" s="537"/>
      <c r="W86" s="537"/>
      <c r="X86" s="537"/>
      <c r="Y86" s="537"/>
      <c r="Z86" s="537"/>
      <c r="AA86" s="537"/>
      <c r="AB86" s="537"/>
      <c r="AC86" s="537"/>
      <c r="AD86" s="537"/>
      <c r="AE86" s="537"/>
      <c r="AF86" s="537"/>
      <c r="AG86" s="537"/>
      <c r="AH86" s="537"/>
      <c r="AI86" s="537"/>
      <c r="AJ86" s="537"/>
      <c r="AK86" s="537"/>
      <c r="AL86" s="537"/>
      <c r="AM86" s="537"/>
      <c r="AN86" s="537"/>
      <c r="AO86" s="537"/>
      <c r="AP86" s="537"/>
      <c r="AQ86" s="537"/>
      <c r="AR86" s="537"/>
      <c r="AS86" s="537"/>
      <c r="AT86" s="537"/>
      <c r="AU86" s="537"/>
      <c r="AV86" s="537"/>
      <c r="AW86" s="537"/>
      <c r="AX86" s="537"/>
      <c r="AY86" s="537"/>
      <c r="AZ86" s="537"/>
      <c r="BA86" s="537"/>
      <c r="BB86" s="537"/>
      <c r="BC86" s="537"/>
      <c r="BD86" s="537"/>
      <c r="BE86" s="537"/>
      <c r="BF86" s="537"/>
      <c r="BG86" s="537"/>
      <c r="BH86" s="537"/>
      <c r="BI86" s="537"/>
      <c r="BJ86" s="1759"/>
      <c r="BK86" s="1759"/>
      <c r="BL86" s="1759"/>
      <c r="BM86" s="1759"/>
      <c r="BN86" s="1759"/>
      <c r="BO86" s="1759"/>
      <c r="BP86" s="1759"/>
      <c r="BQ86" s="1759"/>
      <c r="BR86" s="1759"/>
      <c r="BS86" s="1759"/>
      <c r="BT86" s="1759"/>
      <c r="BU86" s="1759"/>
      <c r="BV86" s="1759"/>
      <c r="BW86" s="1759"/>
      <c r="BX86" s="1289"/>
      <c r="BY86" s="1289"/>
      <c r="BZ86" s="537"/>
    </row>
    <row r="87" spans="22:78" ht="15.75" customHeight="1">
      <c r="V87" s="537"/>
      <c r="W87" s="537"/>
      <c r="X87" s="537"/>
      <c r="Y87" s="537"/>
      <c r="Z87" s="537"/>
      <c r="AA87" s="537"/>
      <c r="AB87" s="537"/>
      <c r="AC87" s="537"/>
      <c r="AD87" s="537"/>
      <c r="AE87" s="537"/>
      <c r="AF87" s="537"/>
      <c r="AG87" s="537"/>
      <c r="AH87" s="537"/>
      <c r="AI87" s="537"/>
      <c r="AJ87" s="537"/>
      <c r="AK87" s="537"/>
      <c r="AL87" s="537"/>
      <c r="AM87" s="537"/>
      <c r="AN87" s="537"/>
      <c r="AO87" s="537"/>
      <c r="AP87" s="537"/>
      <c r="AQ87" s="537"/>
      <c r="AR87" s="537"/>
      <c r="AS87" s="537"/>
      <c r="AT87" s="537"/>
      <c r="AU87" s="537"/>
      <c r="AV87" s="537"/>
      <c r="AW87" s="537"/>
      <c r="AX87" s="537"/>
      <c r="AY87" s="537"/>
      <c r="AZ87" s="537"/>
      <c r="BA87" s="537"/>
      <c r="BB87" s="537"/>
      <c r="BC87" s="537"/>
      <c r="BD87" s="537"/>
      <c r="BE87" s="537"/>
      <c r="BF87" s="537"/>
      <c r="BG87" s="537"/>
      <c r="BH87" s="537"/>
      <c r="BI87" s="537"/>
      <c r="BJ87" s="1760"/>
      <c r="BK87" s="1760"/>
      <c r="BL87" s="1760"/>
      <c r="BM87" s="1760"/>
      <c r="BN87" s="1760"/>
      <c r="BO87" s="1760"/>
      <c r="BP87" s="1760"/>
      <c r="BQ87" s="1760"/>
      <c r="BR87" s="1760"/>
      <c r="BS87" s="1760"/>
      <c r="BT87" s="1760"/>
      <c r="BU87" s="1760"/>
      <c r="BV87" s="1760"/>
      <c r="BW87" s="1760"/>
      <c r="BX87" s="1290"/>
      <c r="BY87" s="1290"/>
      <c r="BZ87" s="537"/>
    </row>
    <row r="88" spans="22:78" ht="15.75" customHeight="1">
      <c r="V88" s="1288"/>
      <c r="W88" s="1288"/>
      <c r="X88" s="1288"/>
      <c r="Y88" s="1288"/>
      <c r="Z88" s="1288"/>
      <c r="AA88" s="1288"/>
      <c r="AB88" s="1288"/>
      <c r="AC88" s="1288"/>
      <c r="AD88" s="1288"/>
      <c r="AE88" s="1288"/>
      <c r="AF88" s="1288"/>
      <c r="AG88" s="1288"/>
      <c r="AH88" s="1288"/>
      <c r="AI88" s="1288"/>
      <c r="AJ88" s="1288"/>
      <c r="AK88" s="1288"/>
      <c r="AL88" s="1288"/>
      <c r="AM88" s="1288"/>
      <c r="AN88" s="1288"/>
      <c r="AO88" s="1288"/>
      <c r="AP88" s="1288"/>
      <c r="AQ88" s="1288"/>
      <c r="AR88" s="1288"/>
      <c r="AS88" s="1288"/>
      <c r="AT88" s="1288"/>
      <c r="AU88" s="1288"/>
      <c r="AV88" s="1288"/>
      <c r="AW88" s="1288"/>
      <c r="AX88" s="1288"/>
      <c r="AY88" s="1288"/>
      <c r="AZ88" s="1288"/>
      <c r="BA88" s="1288"/>
      <c r="BB88" s="1288"/>
      <c r="BC88" s="1288"/>
      <c r="BD88" s="1288"/>
      <c r="BE88" s="1288"/>
      <c r="BF88" s="1288"/>
      <c r="BG88" s="1288"/>
      <c r="BH88" s="1288"/>
      <c r="BI88" s="1758"/>
      <c r="BJ88" s="260"/>
      <c r="BK88" s="260"/>
      <c r="BL88" s="260"/>
      <c r="BM88" s="260"/>
      <c r="BN88" s="260"/>
      <c r="BO88" s="260"/>
      <c r="BP88" s="260"/>
      <c r="BQ88" s="260"/>
      <c r="BR88" s="260"/>
      <c r="BS88" s="260"/>
      <c r="BT88" s="260"/>
      <c r="BU88" s="260"/>
      <c r="BV88" s="260"/>
      <c r="BW88" s="260"/>
      <c r="BX88" s="272"/>
      <c r="BY88" s="272"/>
      <c r="BZ88" s="1288"/>
    </row>
    <row r="89" spans="22:78" ht="15.75" customHeight="1">
      <c r="V89" s="262"/>
      <c r="W89" s="262"/>
      <c r="X89" s="262"/>
      <c r="Y89" s="262"/>
      <c r="Z89" s="262"/>
      <c r="AA89" s="262"/>
      <c r="AB89" s="262"/>
      <c r="AC89" s="262"/>
      <c r="AD89" s="262"/>
      <c r="AE89" s="262"/>
      <c r="AF89" s="262"/>
      <c r="AG89" s="262"/>
      <c r="AH89" s="262"/>
      <c r="AI89" s="262"/>
      <c r="AJ89" s="262"/>
      <c r="AK89" s="262"/>
      <c r="AL89" s="262"/>
      <c r="AM89" s="262"/>
      <c r="AN89" s="262"/>
      <c r="AO89" s="262"/>
      <c r="AP89" s="262"/>
      <c r="AQ89" s="262"/>
      <c r="AR89" s="262"/>
      <c r="AS89" s="262"/>
      <c r="AT89" s="262"/>
      <c r="AU89" s="262"/>
      <c r="AV89" s="262"/>
      <c r="AW89" s="262"/>
      <c r="AX89" s="262"/>
      <c r="AY89" s="262"/>
      <c r="AZ89" s="262"/>
      <c r="BA89" s="262"/>
      <c r="BB89" s="262"/>
      <c r="BC89" s="262"/>
      <c r="BD89" s="262"/>
      <c r="BE89" s="262"/>
      <c r="BF89" s="262"/>
      <c r="BG89" s="262"/>
      <c r="BH89" s="262"/>
      <c r="BI89" s="262"/>
      <c r="BJ89" s="1761"/>
      <c r="BK89" s="1761"/>
      <c r="BL89" s="1761"/>
      <c r="BM89" s="1761"/>
      <c r="BN89" s="1761"/>
      <c r="BO89" s="1761"/>
      <c r="BP89" s="1761"/>
      <c r="BQ89" s="1761"/>
      <c r="BR89" s="1761"/>
      <c r="BS89" s="1761"/>
      <c r="BT89" s="1761"/>
      <c r="BU89" s="1761"/>
      <c r="BV89" s="1761"/>
      <c r="BW89" s="1761"/>
      <c r="BX89" s="1291"/>
      <c r="BY89" s="1291"/>
      <c r="BZ89" s="262"/>
    </row>
    <row r="90" spans="22:78" ht="15.75" customHeight="1">
      <c r="V90" s="1289"/>
      <c r="W90" s="1289"/>
      <c r="X90" s="1289"/>
      <c r="Y90" s="1289"/>
      <c r="Z90" s="1289"/>
      <c r="AA90" s="1289"/>
      <c r="AB90" s="1289"/>
      <c r="AC90" s="1289"/>
      <c r="AD90" s="1289"/>
      <c r="AE90" s="1289"/>
      <c r="AF90" s="1289"/>
      <c r="AG90" s="1289"/>
      <c r="AH90" s="1289"/>
      <c r="AI90" s="1289"/>
      <c r="AJ90" s="1289"/>
      <c r="AK90" s="1289"/>
      <c r="AL90" s="1289"/>
      <c r="AM90" s="1289"/>
      <c r="AN90" s="1289"/>
      <c r="AO90" s="1289"/>
      <c r="AP90" s="1289"/>
      <c r="AQ90" s="1289"/>
      <c r="AR90" s="1289"/>
      <c r="AS90" s="1289"/>
      <c r="AT90" s="1289"/>
      <c r="AU90" s="1289"/>
      <c r="AV90" s="1289"/>
      <c r="AW90" s="1289"/>
      <c r="AX90" s="1289"/>
      <c r="AY90" s="1289"/>
      <c r="AZ90" s="1289"/>
      <c r="BA90" s="1289"/>
      <c r="BB90" s="1289"/>
      <c r="BC90" s="1289"/>
      <c r="BD90" s="1289"/>
      <c r="BE90" s="1289"/>
      <c r="BF90" s="1289"/>
      <c r="BG90" s="1289"/>
      <c r="BH90" s="1289"/>
      <c r="BI90" s="1759"/>
      <c r="BJ90" s="1762"/>
      <c r="BK90" s="1762"/>
      <c r="BL90" s="1762"/>
      <c r="BM90" s="1762"/>
      <c r="BN90" s="1762"/>
      <c r="BO90" s="1762"/>
      <c r="BP90" s="1762"/>
      <c r="BQ90" s="1762"/>
      <c r="BR90" s="1762"/>
      <c r="BS90" s="1762"/>
      <c r="BT90" s="1762"/>
      <c r="BU90" s="1762"/>
      <c r="BV90" s="1762"/>
      <c r="BW90" s="1762"/>
      <c r="BX90" s="1292"/>
      <c r="BY90" s="1292"/>
      <c r="BZ90" s="1289"/>
    </row>
    <row r="91" spans="22:78" ht="15.75" customHeight="1">
      <c r="V91" s="1290"/>
      <c r="W91" s="1290"/>
      <c r="X91" s="1290"/>
      <c r="Y91" s="1290"/>
      <c r="Z91" s="1290"/>
      <c r="AA91" s="1290"/>
      <c r="AB91" s="1290"/>
      <c r="AC91" s="1290"/>
      <c r="AD91" s="1290"/>
      <c r="AE91" s="1290"/>
      <c r="AF91" s="1290"/>
      <c r="AG91" s="1290"/>
      <c r="AH91" s="1290"/>
      <c r="AI91" s="1290"/>
      <c r="AJ91" s="1290"/>
      <c r="AK91" s="1290"/>
      <c r="AL91" s="1290"/>
      <c r="AM91" s="1290"/>
      <c r="AN91" s="1290"/>
      <c r="AO91" s="1290"/>
      <c r="AP91" s="1290"/>
      <c r="AQ91" s="1290"/>
      <c r="AR91" s="1290"/>
      <c r="AS91" s="1290"/>
      <c r="AT91" s="1290"/>
      <c r="AU91" s="1290"/>
      <c r="AV91" s="1290"/>
      <c r="AW91" s="1290"/>
      <c r="AX91" s="1290"/>
      <c r="AY91" s="1290"/>
      <c r="AZ91" s="1290"/>
      <c r="BA91" s="1290"/>
      <c r="BB91" s="1290"/>
      <c r="BC91" s="1290"/>
      <c r="BD91" s="1290"/>
      <c r="BE91" s="1290"/>
      <c r="BF91" s="1290"/>
      <c r="BG91" s="1290"/>
      <c r="BH91" s="1290"/>
      <c r="BI91" s="1760"/>
      <c r="BJ91" s="263"/>
      <c r="BK91" s="263"/>
      <c r="BL91" s="263"/>
      <c r="BM91" s="263"/>
      <c r="BN91" s="263"/>
      <c r="BO91" s="263"/>
      <c r="BP91" s="263"/>
      <c r="BQ91" s="263"/>
      <c r="BR91" s="263"/>
      <c r="BS91" s="263"/>
      <c r="BT91" s="263"/>
      <c r="BU91" s="263"/>
      <c r="BV91" s="263"/>
      <c r="BW91" s="263"/>
      <c r="BX91" s="263"/>
      <c r="BY91" s="263"/>
      <c r="BZ91" s="1290"/>
    </row>
    <row r="92" spans="22:78" ht="15.75" customHeight="1">
      <c r="V92" s="272"/>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2"/>
      <c r="BA92" s="272"/>
      <c r="BB92" s="272"/>
      <c r="BC92" s="272"/>
      <c r="BD92" s="272"/>
      <c r="BE92" s="272"/>
      <c r="BF92" s="272"/>
      <c r="BG92" s="272"/>
      <c r="BH92" s="272"/>
      <c r="BI92" s="260"/>
      <c r="BJ92" s="263"/>
      <c r="BK92" s="263"/>
      <c r="BL92" s="263"/>
      <c r="BM92" s="263"/>
      <c r="BN92" s="263"/>
      <c r="BO92" s="263"/>
      <c r="BP92" s="263"/>
      <c r="BQ92" s="263"/>
      <c r="BR92" s="263"/>
      <c r="BS92" s="263"/>
      <c r="BT92" s="263"/>
      <c r="BU92" s="263"/>
      <c r="BV92" s="263"/>
      <c r="BW92" s="263"/>
      <c r="BX92" s="263"/>
      <c r="BY92" s="263"/>
      <c r="BZ92" s="272"/>
    </row>
    <row r="93" spans="22:78" ht="15.75" customHeight="1">
      <c r="V93" s="1291"/>
      <c r="W93" s="1291"/>
      <c r="X93" s="1291"/>
      <c r="Y93" s="1291"/>
      <c r="Z93" s="1291"/>
      <c r="AA93" s="1291"/>
      <c r="AB93" s="1291"/>
      <c r="AC93" s="1291"/>
      <c r="AD93" s="1291"/>
      <c r="AE93" s="1291"/>
      <c r="AF93" s="1291"/>
      <c r="AG93" s="1291"/>
      <c r="AH93" s="1291"/>
      <c r="AI93" s="1291"/>
      <c r="AJ93" s="1291"/>
      <c r="AK93" s="1291"/>
      <c r="AL93" s="1291"/>
      <c r="AM93" s="1291"/>
      <c r="AN93" s="1291"/>
      <c r="AO93" s="1291"/>
      <c r="AP93" s="1291"/>
      <c r="AQ93" s="1291"/>
      <c r="AR93" s="1291"/>
      <c r="AS93" s="1291"/>
      <c r="AT93" s="1291"/>
      <c r="AU93" s="1291"/>
      <c r="AV93" s="1291"/>
      <c r="AW93" s="1291"/>
      <c r="AX93" s="1291"/>
      <c r="AY93" s="1291"/>
      <c r="AZ93" s="1291"/>
      <c r="BA93" s="1291"/>
      <c r="BB93" s="1291"/>
      <c r="BC93" s="1291"/>
      <c r="BD93" s="1291"/>
      <c r="BE93" s="1291"/>
      <c r="BF93" s="1291"/>
      <c r="BG93" s="1291"/>
      <c r="BH93" s="1291"/>
      <c r="BI93" s="1761"/>
      <c r="BJ93" s="260"/>
      <c r="BK93" s="260"/>
      <c r="BL93" s="260"/>
      <c r="BM93" s="260"/>
      <c r="BN93" s="260"/>
      <c r="BO93" s="260"/>
      <c r="BP93" s="260"/>
      <c r="BQ93" s="260"/>
      <c r="BR93" s="260"/>
      <c r="BS93" s="260"/>
      <c r="BT93" s="260"/>
      <c r="BU93" s="260"/>
      <c r="BV93" s="260"/>
      <c r="BW93" s="260"/>
      <c r="BX93" s="272"/>
      <c r="BY93" s="272"/>
      <c r="BZ93" s="1291"/>
    </row>
    <row r="94" spans="22:78" ht="15.75" customHeight="1">
      <c r="V94" s="1292"/>
      <c r="W94" s="1292"/>
      <c r="X94" s="1292"/>
      <c r="Y94" s="1292"/>
      <c r="Z94" s="1292"/>
      <c r="AA94" s="1292"/>
      <c r="AB94" s="1292"/>
      <c r="AC94" s="1292"/>
      <c r="AD94" s="1292"/>
      <c r="AE94" s="1292"/>
      <c r="AF94" s="1292"/>
      <c r="AG94" s="1292"/>
      <c r="AH94" s="1292"/>
      <c r="AI94" s="1292"/>
      <c r="AJ94" s="1292"/>
      <c r="AK94" s="1292"/>
      <c r="AL94" s="1292"/>
      <c r="AM94" s="1292"/>
      <c r="AN94" s="1292"/>
      <c r="AO94" s="1292"/>
      <c r="AP94" s="1292"/>
      <c r="AQ94" s="1292"/>
      <c r="AR94" s="1292"/>
      <c r="AS94" s="1292"/>
      <c r="AT94" s="1292"/>
      <c r="AU94" s="1292"/>
      <c r="AV94" s="1292"/>
      <c r="AW94" s="1292"/>
      <c r="AX94" s="1292"/>
      <c r="AY94" s="1292"/>
      <c r="AZ94" s="1292"/>
      <c r="BA94" s="1292"/>
      <c r="BB94" s="1292"/>
      <c r="BC94" s="1292"/>
      <c r="BD94" s="1292"/>
      <c r="BE94" s="1292"/>
      <c r="BF94" s="1292"/>
      <c r="BG94" s="1292"/>
      <c r="BH94" s="1292"/>
      <c r="BI94" s="1762"/>
      <c r="BJ94" s="260"/>
      <c r="BK94" s="260"/>
      <c r="BL94" s="260"/>
      <c r="BM94" s="260"/>
      <c r="BN94" s="260"/>
      <c r="BO94" s="260"/>
      <c r="BP94" s="260"/>
      <c r="BQ94" s="260"/>
      <c r="BR94" s="260"/>
      <c r="BS94" s="260"/>
      <c r="BT94" s="260"/>
      <c r="BU94" s="260"/>
      <c r="BV94" s="260"/>
      <c r="BW94" s="260"/>
      <c r="BX94" s="272"/>
      <c r="BY94" s="272"/>
      <c r="BZ94" s="1292"/>
    </row>
    <row r="95" spans="22:78" ht="15.75" customHeight="1">
      <c r="V95" s="263"/>
      <c r="W95" s="263"/>
      <c r="X95" s="263"/>
      <c r="Y95" s="263"/>
      <c r="Z95" s="263"/>
      <c r="AA95" s="263"/>
      <c r="AB95" s="263"/>
      <c r="AC95" s="263"/>
      <c r="AD95" s="263"/>
      <c r="AE95" s="263"/>
      <c r="AF95" s="263"/>
      <c r="AG95" s="263"/>
      <c r="AH95" s="263"/>
      <c r="AI95" s="263"/>
      <c r="AJ95" s="263"/>
      <c r="AK95" s="263"/>
      <c r="AL95" s="263"/>
      <c r="AM95" s="263"/>
      <c r="AN95" s="263"/>
      <c r="AO95" s="263"/>
      <c r="AP95" s="263"/>
      <c r="AQ95" s="263"/>
      <c r="AR95" s="263"/>
      <c r="AS95" s="263"/>
      <c r="AT95" s="263"/>
      <c r="AU95" s="263"/>
      <c r="AV95" s="263"/>
      <c r="AW95" s="263"/>
      <c r="AX95" s="263"/>
      <c r="AY95" s="263"/>
      <c r="AZ95" s="263"/>
      <c r="BA95" s="263"/>
      <c r="BB95" s="263"/>
      <c r="BC95" s="263"/>
      <c r="BD95" s="263"/>
      <c r="BE95" s="263"/>
      <c r="BF95" s="263"/>
      <c r="BG95" s="263"/>
      <c r="BH95" s="263"/>
      <c r="BI95" s="263"/>
      <c r="BJ95" s="260"/>
      <c r="BK95" s="260"/>
      <c r="BL95" s="260"/>
      <c r="BM95" s="260"/>
      <c r="BN95" s="260"/>
      <c r="BO95" s="260"/>
      <c r="BP95" s="260"/>
      <c r="BQ95" s="260"/>
      <c r="BR95" s="260"/>
      <c r="BS95" s="260"/>
      <c r="BT95" s="260"/>
      <c r="BU95" s="260"/>
      <c r="BV95" s="260"/>
      <c r="BW95" s="260"/>
      <c r="BX95" s="272"/>
      <c r="BY95" s="272"/>
      <c r="BZ95" s="263"/>
    </row>
    <row r="96" spans="22:78" ht="15.75" customHeight="1">
      <c r="V96" s="263"/>
      <c r="W96" s="263"/>
      <c r="X96" s="263"/>
      <c r="Y96" s="263"/>
      <c r="Z96" s="263"/>
      <c r="AA96" s="263"/>
      <c r="AB96" s="263"/>
      <c r="AC96" s="263"/>
      <c r="AD96" s="263"/>
      <c r="AE96" s="263"/>
      <c r="AF96" s="263"/>
      <c r="AG96" s="263"/>
      <c r="AH96" s="263"/>
      <c r="AI96" s="263"/>
      <c r="AJ96" s="263"/>
      <c r="AK96" s="263"/>
      <c r="AL96" s="263"/>
      <c r="AM96" s="263"/>
      <c r="AN96" s="263"/>
      <c r="AO96" s="263"/>
      <c r="AP96" s="263"/>
      <c r="AQ96" s="263"/>
      <c r="AR96" s="263"/>
      <c r="AS96" s="263"/>
      <c r="AT96" s="263"/>
      <c r="AU96" s="263"/>
      <c r="AV96" s="263"/>
      <c r="AW96" s="263"/>
      <c r="AX96" s="263"/>
      <c r="AY96" s="263"/>
      <c r="AZ96" s="263"/>
      <c r="BA96" s="263"/>
      <c r="BB96" s="263"/>
      <c r="BC96" s="263"/>
      <c r="BD96" s="263"/>
      <c r="BE96" s="263"/>
      <c r="BF96" s="263"/>
      <c r="BG96" s="263"/>
      <c r="BH96" s="263"/>
      <c r="BI96" s="263"/>
      <c r="BJ96" s="260"/>
      <c r="BK96" s="260"/>
      <c r="BL96" s="260"/>
      <c r="BM96" s="260"/>
      <c r="BN96" s="260"/>
      <c r="BO96" s="260"/>
      <c r="BP96" s="260"/>
      <c r="BQ96" s="260"/>
      <c r="BR96" s="260"/>
      <c r="BS96" s="260"/>
      <c r="BT96" s="260"/>
      <c r="BU96" s="260"/>
      <c r="BV96" s="260"/>
      <c r="BW96" s="260"/>
      <c r="BX96" s="272"/>
      <c r="BY96" s="272"/>
      <c r="BZ96" s="263"/>
    </row>
    <row r="97" spans="22:78" ht="15.75" customHeight="1">
      <c r="V97" s="272"/>
      <c r="W97" s="272"/>
      <c r="X97" s="272"/>
      <c r="Y97" s="272"/>
      <c r="Z97" s="272"/>
      <c r="AA97" s="272"/>
      <c r="AB97" s="272"/>
      <c r="AC97" s="272"/>
      <c r="AD97" s="272"/>
      <c r="AE97" s="272"/>
      <c r="AF97" s="272"/>
      <c r="AG97" s="272"/>
      <c r="AH97" s="272"/>
      <c r="AI97" s="272"/>
      <c r="AJ97" s="272"/>
      <c r="AK97" s="272"/>
      <c r="AL97" s="272"/>
      <c r="AM97" s="272"/>
      <c r="AN97" s="272"/>
      <c r="AO97" s="272"/>
      <c r="AP97" s="272"/>
      <c r="AQ97" s="272"/>
      <c r="AR97" s="272"/>
      <c r="AS97" s="272"/>
      <c r="AT97" s="272"/>
      <c r="AU97" s="272"/>
      <c r="AV97" s="272"/>
      <c r="AW97" s="272"/>
      <c r="AX97" s="272"/>
      <c r="AY97" s="272"/>
      <c r="AZ97" s="272"/>
      <c r="BA97" s="272"/>
      <c r="BB97" s="272"/>
      <c r="BC97" s="272"/>
      <c r="BD97" s="272"/>
      <c r="BE97" s="272"/>
      <c r="BF97" s="272"/>
      <c r="BG97" s="272"/>
      <c r="BH97" s="272"/>
      <c r="BI97" s="260"/>
      <c r="BJ97" s="260"/>
      <c r="BK97" s="260"/>
      <c r="BL97" s="260"/>
      <c r="BM97" s="260"/>
      <c r="BN97" s="260"/>
      <c r="BO97" s="260"/>
      <c r="BP97" s="260"/>
      <c r="BQ97" s="260"/>
      <c r="BR97" s="260"/>
      <c r="BS97" s="260"/>
      <c r="BT97" s="260"/>
      <c r="BU97" s="260"/>
      <c r="BV97" s="260"/>
      <c r="BW97" s="260"/>
      <c r="BX97" s="272"/>
      <c r="BY97" s="272"/>
      <c r="BZ97" s="272"/>
    </row>
    <row r="98" spans="22:78" ht="15.75" customHeight="1">
      <c r="V98" s="272"/>
      <c r="W98" s="272"/>
      <c r="X98" s="272"/>
      <c r="Y98" s="272"/>
      <c r="Z98" s="272"/>
      <c r="AA98" s="272"/>
      <c r="AB98" s="272"/>
      <c r="AC98" s="272"/>
      <c r="AD98" s="272"/>
      <c r="AE98" s="272"/>
      <c r="AF98" s="272"/>
      <c r="AG98" s="272"/>
      <c r="AH98" s="272"/>
      <c r="AI98" s="272"/>
      <c r="AJ98" s="272"/>
      <c r="AK98" s="272"/>
      <c r="AL98" s="272"/>
      <c r="AM98" s="272"/>
      <c r="AN98" s="272"/>
      <c r="AO98" s="272"/>
      <c r="AP98" s="272"/>
      <c r="AQ98" s="272"/>
      <c r="AR98" s="272"/>
      <c r="AS98" s="272"/>
      <c r="AT98" s="272"/>
      <c r="AU98" s="272"/>
      <c r="AV98" s="272"/>
      <c r="AW98" s="272"/>
      <c r="AX98" s="272"/>
      <c r="AY98" s="272"/>
      <c r="AZ98" s="272"/>
      <c r="BA98" s="272"/>
      <c r="BB98" s="272"/>
      <c r="BC98" s="272"/>
      <c r="BD98" s="272"/>
      <c r="BE98" s="272"/>
      <c r="BF98" s="272"/>
      <c r="BG98" s="272"/>
      <c r="BH98" s="272"/>
      <c r="BI98" s="260"/>
      <c r="BJ98" s="1763"/>
      <c r="BK98" s="1763"/>
      <c r="BL98" s="1763"/>
      <c r="BM98" s="1763"/>
      <c r="BN98" s="1763"/>
      <c r="BO98" s="1763"/>
      <c r="BP98" s="1763"/>
      <c r="BQ98" s="1763"/>
      <c r="BR98" s="1763"/>
      <c r="BS98" s="1763"/>
      <c r="BT98" s="1763"/>
      <c r="BU98" s="1763"/>
      <c r="BV98" s="1763"/>
      <c r="BW98" s="1763"/>
      <c r="BX98" s="264"/>
      <c r="BY98" s="264"/>
      <c r="BZ98" s="272"/>
    </row>
    <row r="99" spans="22:78" ht="15.75" customHeight="1">
      <c r="V99" s="272"/>
      <c r="W99" s="272"/>
      <c r="X99" s="272"/>
      <c r="Y99" s="272"/>
      <c r="Z99" s="272"/>
      <c r="AA99" s="272"/>
      <c r="AB99" s="272"/>
      <c r="AC99" s="272"/>
      <c r="AD99" s="272"/>
      <c r="AE99" s="272"/>
      <c r="AF99" s="272"/>
      <c r="AG99" s="272"/>
      <c r="AH99" s="272"/>
      <c r="AI99" s="272"/>
      <c r="AJ99" s="272"/>
      <c r="AK99" s="272"/>
      <c r="AL99" s="272"/>
      <c r="AM99" s="272"/>
      <c r="AN99" s="272"/>
      <c r="AO99" s="272"/>
      <c r="AP99" s="272"/>
      <c r="AQ99" s="272"/>
      <c r="AR99" s="272"/>
      <c r="AS99" s="272"/>
      <c r="AT99" s="272"/>
      <c r="AU99" s="272"/>
      <c r="AV99" s="272"/>
      <c r="AW99" s="272"/>
      <c r="AX99" s="272"/>
      <c r="AY99" s="272"/>
      <c r="AZ99" s="272"/>
      <c r="BA99" s="272"/>
      <c r="BB99" s="272"/>
      <c r="BC99" s="272"/>
      <c r="BD99" s="272"/>
      <c r="BE99" s="272"/>
      <c r="BF99" s="272"/>
      <c r="BG99" s="272"/>
      <c r="BH99" s="272"/>
      <c r="BI99" s="260"/>
      <c r="BJ99" s="1764"/>
      <c r="BK99" s="1764"/>
      <c r="BL99" s="1764"/>
      <c r="BM99" s="1764"/>
      <c r="BN99" s="1764"/>
      <c r="BO99" s="1764"/>
      <c r="BP99" s="1764"/>
      <c r="BQ99" s="1764"/>
      <c r="BR99" s="1764"/>
      <c r="BS99" s="1764"/>
      <c r="BT99" s="1764"/>
      <c r="BU99" s="1764"/>
      <c r="BV99" s="1764"/>
      <c r="BW99" s="1764"/>
      <c r="BX99" s="265"/>
      <c r="BY99" s="265"/>
      <c r="BZ99" s="272"/>
    </row>
    <row r="100" spans="22:78" ht="15.75" customHeight="1">
      <c r="V100" s="272"/>
      <c r="W100" s="272"/>
      <c r="X100" s="272"/>
      <c r="Y100" s="272"/>
      <c r="Z100" s="272"/>
      <c r="AA100" s="272"/>
      <c r="AB100" s="272"/>
      <c r="AC100" s="272"/>
      <c r="AD100" s="272"/>
      <c r="AE100" s="272"/>
      <c r="AF100" s="272"/>
      <c r="AG100" s="272"/>
      <c r="AH100" s="272"/>
      <c r="AI100" s="272"/>
      <c r="AJ100" s="272"/>
      <c r="AK100" s="272"/>
      <c r="AL100" s="272"/>
      <c r="AM100" s="272"/>
      <c r="AN100" s="272"/>
      <c r="AO100" s="272"/>
      <c r="AP100" s="272"/>
      <c r="AQ100" s="272"/>
      <c r="AR100" s="272"/>
      <c r="AS100" s="272"/>
      <c r="AT100" s="272"/>
      <c r="AU100" s="272"/>
      <c r="AV100" s="272"/>
      <c r="AW100" s="272"/>
      <c r="AX100" s="272"/>
      <c r="AY100" s="272"/>
      <c r="AZ100" s="272"/>
      <c r="BA100" s="272"/>
      <c r="BB100" s="272"/>
      <c r="BC100" s="272"/>
      <c r="BD100" s="272"/>
      <c r="BE100" s="272"/>
      <c r="BF100" s="272"/>
      <c r="BG100" s="272"/>
      <c r="BH100" s="272"/>
      <c r="BI100" s="260"/>
      <c r="BJ100" s="1765"/>
      <c r="BK100" s="1765"/>
      <c r="BL100" s="1765"/>
      <c r="BM100" s="1765"/>
      <c r="BN100" s="1765"/>
      <c r="BO100" s="1765"/>
      <c r="BP100" s="1765"/>
      <c r="BQ100" s="1765"/>
      <c r="BR100" s="1765"/>
      <c r="BS100" s="1765"/>
      <c r="BT100" s="1765"/>
      <c r="BU100" s="1765"/>
      <c r="BV100" s="1765"/>
      <c r="BW100" s="1765"/>
      <c r="BX100" s="1293"/>
      <c r="BY100" s="1293"/>
      <c r="BZ100" s="272"/>
    </row>
    <row r="101" spans="22:78" ht="15.75" customHeight="1">
      <c r="V101" s="272"/>
      <c r="W101" s="272"/>
      <c r="X101" s="272"/>
      <c r="Y101" s="272"/>
      <c r="Z101" s="272"/>
      <c r="AA101" s="272"/>
      <c r="AB101" s="272"/>
      <c r="AC101" s="272"/>
      <c r="AD101" s="272"/>
      <c r="AE101" s="272"/>
      <c r="AF101" s="272"/>
      <c r="AG101" s="272"/>
      <c r="AH101" s="272"/>
      <c r="AI101" s="272"/>
      <c r="AJ101" s="272"/>
      <c r="AK101" s="272"/>
      <c r="AL101" s="272"/>
      <c r="AM101" s="272"/>
      <c r="AN101" s="272"/>
      <c r="AO101" s="272"/>
      <c r="AP101" s="272"/>
      <c r="AQ101" s="272"/>
      <c r="AR101" s="272"/>
      <c r="AS101" s="272"/>
      <c r="AT101" s="272"/>
      <c r="AU101" s="272"/>
      <c r="AV101" s="272"/>
      <c r="AW101" s="272"/>
      <c r="AX101" s="272"/>
      <c r="AY101" s="272"/>
      <c r="AZ101" s="272"/>
      <c r="BA101" s="272"/>
      <c r="BB101" s="272"/>
      <c r="BC101" s="272"/>
      <c r="BD101" s="272"/>
      <c r="BE101" s="272"/>
      <c r="BF101" s="272"/>
      <c r="BG101" s="272"/>
      <c r="BH101" s="272"/>
      <c r="BI101" s="260"/>
      <c r="BJ101" s="1766"/>
      <c r="BK101" s="1766"/>
      <c r="BL101" s="1766"/>
      <c r="BM101" s="1766"/>
      <c r="BN101" s="1766"/>
      <c r="BO101" s="1766"/>
      <c r="BP101" s="1766"/>
      <c r="BQ101" s="1766"/>
      <c r="BR101" s="1766"/>
      <c r="BS101" s="1766"/>
      <c r="BT101" s="1766"/>
      <c r="BU101" s="1766"/>
      <c r="BV101" s="1766"/>
      <c r="BW101" s="1766"/>
      <c r="BX101" s="266"/>
      <c r="BY101" s="266"/>
      <c r="BZ101" s="272"/>
    </row>
    <row r="102" spans="22:78" ht="15.75" customHeight="1">
      <c r="V102" s="264"/>
      <c r="W102" s="264"/>
      <c r="X102" s="264"/>
      <c r="Y102" s="264"/>
      <c r="Z102" s="264"/>
      <c r="AA102" s="264"/>
      <c r="AB102" s="264"/>
      <c r="AC102" s="264"/>
      <c r="AD102" s="264"/>
      <c r="AE102" s="264"/>
      <c r="AF102" s="264"/>
      <c r="AG102" s="264"/>
      <c r="AH102" s="264"/>
      <c r="AI102" s="264"/>
      <c r="AJ102" s="264"/>
      <c r="AK102" s="264"/>
      <c r="AL102" s="264"/>
      <c r="AM102" s="264"/>
      <c r="AN102" s="264"/>
      <c r="AO102" s="264"/>
      <c r="AP102" s="264"/>
      <c r="AQ102" s="264"/>
      <c r="AR102" s="264"/>
      <c r="AS102" s="264"/>
      <c r="AT102" s="264"/>
      <c r="AU102" s="264"/>
      <c r="AV102" s="264"/>
      <c r="AW102" s="264"/>
      <c r="AX102" s="264"/>
      <c r="AY102" s="264"/>
      <c r="AZ102" s="264"/>
      <c r="BA102" s="264"/>
      <c r="BB102" s="264"/>
      <c r="BC102" s="264"/>
      <c r="BD102" s="264"/>
      <c r="BE102" s="264"/>
      <c r="BF102" s="264"/>
      <c r="BG102" s="264"/>
      <c r="BH102" s="264"/>
      <c r="BI102" s="1763"/>
      <c r="BJ102" s="1767"/>
      <c r="BK102" s="1767"/>
      <c r="BL102" s="1767"/>
      <c r="BM102" s="1767"/>
      <c r="BN102" s="1767"/>
      <c r="BO102" s="1767"/>
      <c r="BP102" s="1767"/>
      <c r="BQ102" s="1767"/>
      <c r="BR102" s="1767"/>
      <c r="BS102" s="1767"/>
      <c r="BT102" s="1767"/>
      <c r="BU102" s="1767"/>
      <c r="BV102" s="1767"/>
      <c r="BW102" s="1767"/>
      <c r="BX102" s="1294"/>
      <c r="BY102" s="1294"/>
      <c r="BZ102" s="264"/>
    </row>
    <row r="103" spans="22:78" ht="15.75" customHeight="1">
      <c r="V103" s="265"/>
      <c r="W103" s="265"/>
      <c r="X103" s="265"/>
      <c r="Y103" s="265"/>
      <c r="Z103" s="265"/>
      <c r="AA103" s="265"/>
      <c r="AB103" s="265"/>
      <c r="AC103" s="265"/>
      <c r="AD103" s="265"/>
      <c r="AE103" s="265"/>
      <c r="AF103" s="265"/>
      <c r="AG103" s="265"/>
      <c r="AH103" s="265"/>
      <c r="AI103" s="265"/>
      <c r="AJ103" s="265"/>
      <c r="AK103" s="265"/>
      <c r="AL103" s="265"/>
      <c r="AM103" s="265"/>
      <c r="AN103" s="265"/>
      <c r="AO103" s="265"/>
      <c r="AP103" s="265"/>
      <c r="AQ103" s="265"/>
      <c r="AR103" s="265"/>
      <c r="AS103" s="265"/>
      <c r="AT103" s="265"/>
      <c r="AU103" s="265"/>
      <c r="AV103" s="265"/>
      <c r="AW103" s="265"/>
      <c r="AX103" s="265"/>
      <c r="AY103" s="265"/>
      <c r="AZ103" s="265"/>
      <c r="BA103" s="265"/>
      <c r="BB103" s="265"/>
      <c r="BC103" s="265"/>
      <c r="BD103" s="265"/>
      <c r="BE103" s="265"/>
      <c r="BF103" s="265"/>
      <c r="BG103" s="265"/>
      <c r="BH103" s="265"/>
      <c r="BI103" s="1764"/>
      <c r="BJ103" s="1768"/>
      <c r="BK103" s="1768"/>
      <c r="BL103" s="1768"/>
      <c r="BM103" s="1768"/>
      <c r="BN103" s="1768"/>
      <c r="BO103" s="1768"/>
      <c r="BP103" s="1768"/>
      <c r="BQ103" s="1768"/>
      <c r="BR103" s="1768"/>
      <c r="BS103" s="1768"/>
      <c r="BT103" s="1768"/>
      <c r="BU103" s="1768"/>
      <c r="BV103" s="1768"/>
      <c r="BW103" s="1768"/>
      <c r="BX103" s="1295"/>
      <c r="BY103" s="1295"/>
      <c r="BZ103" s="265"/>
    </row>
    <row r="104" spans="22:78" ht="15.75" customHeight="1">
      <c r="V104" s="1293"/>
      <c r="W104" s="1293"/>
      <c r="X104" s="1293"/>
      <c r="Y104" s="1293"/>
      <c r="Z104" s="1293"/>
      <c r="AA104" s="1293"/>
      <c r="AB104" s="1293"/>
      <c r="AC104" s="1293"/>
      <c r="AD104" s="1293"/>
      <c r="AE104" s="1293"/>
      <c r="AF104" s="1293"/>
      <c r="AG104" s="1293"/>
      <c r="AH104" s="1293"/>
      <c r="AI104" s="1293"/>
      <c r="AJ104" s="1293"/>
      <c r="AK104" s="1293"/>
      <c r="AL104" s="1293"/>
      <c r="AM104" s="1293"/>
      <c r="AN104" s="1293"/>
      <c r="AO104" s="1293"/>
      <c r="AP104" s="1293"/>
      <c r="AQ104" s="1293"/>
      <c r="AR104" s="1293"/>
      <c r="AS104" s="1293"/>
      <c r="AT104" s="1293"/>
      <c r="AU104" s="1293"/>
      <c r="AV104" s="1293"/>
      <c r="AW104" s="1293"/>
      <c r="AX104" s="1293"/>
      <c r="AY104" s="1293"/>
      <c r="AZ104" s="1293"/>
      <c r="BA104" s="1293"/>
      <c r="BB104" s="1293"/>
      <c r="BC104" s="1293"/>
      <c r="BD104" s="1293"/>
      <c r="BE104" s="1293"/>
      <c r="BF104" s="1293"/>
      <c r="BG104" s="1293"/>
      <c r="BH104" s="1293"/>
      <c r="BI104" s="1765"/>
      <c r="BJ104" s="1760"/>
      <c r="BK104" s="1760"/>
      <c r="BL104" s="1760"/>
      <c r="BM104" s="1760"/>
      <c r="BN104" s="1760"/>
      <c r="BO104" s="1760"/>
      <c r="BP104" s="1760"/>
      <c r="BQ104" s="1760"/>
      <c r="BR104" s="1760"/>
      <c r="BS104" s="1760"/>
      <c r="BT104" s="1760"/>
      <c r="BU104" s="1760"/>
      <c r="BV104" s="1760"/>
      <c r="BW104" s="1760"/>
      <c r="BX104" s="1296"/>
      <c r="BY104" s="1296"/>
      <c r="BZ104" s="1293"/>
    </row>
    <row r="105" spans="22:78" ht="15.75" customHeight="1">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1766"/>
      <c r="BJ105" s="1760"/>
      <c r="BK105" s="1760"/>
      <c r="BL105" s="1760"/>
      <c r="BM105" s="1760"/>
      <c r="BN105" s="1760"/>
      <c r="BO105" s="1760"/>
      <c r="BP105" s="1760"/>
      <c r="BQ105" s="1760"/>
      <c r="BR105" s="1760"/>
      <c r="BS105" s="1760"/>
      <c r="BT105" s="1760"/>
      <c r="BU105" s="1760"/>
      <c r="BV105" s="1760"/>
      <c r="BW105" s="1760"/>
      <c r="BX105" s="1290"/>
      <c r="BY105" s="1290"/>
      <c r="BZ105" s="266"/>
    </row>
    <row r="106" spans="22:78" ht="15.75" customHeight="1">
      <c r="V106" s="1294"/>
      <c r="W106" s="1294"/>
      <c r="X106" s="1294"/>
      <c r="Y106" s="1294"/>
      <c r="Z106" s="1294"/>
      <c r="AA106" s="1294"/>
      <c r="AB106" s="1294"/>
      <c r="AC106" s="1294"/>
      <c r="AD106" s="1294"/>
      <c r="AE106" s="1294"/>
      <c r="AF106" s="1294"/>
      <c r="AG106" s="1294"/>
      <c r="AH106" s="1294"/>
      <c r="AI106" s="1294"/>
      <c r="AJ106" s="1294"/>
      <c r="AK106" s="1294"/>
      <c r="AL106" s="1294"/>
      <c r="AM106" s="1294"/>
      <c r="AN106" s="1294"/>
      <c r="AO106" s="1294"/>
      <c r="AP106" s="1294"/>
      <c r="AQ106" s="1294"/>
      <c r="AR106" s="1294"/>
      <c r="AS106" s="1294"/>
      <c r="AT106" s="1294"/>
      <c r="AU106" s="1294"/>
      <c r="AV106" s="1294"/>
      <c r="AW106" s="1294"/>
      <c r="AX106" s="1294"/>
      <c r="AY106" s="1294"/>
      <c r="AZ106" s="1294"/>
      <c r="BA106" s="1294"/>
      <c r="BB106" s="1294"/>
      <c r="BC106" s="1294"/>
      <c r="BD106" s="1294"/>
      <c r="BE106" s="1294"/>
      <c r="BF106" s="1294"/>
      <c r="BG106" s="1294"/>
      <c r="BH106" s="1294"/>
      <c r="BI106" s="1767"/>
      <c r="BJ106" s="261"/>
      <c r="BK106" s="261"/>
      <c r="BL106" s="261"/>
      <c r="BM106" s="261"/>
      <c r="BN106" s="261"/>
      <c r="BO106" s="261"/>
      <c r="BP106" s="261"/>
      <c r="BQ106" s="261"/>
      <c r="BR106" s="261"/>
      <c r="BS106" s="261"/>
      <c r="BT106" s="261"/>
      <c r="BU106" s="261"/>
      <c r="BV106" s="261"/>
      <c r="BW106" s="261"/>
      <c r="BX106" s="267"/>
      <c r="BY106" s="267"/>
      <c r="BZ106" s="1294"/>
    </row>
    <row r="107" spans="22:78" ht="15.75" customHeight="1">
      <c r="V107" s="1295"/>
      <c r="W107" s="1295"/>
      <c r="X107" s="1295"/>
      <c r="Y107" s="1295"/>
      <c r="Z107" s="1295"/>
      <c r="AA107" s="1295"/>
      <c r="AB107" s="1295"/>
      <c r="AC107" s="1295"/>
      <c r="AD107" s="1295"/>
      <c r="AE107" s="1295"/>
      <c r="AF107" s="1295"/>
      <c r="AG107" s="1295"/>
      <c r="AH107" s="1295"/>
      <c r="AI107" s="1295"/>
      <c r="AJ107" s="1295"/>
      <c r="AK107" s="1295"/>
      <c r="AL107" s="1295"/>
      <c r="AM107" s="1295"/>
      <c r="AN107" s="1295"/>
      <c r="AO107" s="1295"/>
      <c r="AP107" s="1295"/>
      <c r="AQ107" s="1295"/>
      <c r="AR107" s="1295"/>
      <c r="AS107" s="1295"/>
      <c r="AT107" s="1295"/>
      <c r="AU107" s="1295"/>
      <c r="AV107" s="1295"/>
      <c r="AW107" s="1295"/>
      <c r="AX107" s="1295"/>
      <c r="AY107" s="1295"/>
      <c r="AZ107" s="1295"/>
      <c r="BA107" s="1295"/>
      <c r="BB107" s="1295"/>
      <c r="BC107" s="1295"/>
      <c r="BD107" s="1295"/>
      <c r="BE107" s="1295"/>
      <c r="BF107" s="1295"/>
      <c r="BG107" s="1295"/>
      <c r="BH107" s="1295"/>
      <c r="BI107" s="1768"/>
      <c r="BJ107" s="1769"/>
      <c r="BK107" s="1769"/>
      <c r="BL107" s="1769"/>
      <c r="BM107" s="1769"/>
      <c r="BN107" s="1769"/>
      <c r="BO107" s="1769"/>
      <c r="BP107" s="1769"/>
      <c r="BQ107" s="1769"/>
      <c r="BR107" s="1769"/>
      <c r="BS107" s="1769"/>
      <c r="BT107" s="1769"/>
      <c r="BU107" s="1769"/>
      <c r="BV107" s="1769"/>
      <c r="BW107" s="1769"/>
      <c r="BX107" s="1297"/>
      <c r="BY107" s="1297"/>
      <c r="BZ107" s="1295"/>
    </row>
    <row r="108" spans="22:78" ht="15.75" customHeight="1">
      <c r="V108" s="1296"/>
      <c r="W108" s="1296"/>
      <c r="X108" s="1296"/>
      <c r="Y108" s="1296"/>
      <c r="Z108" s="1296"/>
      <c r="AA108" s="1296"/>
      <c r="AB108" s="1296"/>
      <c r="AC108" s="1296"/>
      <c r="AD108" s="1296"/>
      <c r="AE108" s="1296"/>
      <c r="AF108" s="1296"/>
      <c r="AG108" s="1296"/>
      <c r="AH108" s="1296"/>
      <c r="AI108" s="1296"/>
      <c r="AJ108" s="1296"/>
      <c r="AK108" s="1296"/>
      <c r="AL108" s="1296"/>
      <c r="AM108" s="1296"/>
      <c r="AN108" s="1296"/>
      <c r="AO108" s="1296"/>
      <c r="AP108" s="1296"/>
      <c r="AQ108" s="1296"/>
      <c r="AR108" s="1296"/>
      <c r="AS108" s="1296"/>
      <c r="AT108" s="1296"/>
      <c r="AU108" s="1296"/>
      <c r="AV108" s="1296"/>
      <c r="AW108" s="1296"/>
      <c r="AX108" s="1296"/>
      <c r="AY108" s="1296"/>
      <c r="AZ108" s="1296"/>
      <c r="BA108" s="1296"/>
      <c r="BB108" s="1296"/>
      <c r="BC108" s="1296"/>
      <c r="BD108" s="1296"/>
      <c r="BE108" s="1296"/>
      <c r="BF108" s="1296"/>
      <c r="BG108" s="1296"/>
      <c r="BH108" s="1296"/>
      <c r="BI108" s="1760"/>
      <c r="BJ108" s="1769"/>
      <c r="BK108" s="1769"/>
      <c r="BL108" s="1769"/>
      <c r="BM108" s="1769"/>
      <c r="BN108" s="1769"/>
      <c r="BO108" s="1769"/>
      <c r="BP108" s="1769"/>
      <c r="BQ108" s="1769"/>
      <c r="BR108" s="1769"/>
      <c r="BS108" s="1769"/>
      <c r="BT108" s="1769"/>
      <c r="BU108" s="1769"/>
      <c r="BV108" s="1769"/>
      <c r="BW108" s="1769"/>
      <c r="BX108" s="1297"/>
      <c r="BY108" s="1297"/>
      <c r="BZ108" s="1296"/>
    </row>
    <row r="109" spans="22:78" ht="15.75" customHeight="1">
      <c r="V109" s="1290"/>
      <c r="W109" s="1290"/>
      <c r="X109" s="1290"/>
      <c r="Y109" s="1290"/>
      <c r="Z109" s="1290"/>
      <c r="AA109" s="1290"/>
      <c r="AB109" s="1290"/>
      <c r="AC109" s="1290"/>
      <c r="AD109" s="1290"/>
      <c r="AE109" s="1290"/>
      <c r="AF109" s="1290"/>
      <c r="AG109" s="1290"/>
      <c r="AH109" s="1290"/>
      <c r="AI109" s="1290"/>
      <c r="AJ109" s="1290"/>
      <c r="AK109" s="1290"/>
      <c r="AL109" s="1290"/>
      <c r="AM109" s="1290"/>
      <c r="AN109" s="1290"/>
      <c r="AO109" s="1290"/>
      <c r="AP109" s="1290"/>
      <c r="AQ109" s="1290"/>
      <c r="AR109" s="1290"/>
      <c r="AS109" s="1290"/>
      <c r="AT109" s="1290"/>
      <c r="AU109" s="1290"/>
      <c r="AV109" s="1290"/>
      <c r="AW109" s="1290"/>
      <c r="AX109" s="1290"/>
      <c r="AY109" s="1290"/>
      <c r="AZ109" s="1290"/>
      <c r="BA109" s="1290"/>
      <c r="BB109" s="1290"/>
      <c r="BC109" s="1290"/>
      <c r="BD109" s="1290"/>
      <c r="BE109" s="1290"/>
      <c r="BF109" s="1290"/>
      <c r="BG109" s="1290"/>
      <c r="BH109" s="1290"/>
      <c r="BI109" s="1760"/>
      <c r="BJ109" s="1769"/>
      <c r="BK109" s="1769"/>
      <c r="BL109" s="1769"/>
      <c r="BM109" s="1769"/>
      <c r="BN109" s="1769"/>
      <c r="BO109" s="1769"/>
      <c r="BP109" s="1769"/>
      <c r="BQ109" s="1769"/>
      <c r="BR109" s="1769"/>
      <c r="BS109" s="1769"/>
      <c r="BT109" s="1769"/>
      <c r="BU109" s="1769"/>
      <c r="BV109" s="1769"/>
      <c r="BW109" s="1769"/>
      <c r="BX109" s="1297"/>
      <c r="BY109" s="1297"/>
      <c r="BZ109" s="1290"/>
    </row>
    <row r="110" spans="22:78" ht="15.75" customHeight="1">
      <c r="V110" s="267"/>
      <c r="W110" s="267"/>
      <c r="X110" s="267"/>
      <c r="Y110" s="267"/>
      <c r="Z110" s="267"/>
      <c r="AA110" s="267"/>
      <c r="AB110" s="267"/>
      <c r="AC110" s="267"/>
      <c r="AD110" s="267"/>
      <c r="AE110" s="267"/>
      <c r="AF110" s="267"/>
      <c r="AG110" s="267"/>
      <c r="AH110" s="267"/>
      <c r="AI110" s="267"/>
      <c r="AJ110" s="267"/>
      <c r="AK110" s="267"/>
      <c r="AL110" s="267"/>
      <c r="AM110" s="267"/>
      <c r="AN110" s="267"/>
      <c r="AO110" s="267"/>
      <c r="AP110" s="267"/>
      <c r="AQ110" s="267"/>
      <c r="AR110" s="267"/>
      <c r="AS110" s="267"/>
      <c r="AT110" s="267"/>
      <c r="AU110" s="267"/>
      <c r="AV110" s="267"/>
      <c r="AW110" s="267"/>
      <c r="AX110" s="267"/>
      <c r="AY110" s="267"/>
      <c r="AZ110" s="267"/>
      <c r="BA110" s="267"/>
      <c r="BB110" s="267"/>
      <c r="BC110" s="267"/>
      <c r="BD110" s="267"/>
      <c r="BE110" s="267"/>
      <c r="BF110" s="267"/>
      <c r="BG110" s="267"/>
      <c r="BH110" s="267"/>
      <c r="BI110" s="261"/>
      <c r="BJ110" s="1770"/>
      <c r="BK110" s="1770"/>
      <c r="BL110" s="1770"/>
      <c r="BM110" s="1770"/>
      <c r="BN110" s="1770"/>
      <c r="BO110" s="1770"/>
      <c r="BP110" s="1770"/>
      <c r="BQ110" s="1770"/>
      <c r="BR110" s="1770"/>
      <c r="BS110" s="1770"/>
      <c r="BT110" s="1770"/>
      <c r="BU110" s="1770"/>
      <c r="BV110" s="1770"/>
      <c r="BW110" s="1770"/>
      <c r="BX110" s="1298"/>
      <c r="BY110" s="1298"/>
      <c r="BZ110" s="267"/>
    </row>
    <row r="111" spans="22:78" ht="15.75" customHeight="1">
      <c r="V111" s="1297"/>
      <c r="W111" s="1297"/>
      <c r="X111" s="1297"/>
      <c r="Y111" s="1297"/>
      <c r="Z111" s="1297"/>
      <c r="AA111" s="1297"/>
      <c r="AB111" s="1297"/>
      <c r="AC111" s="1297"/>
      <c r="AD111" s="1297"/>
      <c r="AE111" s="1297"/>
      <c r="AF111" s="1297"/>
      <c r="AG111" s="1297"/>
      <c r="AH111" s="1297"/>
      <c r="AI111" s="1297"/>
      <c r="AJ111" s="1297"/>
      <c r="AK111" s="1297"/>
      <c r="AL111" s="1297"/>
      <c r="AM111" s="1297"/>
      <c r="AN111" s="1297"/>
      <c r="AO111" s="1297"/>
      <c r="AP111" s="1297"/>
      <c r="AQ111" s="1297"/>
      <c r="AR111" s="1297"/>
      <c r="AS111" s="1297"/>
      <c r="AT111" s="1297"/>
      <c r="AU111" s="1297"/>
      <c r="AV111" s="1297"/>
      <c r="AW111" s="1297"/>
      <c r="AX111" s="1297"/>
      <c r="AY111" s="1297"/>
      <c r="AZ111" s="1297"/>
      <c r="BA111" s="1297"/>
      <c r="BB111" s="1297"/>
      <c r="BC111" s="1297"/>
      <c r="BD111" s="1297"/>
      <c r="BE111" s="1297"/>
      <c r="BF111" s="1297"/>
      <c r="BG111" s="1297"/>
      <c r="BH111" s="1297"/>
      <c r="BI111" s="1769"/>
      <c r="BJ111" s="268"/>
      <c r="BK111" s="268"/>
      <c r="BL111" s="268"/>
      <c r="BM111" s="268"/>
      <c r="BN111" s="268"/>
      <c r="BO111" s="268"/>
      <c r="BP111" s="268"/>
      <c r="BQ111" s="268"/>
      <c r="BR111" s="268"/>
      <c r="BS111" s="268"/>
      <c r="BT111" s="268"/>
      <c r="BU111" s="268"/>
      <c r="BV111" s="268"/>
      <c r="BW111" s="268"/>
      <c r="BX111" s="1299"/>
      <c r="BY111" s="1299"/>
      <c r="BZ111" s="1297"/>
    </row>
    <row r="112" spans="22:78" ht="15.75" customHeight="1">
      <c r="V112" s="1297"/>
      <c r="W112" s="1297"/>
      <c r="X112" s="1297"/>
      <c r="Y112" s="1297"/>
      <c r="Z112" s="1297"/>
      <c r="AA112" s="1297"/>
      <c r="AB112" s="1297"/>
      <c r="AC112" s="1297"/>
      <c r="AD112" s="1297"/>
      <c r="AE112" s="1297"/>
      <c r="AF112" s="1297"/>
      <c r="AG112" s="1297"/>
      <c r="AH112" s="1297"/>
      <c r="AI112" s="1297"/>
      <c r="AJ112" s="1297"/>
      <c r="AK112" s="1297"/>
      <c r="AL112" s="1297"/>
      <c r="AM112" s="1297"/>
      <c r="AN112" s="1297"/>
      <c r="AO112" s="1297"/>
      <c r="AP112" s="1297"/>
      <c r="AQ112" s="1297"/>
      <c r="AR112" s="1297"/>
      <c r="AS112" s="1297"/>
      <c r="AT112" s="1297"/>
      <c r="AU112" s="1297"/>
      <c r="AV112" s="1297"/>
      <c r="AW112" s="1297"/>
      <c r="AX112" s="1297"/>
      <c r="AY112" s="1297"/>
      <c r="AZ112" s="1297"/>
      <c r="BA112" s="1297"/>
      <c r="BB112" s="1297"/>
      <c r="BC112" s="1297"/>
      <c r="BD112" s="1297"/>
      <c r="BE112" s="1297"/>
      <c r="BF112" s="1297"/>
      <c r="BG112" s="1297"/>
      <c r="BH112" s="1297"/>
      <c r="BI112" s="1769"/>
      <c r="BJ112" s="1769"/>
      <c r="BK112" s="1769"/>
      <c r="BL112" s="1769"/>
      <c r="BM112" s="1769"/>
      <c r="BN112" s="1769"/>
      <c r="BO112" s="1769"/>
      <c r="BP112" s="1769"/>
      <c r="BQ112" s="1769"/>
      <c r="BR112" s="1769"/>
      <c r="BS112" s="1769"/>
      <c r="BT112" s="1769"/>
      <c r="BU112" s="1769"/>
      <c r="BV112" s="1769"/>
      <c r="BW112" s="1769"/>
      <c r="BX112" s="1297"/>
      <c r="BY112" s="1297"/>
      <c r="BZ112" s="1297"/>
    </row>
    <row r="113" spans="22:78" ht="15.75" customHeight="1">
      <c r="V113" s="1297"/>
      <c r="W113" s="1297"/>
      <c r="X113" s="1297"/>
      <c r="Y113" s="1297"/>
      <c r="Z113" s="1297"/>
      <c r="AA113" s="1297"/>
      <c r="AB113" s="1297"/>
      <c r="AC113" s="1297"/>
      <c r="AD113" s="1297"/>
      <c r="AE113" s="1297"/>
      <c r="AF113" s="1297"/>
      <c r="AG113" s="1297"/>
      <c r="AH113" s="1297"/>
      <c r="AI113" s="1297"/>
      <c r="AJ113" s="1297"/>
      <c r="AK113" s="1297"/>
      <c r="AL113" s="1297"/>
      <c r="AM113" s="1297"/>
      <c r="AN113" s="1297"/>
      <c r="AO113" s="1297"/>
      <c r="AP113" s="1297"/>
      <c r="AQ113" s="1297"/>
      <c r="AR113" s="1297"/>
      <c r="AS113" s="1297"/>
      <c r="AT113" s="1297"/>
      <c r="AU113" s="1297"/>
      <c r="AV113" s="1297"/>
      <c r="AW113" s="1297"/>
      <c r="AX113" s="1297"/>
      <c r="AY113" s="1297"/>
      <c r="AZ113" s="1297"/>
      <c r="BA113" s="1297"/>
      <c r="BB113" s="1297"/>
      <c r="BC113" s="1297"/>
      <c r="BD113" s="1297"/>
      <c r="BE113" s="1297"/>
      <c r="BF113" s="1297"/>
      <c r="BG113" s="1297"/>
      <c r="BH113" s="1297"/>
      <c r="BI113" s="1769"/>
      <c r="BJ113" s="1769"/>
      <c r="BK113" s="1769"/>
      <c r="BL113" s="1769"/>
      <c r="BM113" s="1769"/>
      <c r="BN113" s="1769"/>
      <c r="BO113" s="1769"/>
      <c r="BP113" s="1769"/>
      <c r="BQ113" s="1769"/>
      <c r="BR113" s="1769"/>
      <c r="BS113" s="1769"/>
      <c r="BT113" s="1769"/>
      <c r="BU113" s="1769"/>
      <c r="BV113" s="1769"/>
      <c r="BW113" s="1769"/>
      <c r="BX113" s="1297"/>
      <c r="BY113" s="1297"/>
      <c r="BZ113" s="1297"/>
    </row>
    <row r="114" spans="22:78" ht="15.75" customHeight="1">
      <c r="V114" s="1298"/>
      <c r="W114" s="1298"/>
      <c r="X114" s="1298"/>
      <c r="Y114" s="1298"/>
      <c r="Z114" s="1298"/>
      <c r="AA114" s="1298"/>
      <c r="AB114" s="1298"/>
      <c r="AC114" s="1298"/>
      <c r="AD114" s="1298"/>
      <c r="AE114" s="1298"/>
      <c r="AF114" s="1298"/>
      <c r="AG114" s="1298"/>
      <c r="AH114" s="1298"/>
      <c r="AI114" s="1298"/>
      <c r="AJ114" s="1298"/>
      <c r="AK114" s="1298"/>
      <c r="AL114" s="1298"/>
      <c r="AM114" s="1298"/>
      <c r="AN114" s="1298"/>
      <c r="AO114" s="1298"/>
      <c r="AP114" s="1298"/>
      <c r="AQ114" s="1298"/>
      <c r="AR114" s="1298"/>
      <c r="AS114" s="1298"/>
      <c r="AT114" s="1298"/>
      <c r="AU114" s="1298"/>
      <c r="AV114" s="1298"/>
      <c r="AW114" s="1298"/>
      <c r="AX114" s="1298"/>
      <c r="AY114" s="1298"/>
      <c r="AZ114" s="1298"/>
      <c r="BA114" s="1298"/>
      <c r="BB114" s="1298"/>
      <c r="BC114" s="1298"/>
      <c r="BD114" s="1298"/>
      <c r="BE114" s="1298"/>
      <c r="BF114" s="1298"/>
      <c r="BG114" s="1298"/>
      <c r="BH114" s="1298"/>
      <c r="BI114" s="1770"/>
      <c r="BJ114" s="260"/>
      <c r="BK114" s="260"/>
      <c r="BL114" s="260"/>
      <c r="BM114" s="260"/>
      <c r="BN114" s="260"/>
      <c r="BO114" s="260"/>
      <c r="BP114" s="260"/>
      <c r="BQ114" s="260"/>
      <c r="BR114" s="260"/>
      <c r="BS114" s="260"/>
      <c r="BT114" s="260"/>
      <c r="BU114" s="260"/>
      <c r="BV114" s="260"/>
      <c r="BW114" s="260"/>
      <c r="BX114" s="272"/>
      <c r="BY114" s="272"/>
      <c r="BZ114" s="1298"/>
    </row>
    <row r="115" spans="22:78" ht="15.75" customHeight="1">
      <c r="V115" s="1299"/>
      <c r="W115" s="1299"/>
      <c r="X115" s="1299"/>
      <c r="Y115" s="1299"/>
      <c r="Z115" s="1299"/>
      <c r="AA115" s="1299"/>
      <c r="AB115" s="1299"/>
      <c r="AC115" s="1299"/>
      <c r="AD115" s="1299"/>
      <c r="AE115" s="1299"/>
      <c r="AF115" s="1299"/>
      <c r="AG115" s="1299"/>
      <c r="AH115" s="1299"/>
      <c r="AI115" s="1299"/>
      <c r="AJ115" s="1299"/>
      <c r="AK115" s="1299"/>
      <c r="AL115" s="1299"/>
      <c r="AM115" s="1299"/>
      <c r="AN115" s="1299"/>
      <c r="AO115" s="1299"/>
      <c r="AP115" s="1299"/>
      <c r="AQ115" s="1299"/>
      <c r="AR115" s="1299"/>
      <c r="AS115" s="1299"/>
      <c r="AT115" s="1299"/>
      <c r="AU115" s="1299"/>
      <c r="AV115" s="1299"/>
      <c r="AW115" s="1299"/>
      <c r="AX115" s="1299"/>
      <c r="AY115" s="1299"/>
      <c r="AZ115" s="1299"/>
      <c r="BA115" s="1299"/>
      <c r="BB115" s="1299"/>
      <c r="BC115" s="1299"/>
      <c r="BD115" s="1299"/>
      <c r="BE115" s="1299"/>
      <c r="BF115" s="1299"/>
      <c r="BG115" s="1299"/>
      <c r="BH115" s="1299"/>
      <c r="BI115" s="268"/>
      <c r="BJ115" s="268"/>
      <c r="BK115" s="268"/>
      <c r="BL115" s="268"/>
      <c r="BM115" s="268"/>
      <c r="BN115" s="268"/>
      <c r="BO115" s="268"/>
      <c r="BP115" s="268"/>
      <c r="BQ115" s="268"/>
      <c r="BR115" s="268"/>
      <c r="BS115" s="268"/>
      <c r="BT115" s="268"/>
      <c r="BU115" s="268"/>
      <c r="BV115" s="268"/>
      <c r="BW115" s="268"/>
      <c r="BX115" s="268"/>
      <c r="BY115" s="268"/>
      <c r="BZ115" s="1299"/>
    </row>
    <row r="116" spans="22:78" ht="15.75" customHeight="1">
      <c r="V116" s="1297"/>
      <c r="W116" s="1297"/>
      <c r="X116" s="1297"/>
      <c r="Y116" s="1297"/>
      <c r="Z116" s="1297"/>
      <c r="AA116" s="1297"/>
      <c r="AB116" s="1297"/>
      <c r="AC116" s="1297"/>
      <c r="AD116" s="1297"/>
      <c r="AE116" s="1297"/>
      <c r="AF116" s="1297"/>
      <c r="AG116" s="1297"/>
      <c r="AH116" s="1297"/>
      <c r="AI116" s="1297"/>
      <c r="AJ116" s="1297"/>
      <c r="AK116" s="1297"/>
      <c r="AL116" s="1297"/>
      <c r="AM116" s="1297"/>
      <c r="AN116" s="1297"/>
      <c r="AO116" s="1297"/>
      <c r="AP116" s="1297"/>
      <c r="AQ116" s="1297"/>
      <c r="AR116" s="1297"/>
      <c r="AS116" s="1297"/>
      <c r="AT116" s="1297"/>
      <c r="AU116" s="1297"/>
      <c r="AV116" s="1297"/>
      <c r="AW116" s="1297"/>
      <c r="AX116" s="1297"/>
      <c r="AY116" s="1297"/>
      <c r="AZ116" s="1297"/>
      <c r="BA116" s="1297"/>
      <c r="BB116" s="1297"/>
      <c r="BC116" s="1297"/>
      <c r="BD116" s="1297"/>
      <c r="BE116" s="1297"/>
      <c r="BF116" s="1297"/>
      <c r="BG116" s="1297"/>
      <c r="BH116" s="1297"/>
      <c r="BI116" s="1769"/>
      <c r="BJ116" s="1771"/>
      <c r="BK116" s="1771"/>
      <c r="BL116" s="1771"/>
      <c r="BM116" s="1771"/>
      <c r="BN116" s="1771"/>
      <c r="BO116" s="1771"/>
      <c r="BP116" s="1771"/>
      <c r="BQ116" s="1771"/>
      <c r="BR116" s="1771"/>
      <c r="BS116" s="1771"/>
      <c r="BT116" s="1771"/>
      <c r="BU116" s="1771"/>
      <c r="BV116" s="1771"/>
      <c r="BW116" s="1771"/>
      <c r="BX116" s="538"/>
      <c r="BY116" s="538"/>
      <c r="BZ116" s="1297"/>
    </row>
    <row r="117" spans="22:78" ht="15.75" customHeight="1">
      <c r="V117" s="1297"/>
      <c r="W117" s="1297"/>
      <c r="X117" s="1297"/>
      <c r="Y117" s="1297"/>
      <c r="Z117" s="1297"/>
      <c r="AA117" s="1297"/>
      <c r="AB117" s="1297"/>
      <c r="AC117" s="1297"/>
      <c r="AD117" s="1297"/>
      <c r="AE117" s="1297"/>
      <c r="AF117" s="1297"/>
      <c r="AG117" s="1297"/>
      <c r="AH117" s="1297"/>
      <c r="AI117" s="1297"/>
      <c r="AJ117" s="1297"/>
      <c r="AK117" s="1297"/>
      <c r="AL117" s="1297"/>
      <c r="AM117" s="1297"/>
      <c r="AN117" s="1297"/>
      <c r="AO117" s="1297"/>
      <c r="AP117" s="1297"/>
      <c r="AQ117" s="1297"/>
      <c r="AR117" s="1297"/>
      <c r="AS117" s="1297"/>
      <c r="AT117" s="1297"/>
      <c r="AU117" s="1297"/>
      <c r="AV117" s="1297"/>
      <c r="AW117" s="1297"/>
      <c r="AX117" s="1297"/>
      <c r="AY117" s="1297"/>
      <c r="AZ117" s="1297"/>
      <c r="BA117" s="1297"/>
      <c r="BB117" s="1297"/>
      <c r="BC117" s="1297"/>
      <c r="BD117" s="1297"/>
      <c r="BE117" s="1297"/>
      <c r="BF117" s="1297"/>
      <c r="BG117" s="1297"/>
      <c r="BH117" s="1297"/>
      <c r="BI117" s="1769"/>
      <c r="BJ117" s="1772"/>
      <c r="BK117" s="1772"/>
      <c r="BL117" s="1772"/>
      <c r="BM117" s="1772"/>
      <c r="BN117" s="1772"/>
      <c r="BO117" s="1772"/>
      <c r="BP117" s="1772"/>
      <c r="BQ117" s="1772"/>
      <c r="BR117" s="1772"/>
      <c r="BS117" s="1772"/>
      <c r="BT117" s="1772"/>
      <c r="BU117" s="1772"/>
      <c r="BV117" s="1772"/>
      <c r="BW117" s="1772"/>
      <c r="BX117" s="539"/>
      <c r="BY117" s="539"/>
      <c r="BZ117" s="1297"/>
    </row>
    <row r="118" spans="22:78" ht="15.75" customHeight="1">
      <c r="V118" s="272"/>
      <c r="W118" s="272"/>
      <c r="X118" s="272"/>
      <c r="Y118" s="272"/>
      <c r="Z118" s="272"/>
      <c r="AA118" s="272"/>
      <c r="AB118" s="272"/>
      <c r="AC118" s="272"/>
      <c r="AD118" s="272"/>
      <c r="AE118" s="272"/>
      <c r="AF118" s="272"/>
      <c r="AG118" s="272"/>
      <c r="AH118" s="272"/>
      <c r="AI118" s="272"/>
      <c r="AJ118" s="272"/>
      <c r="AK118" s="272"/>
      <c r="AL118" s="272"/>
      <c r="AM118" s="272"/>
      <c r="AN118" s="272"/>
      <c r="AO118" s="272"/>
      <c r="AP118" s="272"/>
      <c r="AQ118" s="272"/>
      <c r="AR118" s="272"/>
      <c r="AS118" s="272"/>
      <c r="AT118" s="272"/>
      <c r="AU118" s="272"/>
      <c r="AV118" s="272"/>
      <c r="AW118" s="272"/>
      <c r="AX118" s="272"/>
      <c r="AY118" s="272"/>
      <c r="AZ118" s="272"/>
      <c r="BA118" s="272"/>
      <c r="BB118" s="272"/>
      <c r="BC118" s="272"/>
      <c r="BD118" s="272"/>
      <c r="BE118" s="272"/>
      <c r="BF118" s="272"/>
      <c r="BG118" s="272"/>
      <c r="BH118" s="272"/>
      <c r="BI118" s="260"/>
      <c r="BJ118" s="269"/>
      <c r="BK118" s="269"/>
      <c r="BL118" s="269"/>
      <c r="BM118" s="269"/>
      <c r="BN118" s="269"/>
      <c r="BO118" s="269"/>
      <c r="BP118" s="269"/>
      <c r="BQ118" s="269"/>
      <c r="BR118" s="269"/>
      <c r="BS118" s="269"/>
      <c r="BT118" s="269"/>
      <c r="BU118" s="269"/>
      <c r="BV118" s="269"/>
      <c r="BW118" s="269"/>
      <c r="BX118" s="269"/>
      <c r="BY118" s="269"/>
      <c r="BZ118" s="272"/>
    </row>
    <row r="119" spans="22:78" ht="15.75" customHeight="1">
      <c r="V119" s="268"/>
      <c r="W119" s="268"/>
      <c r="X119" s="268"/>
      <c r="Y119" s="268"/>
      <c r="Z119" s="268"/>
      <c r="AA119" s="268"/>
      <c r="AB119" s="268"/>
      <c r="AC119" s="268"/>
      <c r="AD119" s="268"/>
      <c r="AE119" s="268"/>
      <c r="AF119" s="268"/>
      <c r="AG119" s="268"/>
      <c r="AH119" s="268"/>
      <c r="AI119" s="268"/>
      <c r="AJ119" s="268"/>
      <c r="AK119" s="268"/>
      <c r="AL119" s="268"/>
      <c r="AM119" s="268"/>
      <c r="AN119" s="268"/>
      <c r="AO119" s="268"/>
      <c r="AP119" s="268"/>
      <c r="AQ119" s="268"/>
      <c r="AR119" s="268"/>
      <c r="AS119" s="268"/>
      <c r="AT119" s="268"/>
      <c r="AU119" s="268"/>
      <c r="AV119" s="268"/>
      <c r="AW119" s="268"/>
      <c r="AX119" s="268"/>
      <c r="AY119" s="268"/>
      <c r="AZ119" s="268"/>
      <c r="BA119" s="268"/>
      <c r="BB119" s="268"/>
      <c r="BC119" s="268"/>
      <c r="BD119" s="268"/>
      <c r="BE119" s="268"/>
      <c r="BF119" s="268"/>
      <c r="BG119" s="268"/>
      <c r="BH119" s="268"/>
      <c r="BI119" s="268"/>
      <c r="BJ119" s="1759"/>
      <c r="BK119" s="1759"/>
      <c r="BL119" s="1759"/>
      <c r="BM119" s="1759"/>
      <c r="BN119" s="1759"/>
      <c r="BO119" s="1759"/>
      <c r="BP119" s="1759"/>
      <c r="BQ119" s="1759"/>
      <c r="BR119" s="1759"/>
      <c r="BS119" s="1759"/>
      <c r="BT119" s="1759"/>
      <c r="BU119" s="1759"/>
      <c r="BV119" s="1759"/>
      <c r="BW119" s="1759"/>
      <c r="BX119" s="1289"/>
      <c r="BY119" s="1289"/>
      <c r="BZ119" s="268"/>
    </row>
    <row r="120" spans="22:78" ht="15.75" customHeight="1">
      <c r="V120" s="538"/>
      <c r="W120" s="538"/>
      <c r="X120" s="538"/>
      <c r="Y120" s="538"/>
      <c r="Z120" s="538"/>
      <c r="AA120" s="538"/>
      <c r="AB120" s="538"/>
      <c r="AC120" s="538"/>
      <c r="AD120" s="538"/>
      <c r="AE120" s="538"/>
      <c r="AF120" s="538"/>
      <c r="AG120" s="538"/>
      <c r="AH120" s="538"/>
      <c r="AI120" s="538"/>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1771"/>
      <c r="BJ120" s="1759"/>
      <c r="BK120" s="1759"/>
      <c r="BL120" s="1759"/>
      <c r="BM120" s="1759"/>
      <c r="BN120" s="1759"/>
      <c r="BO120" s="1759"/>
      <c r="BP120" s="1759"/>
      <c r="BQ120" s="1759"/>
      <c r="BR120" s="1759"/>
      <c r="BS120" s="1759"/>
      <c r="BT120" s="1759"/>
      <c r="BU120" s="1759"/>
      <c r="BV120" s="1759"/>
      <c r="BW120" s="1759"/>
      <c r="BX120" s="1289"/>
      <c r="BY120" s="1289"/>
      <c r="BZ120" s="538"/>
    </row>
    <row r="121" spans="22:78" ht="15.75" customHeight="1">
      <c r="V121" s="260"/>
      <c r="W121" s="539"/>
      <c r="X121" s="539"/>
      <c r="Y121" s="539"/>
      <c r="Z121" s="539"/>
      <c r="AA121" s="539"/>
      <c r="AB121" s="539"/>
      <c r="AC121" s="539"/>
      <c r="AD121" s="539"/>
      <c r="AE121" s="539"/>
      <c r="AF121" s="539"/>
      <c r="AG121" s="539"/>
      <c r="AH121" s="539"/>
      <c r="AI121" s="539"/>
      <c r="AJ121" s="539"/>
      <c r="AK121" s="539"/>
      <c r="AL121" s="539"/>
      <c r="AM121" s="539"/>
      <c r="AN121" s="539"/>
      <c r="AO121" s="539"/>
      <c r="AP121" s="539"/>
      <c r="AQ121" s="539"/>
      <c r="AR121" s="539"/>
      <c r="AS121" s="539"/>
      <c r="AT121" s="539"/>
      <c r="AU121" s="539"/>
      <c r="AV121" s="539"/>
      <c r="AW121" s="539"/>
      <c r="AX121" s="539"/>
      <c r="AY121" s="539"/>
      <c r="AZ121" s="539"/>
      <c r="BA121" s="539"/>
      <c r="BB121" s="539"/>
      <c r="BC121" s="539"/>
      <c r="BD121" s="539"/>
      <c r="BE121" s="539"/>
      <c r="BF121" s="539"/>
      <c r="BG121" s="539"/>
      <c r="BH121" s="539"/>
      <c r="BI121" s="1772"/>
      <c r="BJ121" s="1760"/>
      <c r="BK121" s="1760"/>
      <c r="BL121" s="1760"/>
      <c r="BM121" s="1760"/>
      <c r="BN121" s="1760"/>
      <c r="BO121" s="1760"/>
      <c r="BP121" s="1760"/>
      <c r="BQ121" s="1760"/>
      <c r="BR121" s="1760"/>
      <c r="BS121" s="1760"/>
      <c r="BT121" s="1760"/>
      <c r="BU121" s="1760"/>
      <c r="BV121" s="1760"/>
      <c r="BW121" s="1760"/>
      <c r="BX121" s="1290"/>
      <c r="BY121" s="1290"/>
      <c r="BZ121" s="539"/>
    </row>
    <row r="122" spans="22:78" ht="15.75" customHeight="1">
      <c r="V122" s="260"/>
      <c r="W122" s="260"/>
      <c r="X122" s="260"/>
      <c r="Y122" s="260"/>
      <c r="Z122" s="260"/>
      <c r="AA122" s="269"/>
      <c r="AB122" s="269"/>
      <c r="AC122" s="269"/>
      <c r="AD122" s="269"/>
      <c r="AE122" s="269"/>
      <c r="AF122" s="269"/>
      <c r="AG122" s="269"/>
      <c r="AH122" s="269"/>
      <c r="AI122" s="269"/>
      <c r="AJ122" s="269"/>
      <c r="AK122" s="269"/>
      <c r="AL122" s="269"/>
      <c r="AM122" s="269"/>
      <c r="AN122" s="269"/>
      <c r="AO122" s="269"/>
      <c r="AP122" s="269"/>
      <c r="AQ122" s="269"/>
      <c r="AR122" s="269"/>
      <c r="AS122" s="269"/>
      <c r="AT122" s="269"/>
      <c r="AU122" s="269"/>
      <c r="AV122" s="269"/>
      <c r="AW122" s="269"/>
      <c r="AX122" s="269"/>
      <c r="AY122" s="269"/>
      <c r="AZ122" s="269"/>
      <c r="BA122" s="269"/>
      <c r="BB122" s="269"/>
      <c r="BC122" s="269"/>
      <c r="BD122" s="269"/>
      <c r="BE122" s="269"/>
      <c r="BF122" s="269"/>
      <c r="BG122" s="269"/>
      <c r="BH122" s="269"/>
      <c r="BI122" s="269"/>
      <c r="BJ122" s="1759"/>
      <c r="BK122" s="1759"/>
      <c r="BL122" s="1759"/>
      <c r="BM122" s="1759"/>
      <c r="BN122" s="1759"/>
      <c r="BO122" s="1759"/>
      <c r="BP122" s="1759"/>
      <c r="BQ122" s="1759"/>
      <c r="BR122" s="1759"/>
      <c r="BS122" s="1759"/>
      <c r="BT122" s="1759"/>
      <c r="BU122" s="1759"/>
      <c r="BV122" s="1759"/>
      <c r="BW122" s="1759"/>
      <c r="BX122" s="1289"/>
      <c r="BY122" s="1289"/>
      <c r="BZ122" s="269"/>
    </row>
    <row r="123" spans="22:78" ht="15.75" customHeight="1">
      <c r="V123" s="1289"/>
      <c r="W123" s="1289"/>
      <c r="X123" s="1289"/>
      <c r="Y123" s="1289"/>
      <c r="Z123" s="1289"/>
      <c r="AA123" s="1289"/>
      <c r="AB123" s="1289"/>
      <c r="AC123" s="1289"/>
      <c r="AD123" s="1289"/>
      <c r="AE123" s="1289"/>
      <c r="AF123" s="1289"/>
      <c r="AG123" s="1289"/>
      <c r="AH123" s="1289"/>
      <c r="AI123" s="1289"/>
      <c r="AJ123" s="1289"/>
      <c r="AK123" s="1289"/>
      <c r="AL123" s="1289"/>
      <c r="AM123" s="1289"/>
      <c r="AN123" s="1289"/>
      <c r="AO123" s="1289"/>
      <c r="AP123" s="1289"/>
      <c r="AQ123" s="1289"/>
      <c r="AR123" s="1289"/>
      <c r="AS123" s="1289"/>
      <c r="AT123" s="1289"/>
      <c r="AU123" s="1289"/>
      <c r="AV123" s="1289"/>
      <c r="AW123" s="1289"/>
      <c r="AX123" s="1289"/>
      <c r="AY123" s="1289"/>
      <c r="AZ123" s="1289"/>
      <c r="BA123" s="1289"/>
      <c r="BB123" s="1289"/>
      <c r="BC123" s="1289"/>
      <c r="BD123" s="1289"/>
      <c r="BE123" s="1289"/>
      <c r="BF123" s="1289"/>
      <c r="BG123" s="1289"/>
      <c r="BH123" s="1289"/>
      <c r="BI123" s="1759"/>
      <c r="BJ123" s="1760"/>
      <c r="BK123" s="1760"/>
      <c r="BL123" s="1760"/>
      <c r="BM123" s="1760"/>
      <c r="BN123" s="1760"/>
      <c r="BO123" s="1760"/>
      <c r="BP123" s="1760"/>
      <c r="BQ123" s="1760"/>
      <c r="BR123" s="1760"/>
      <c r="BS123" s="1760"/>
      <c r="BT123" s="1760"/>
      <c r="BU123" s="1760"/>
      <c r="BV123" s="1760"/>
      <c r="BW123" s="1760"/>
      <c r="BX123" s="1290"/>
      <c r="BY123" s="1290"/>
      <c r="BZ123" s="1289"/>
    </row>
    <row r="124" spans="22:78" ht="15.75" customHeight="1">
      <c r="V124" s="270"/>
      <c r="W124" s="270"/>
      <c r="X124" s="270"/>
      <c r="Y124" s="271"/>
      <c r="Z124" s="1289"/>
      <c r="AA124" s="1289"/>
      <c r="AB124" s="1289"/>
      <c r="AC124" s="1289"/>
      <c r="AD124" s="1289"/>
      <c r="AE124" s="1289"/>
      <c r="AF124" s="1289"/>
      <c r="AG124" s="1289"/>
      <c r="AH124" s="1289"/>
      <c r="AI124" s="1289"/>
      <c r="AJ124" s="1289"/>
      <c r="AK124" s="1289"/>
      <c r="AL124" s="1289"/>
      <c r="AM124" s="1289"/>
      <c r="AN124" s="1289"/>
      <c r="AO124" s="1289"/>
      <c r="AP124" s="1289"/>
      <c r="AQ124" s="1289"/>
      <c r="AR124" s="1289"/>
      <c r="AS124" s="1289"/>
      <c r="AT124" s="1289"/>
      <c r="AU124" s="1289"/>
      <c r="AV124" s="1289"/>
      <c r="AW124" s="1289"/>
      <c r="AX124" s="1289"/>
      <c r="AY124" s="1289"/>
      <c r="AZ124" s="1289"/>
      <c r="BA124" s="1289"/>
      <c r="BB124" s="1289"/>
      <c r="BC124" s="1289"/>
      <c r="BD124" s="1289"/>
      <c r="BE124" s="1289"/>
      <c r="BF124" s="1289"/>
      <c r="BG124" s="1289"/>
      <c r="BH124" s="1289"/>
      <c r="BI124" s="1759"/>
      <c r="BJ124" s="1759"/>
      <c r="BK124" s="1759"/>
      <c r="BL124" s="1759"/>
      <c r="BM124" s="1759"/>
      <c r="BN124" s="1759"/>
      <c r="BO124" s="1759"/>
      <c r="BP124" s="1759"/>
      <c r="BQ124" s="1759"/>
      <c r="BR124" s="1759"/>
      <c r="BS124" s="1759"/>
      <c r="BT124" s="1759"/>
      <c r="BU124" s="1759"/>
      <c r="BV124" s="1759"/>
      <c r="BW124" s="1759"/>
      <c r="BX124" s="1289"/>
      <c r="BY124" s="1289"/>
      <c r="BZ124" s="1289"/>
    </row>
    <row r="125" spans="22:78" ht="15.75" customHeight="1">
      <c r="V125" s="1290"/>
      <c r="W125" s="1290"/>
      <c r="X125" s="1290"/>
      <c r="Y125" s="1300"/>
      <c r="Z125" s="1290"/>
      <c r="AA125" s="1290"/>
      <c r="AB125" s="1290"/>
      <c r="AC125" s="1290"/>
      <c r="AD125" s="1290"/>
      <c r="AE125" s="1290"/>
      <c r="AF125" s="1290"/>
      <c r="AG125" s="1290"/>
      <c r="AH125" s="1290"/>
      <c r="AI125" s="1290"/>
      <c r="AJ125" s="1290"/>
      <c r="AK125" s="1290"/>
      <c r="AL125" s="1290"/>
      <c r="AM125" s="1290"/>
      <c r="AN125" s="1290"/>
      <c r="AO125" s="1290"/>
      <c r="AP125" s="1290"/>
      <c r="AQ125" s="1290"/>
      <c r="AR125" s="1290"/>
      <c r="AS125" s="1290"/>
      <c r="AT125" s="1290"/>
      <c r="AU125" s="1290"/>
      <c r="AV125" s="1290"/>
      <c r="AW125" s="1290"/>
      <c r="AX125" s="1290"/>
      <c r="AY125" s="1290"/>
      <c r="AZ125" s="1290"/>
      <c r="BA125" s="1290"/>
      <c r="BB125" s="1290"/>
      <c r="BC125" s="1290"/>
      <c r="BD125" s="1290"/>
      <c r="BE125" s="1290"/>
      <c r="BF125" s="1290"/>
      <c r="BG125" s="1290"/>
      <c r="BH125" s="1290"/>
      <c r="BI125" s="1760"/>
      <c r="BJ125" s="1768"/>
      <c r="BK125" s="1768"/>
      <c r="BL125" s="1768"/>
      <c r="BM125" s="1768"/>
      <c r="BN125" s="1768"/>
      <c r="BO125" s="1768"/>
      <c r="BP125" s="1768"/>
      <c r="BQ125" s="1768"/>
      <c r="BR125" s="1768"/>
      <c r="BS125" s="1768"/>
      <c r="BT125" s="1768"/>
      <c r="BU125" s="1768"/>
      <c r="BV125" s="1768"/>
      <c r="BW125" s="1768"/>
      <c r="BX125" s="1295"/>
      <c r="BY125" s="1295"/>
      <c r="BZ125" s="1290"/>
    </row>
    <row r="126" spans="22:78" ht="15.75" customHeight="1">
      <c r="V126" s="1289"/>
      <c r="W126" s="1289"/>
      <c r="X126" s="1289"/>
      <c r="Y126" s="1289"/>
      <c r="Z126" s="1289"/>
      <c r="AA126" s="1289"/>
      <c r="AB126" s="1289"/>
      <c r="AC126" s="1289"/>
      <c r="AD126" s="1289"/>
      <c r="AE126" s="1289"/>
      <c r="AF126" s="1289"/>
      <c r="AG126" s="1289"/>
      <c r="AH126" s="1289"/>
      <c r="AI126" s="1289"/>
      <c r="AJ126" s="1289"/>
      <c r="AK126" s="1289"/>
      <c r="AL126" s="1289"/>
      <c r="AM126" s="1289"/>
      <c r="AN126" s="1289"/>
      <c r="AO126" s="1289"/>
      <c r="AP126" s="1289"/>
      <c r="AQ126" s="1289"/>
      <c r="AR126" s="1289"/>
      <c r="AS126" s="1289"/>
      <c r="AT126" s="1289"/>
      <c r="AU126" s="1289"/>
      <c r="AV126" s="1289"/>
      <c r="AW126" s="1289"/>
      <c r="AX126" s="1289"/>
      <c r="AY126" s="1289"/>
      <c r="AZ126" s="1289"/>
      <c r="BA126" s="1289"/>
      <c r="BB126" s="1289"/>
      <c r="BC126" s="1289"/>
      <c r="BD126" s="1289"/>
      <c r="BE126" s="1289"/>
      <c r="BF126" s="1289"/>
      <c r="BG126" s="1289"/>
      <c r="BH126" s="1289"/>
      <c r="BI126" s="1759"/>
      <c r="BJ126" s="1758"/>
      <c r="BK126" s="1758"/>
      <c r="BL126" s="1758"/>
      <c r="BM126" s="1758"/>
      <c r="BN126" s="1758"/>
      <c r="BO126" s="1758"/>
      <c r="BP126" s="1758"/>
      <c r="BQ126" s="1758"/>
      <c r="BR126" s="1758"/>
      <c r="BS126" s="1758"/>
      <c r="BT126" s="1758"/>
      <c r="BU126" s="1758"/>
      <c r="BV126" s="1758"/>
      <c r="BW126" s="1758"/>
      <c r="BX126" s="1288"/>
      <c r="BY126" s="1288"/>
      <c r="BZ126" s="1289"/>
    </row>
    <row r="127" spans="22:78" ht="15.75" customHeight="1">
      <c r="V127" s="1290"/>
      <c r="W127" s="1290"/>
      <c r="X127" s="1290"/>
      <c r="Y127" s="1290"/>
      <c r="Z127" s="1290"/>
      <c r="AA127" s="1290"/>
      <c r="AB127" s="1290"/>
      <c r="AC127" s="1290"/>
      <c r="AD127" s="1290"/>
      <c r="AE127" s="1290"/>
      <c r="AF127" s="1290"/>
      <c r="AG127" s="1290"/>
      <c r="AH127" s="1290"/>
      <c r="AI127" s="1290"/>
      <c r="AJ127" s="1290"/>
      <c r="AK127" s="1290"/>
      <c r="AL127" s="1290"/>
      <c r="AM127" s="1290"/>
      <c r="AN127" s="1290"/>
      <c r="AO127" s="1290"/>
      <c r="AP127" s="1290"/>
      <c r="AQ127" s="1290"/>
      <c r="AR127" s="1290"/>
      <c r="AS127" s="1290"/>
      <c r="AT127" s="1290"/>
      <c r="AU127" s="1290"/>
      <c r="AV127" s="1290"/>
      <c r="AW127" s="1290"/>
      <c r="AX127" s="1290"/>
      <c r="AY127" s="1290"/>
      <c r="AZ127" s="1290"/>
      <c r="BA127" s="1290"/>
      <c r="BB127" s="1290"/>
      <c r="BC127" s="1290"/>
      <c r="BD127" s="1290"/>
      <c r="BE127" s="1290"/>
      <c r="BF127" s="1290"/>
      <c r="BG127" s="1290"/>
      <c r="BH127" s="1290"/>
      <c r="BI127" s="1760"/>
      <c r="BJ127" s="1760"/>
      <c r="BK127" s="1760"/>
      <c r="BL127" s="1760"/>
      <c r="BM127" s="1760"/>
      <c r="BN127" s="1760"/>
      <c r="BO127" s="1760"/>
      <c r="BP127" s="1760"/>
      <c r="BQ127" s="1760"/>
      <c r="BR127" s="1760"/>
      <c r="BS127" s="1760"/>
      <c r="BT127" s="1760"/>
      <c r="BU127" s="1760"/>
      <c r="BV127" s="1760"/>
      <c r="BW127" s="1760"/>
      <c r="BX127" s="1290"/>
      <c r="BY127" s="1290"/>
      <c r="BZ127" s="1290"/>
    </row>
    <row r="128" spans="22:78" ht="15.75" customHeight="1">
      <c r="V128" s="1289"/>
      <c r="W128" s="1289"/>
      <c r="X128" s="1289"/>
      <c r="Y128" s="1289"/>
      <c r="Z128" s="1289"/>
      <c r="AA128" s="1289"/>
      <c r="AB128" s="1289"/>
      <c r="AC128" s="1289"/>
      <c r="AD128" s="1289"/>
      <c r="AE128" s="1289"/>
      <c r="AF128" s="1289"/>
      <c r="AG128" s="1289"/>
      <c r="AH128" s="1289"/>
      <c r="AI128" s="1289"/>
      <c r="AJ128" s="1289"/>
      <c r="AK128" s="1289"/>
      <c r="AL128" s="1289"/>
      <c r="AM128" s="1289"/>
      <c r="AN128" s="1289"/>
      <c r="AO128" s="1289"/>
      <c r="AP128" s="1289"/>
      <c r="AQ128" s="1289"/>
      <c r="AR128" s="1289"/>
      <c r="AS128" s="1289"/>
      <c r="AT128" s="1289"/>
      <c r="AU128" s="1289"/>
      <c r="AV128" s="1289"/>
      <c r="AW128" s="1289"/>
      <c r="AX128" s="1289"/>
      <c r="AY128" s="1289"/>
      <c r="AZ128" s="1289"/>
      <c r="BA128" s="1289"/>
      <c r="BB128" s="1289"/>
      <c r="BC128" s="1289"/>
      <c r="BD128" s="1289"/>
      <c r="BE128" s="1289"/>
      <c r="BF128" s="1289"/>
      <c r="BG128" s="1289"/>
      <c r="BH128" s="1289"/>
      <c r="BI128" s="1759"/>
      <c r="BJ128" s="1773"/>
      <c r="BK128" s="1773"/>
      <c r="BL128" s="1773"/>
      <c r="BM128" s="1773"/>
      <c r="BN128" s="1773"/>
      <c r="BO128" s="1773"/>
      <c r="BP128" s="1773"/>
      <c r="BQ128" s="1773"/>
      <c r="BR128" s="1773"/>
      <c r="BS128" s="1773"/>
      <c r="BT128" s="1773"/>
      <c r="BU128" s="1773"/>
      <c r="BV128" s="1773"/>
      <c r="BW128" s="1773"/>
      <c r="BX128" s="1301"/>
      <c r="BY128" s="1301"/>
      <c r="BZ128" s="1289"/>
    </row>
    <row r="129" spans="22:78" ht="15.75" customHeight="1">
      <c r="V129" s="1295"/>
      <c r="W129" s="1295"/>
      <c r="X129" s="1295"/>
      <c r="Y129" s="1295"/>
      <c r="Z129" s="1295"/>
      <c r="AA129" s="1295"/>
      <c r="AB129" s="1295"/>
      <c r="AC129" s="1295"/>
      <c r="AD129" s="1295"/>
      <c r="AE129" s="1295"/>
      <c r="AF129" s="1295"/>
      <c r="AG129" s="1295"/>
      <c r="AH129" s="1295"/>
      <c r="AI129" s="1295"/>
      <c r="AJ129" s="1295"/>
      <c r="AK129" s="1295"/>
      <c r="AL129" s="1295"/>
      <c r="AM129" s="1295"/>
      <c r="AN129" s="1295"/>
      <c r="AO129" s="1295"/>
      <c r="AP129" s="1295"/>
      <c r="AQ129" s="1295"/>
      <c r="AR129" s="1295"/>
      <c r="AS129" s="1295"/>
      <c r="AT129" s="1295"/>
      <c r="AU129" s="1295"/>
      <c r="AV129" s="1295"/>
      <c r="AW129" s="1295"/>
      <c r="AX129" s="1295"/>
      <c r="AY129" s="1295"/>
      <c r="AZ129" s="1295"/>
      <c r="BA129" s="1295"/>
      <c r="BB129" s="1295"/>
      <c r="BC129" s="1295"/>
      <c r="BD129" s="1295"/>
      <c r="BE129" s="1295"/>
      <c r="BF129" s="1295"/>
      <c r="BG129" s="1295"/>
      <c r="BH129" s="1295"/>
      <c r="BI129" s="1768"/>
      <c r="BJ129" s="1773"/>
      <c r="BK129" s="1773"/>
      <c r="BL129" s="1773"/>
      <c r="BM129" s="1773"/>
      <c r="BN129" s="1773"/>
      <c r="BO129" s="1773"/>
      <c r="BP129" s="1773"/>
      <c r="BQ129" s="1773"/>
      <c r="BR129" s="1773"/>
      <c r="BS129" s="1773"/>
      <c r="BT129" s="1773"/>
      <c r="BU129" s="1773"/>
      <c r="BV129" s="1773"/>
      <c r="BW129" s="1773"/>
      <c r="BX129" s="1302"/>
      <c r="BY129" s="1302"/>
      <c r="BZ129" s="1295"/>
    </row>
    <row r="130" spans="22:78" ht="15.75" customHeight="1">
      <c r="V130" s="1288"/>
      <c r="W130" s="1288"/>
      <c r="X130" s="1288"/>
      <c r="Y130" s="1288"/>
      <c r="Z130" s="1288"/>
      <c r="AA130" s="1288"/>
      <c r="AB130" s="1288"/>
      <c r="AC130" s="1288"/>
      <c r="AD130" s="1288"/>
      <c r="AE130" s="1288"/>
      <c r="AF130" s="1288"/>
      <c r="AG130" s="1288"/>
      <c r="AH130" s="1288"/>
      <c r="AI130" s="1288"/>
      <c r="AJ130" s="1288"/>
      <c r="AK130" s="1288"/>
      <c r="AL130" s="1288"/>
      <c r="AM130" s="1288"/>
      <c r="AN130" s="1288"/>
      <c r="AO130" s="1288"/>
      <c r="AP130" s="1288"/>
      <c r="AQ130" s="1288"/>
      <c r="AR130" s="1288"/>
      <c r="AS130" s="1288"/>
      <c r="AT130" s="1288"/>
      <c r="AU130" s="1288"/>
      <c r="AV130" s="1288"/>
      <c r="AW130" s="1288"/>
      <c r="AX130" s="1288"/>
      <c r="AY130" s="1288"/>
      <c r="AZ130" s="1288"/>
      <c r="BA130" s="1288"/>
      <c r="BB130" s="1288"/>
      <c r="BC130" s="1288"/>
      <c r="BD130" s="1288"/>
      <c r="BE130" s="1288"/>
      <c r="BF130" s="1288"/>
      <c r="BG130" s="1288"/>
      <c r="BH130" s="1288"/>
      <c r="BI130" s="1758"/>
      <c r="BJ130" s="1773"/>
      <c r="BK130" s="1773"/>
      <c r="BL130" s="1773"/>
      <c r="BM130" s="1773"/>
      <c r="BN130" s="1773"/>
      <c r="BO130" s="1773"/>
      <c r="BP130" s="1773"/>
      <c r="BQ130" s="1773"/>
      <c r="BR130" s="1773"/>
      <c r="BS130" s="1773"/>
      <c r="BT130" s="1773"/>
      <c r="BU130" s="1773"/>
      <c r="BV130" s="1773"/>
      <c r="BW130" s="1773"/>
      <c r="BX130" s="1301"/>
      <c r="BY130" s="1301"/>
      <c r="BZ130" s="1288"/>
    </row>
    <row r="131" spans="22:78" ht="15.75" customHeight="1">
      <c r="V131" s="1290"/>
      <c r="W131" s="1290"/>
      <c r="X131" s="1290"/>
      <c r="Y131" s="1290"/>
      <c r="Z131" s="1290"/>
      <c r="AA131" s="1290"/>
      <c r="AB131" s="1290"/>
      <c r="AC131" s="1290"/>
      <c r="AD131" s="1290"/>
      <c r="AE131" s="1290"/>
      <c r="AF131" s="1290"/>
      <c r="AG131" s="1290"/>
      <c r="AH131" s="1290"/>
      <c r="AI131" s="1290"/>
      <c r="AJ131" s="1290"/>
      <c r="AK131" s="1290"/>
      <c r="AL131" s="1290"/>
      <c r="AM131" s="1290"/>
      <c r="AN131" s="1290"/>
      <c r="AO131" s="1290"/>
      <c r="AP131" s="1290"/>
      <c r="AQ131" s="1290"/>
      <c r="AR131" s="1290"/>
      <c r="AS131" s="1290"/>
      <c r="AT131" s="1290"/>
      <c r="AU131" s="1290"/>
      <c r="AV131" s="1290"/>
      <c r="AW131" s="1290"/>
      <c r="AX131" s="1290"/>
      <c r="AY131" s="1290"/>
      <c r="AZ131" s="1290"/>
      <c r="BA131" s="1290"/>
      <c r="BB131" s="1290"/>
      <c r="BC131" s="1290"/>
      <c r="BD131" s="1290"/>
      <c r="BE131" s="1290"/>
      <c r="BF131" s="1290"/>
      <c r="BG131" s="1290"/>
      <c r="BH131" s="1290"/>
      <c r="BI131" s="1760"/>
      <c r="BJ131" s="260"/>
      <c r="BK131" s="260"/>
      <c r="BL131" s="260"/>
      <c r="BM131" s="260"/>
      <c r="BN131" s="260"/>
      <c r="BO131" s="260"/>
      <c r="BP131" s="260"/>
      <c r="BQ131" s="260"/>
      <c r="BR131" s="260"/>
      <c r="BS131" s="260"/>
      <c r="BT131" s="260"/>
      <c r="BU131" s="260"/>
      <c r="BV131" s="260"/>
      <c r="BW131" s="260"/>
      <c r="BX131" s="272"/>
      <c r="BY131" s="272"/>
      <c r="BZ131" s="1290"/>
    </row>
    <row r="132" spans="22:78" ht="15.75" customHeight="1">
      <c r="V132" s="1301"/>
      <c r="W132" s="1301"/>
      <c r="X132" s="1301"/>
      <c r="Y132" s="1301"/>
      <c r="Z132" s="1301"/>
      <c r="AA132" s="1301"/>
      <c r="AB132" s="1301"/>
      <c r="AC132" s="1301"/>
      <c r="AD132" s="1301"/>
      <c r="AE132" s="1301"/>
      <c r="AF132" s="1301"/>
      <c r="AG132" s="1301"/>
      <c r="AH132" s="1301"/>
      <c r="AI132" s="1301"/>
      <c r="AJ132" s="1301"/>
      <c r="AK132" s="1301"/>
      <c r="AL132" s="1301"/>
      <c r="AM132" s="1301"/>
      <c r="AN132" s="1301"/>
      <c r="AO132" s="1301"/>
      <c r="AP132" s="1301"/>
      <c r="AQ132" s="1301"/>
      <c r="AR132" s="1301"/>
      <c r="AS132" s="1301"/>
      <c r="AT132" s="1301"/>
      <c r="AU132" s="1301"/>
      <c r="AV132" s="1301"/>
      <c r="AW132" s="1301"/>
      <c r="AX132" s="1301"/>
      <c r="AY132" s="1301"/>
      <c r="AZ132" s="1301"/>
      <c r="BA132" s="1301"/>
      <c r="BB132" s="1301"/>
      <c r="BC132" s="1301"/>
      <c r="BD132" s="1301"/>
      <c r="BE132" s="1301"/>
      <c r="BF132" s="1301"/>
      <c r="BG132" s="1301"/>
      <c r="BH132" s="1301"/>
      <c r="BI132" s="1773"/>
      <c r="BJ132" s="260"/>
      <c r="BK132" s="260"/>
      <c r="BL132" s="260"/>
      <c r="BM132" s="260"/>
      <c r="BN132" s="260"/>
      <c r="BO132" s="260"/>
      <c r="BP132" s="260"/>
      <c r="BQ132" s="260"/>
      <c r="BR132" s="260"/>
      <c r="BS132" s="260"/>
      <c r="BT132" s="260"/>
      <c r="BU132" s="260"/>
      <c r="BV132" s="260"/>
      <c r="BW132" s="260"/>
      <c r="BX132" s="272"/>
      <c r="BY132" s="272"/>
      <c r="BZ132" s="1301"/>
    </row>
    <row r="133" spans="22:78" ht="15.75" customHeight="1">
      <c r="V133" s="1302"/>
      <c r="W133" s="1302"/>
      <c r="X133" s="1302"/>
      <c r="Y133" s="1302"/>
      <c r="Z133" s="1302"/>
      <c r="AA133" s="1302"/>
      <c r="AB133" s="1302"/>
      <c r="AC133" s="1302"/>
      <c r="AD133" s="1302"/>
      <c r="AE133" s="1302"/>
      <c r="AF133" s="1302"/>
      <c r="AG133" s="1302"/>
      <c r="AH133" s="1302"/>
      <c r="AI133" s="1302"/>
      <c r="AJ133" s="1302"/>
      <c r="AK133" s="1302"/>
      <c r="AL133" s="1302"/>
      <c r="AM133" s="1302"/>
      <c r="AN133" s="1302"/>
      <c r="AO133" s="1302"/>
      <c r="AP133" s="1302"/>
      <c r="AQ133" s="1302"/>
      <c r="AR133" s="1302"/>
      <c r="AS133" s="1302"/>
      <c r="AT133" s="1302"/>
      <c r="AU133" s="1302"/>
      <c r="AV133" s="1302"/>
      <c r="AW133" s="1302"/>
      <c r="AX133" s="1302"/>
      <c r="AY133" s="1302"/>
      <c r="AZ133" s="1302"/>
      <c r="BA133" s="1302"/>
      <c r="BB133" s="1302"/>
      <c r="BC133" s="1302"/>
      <c r="BD133" s="1302"/>
      <c r="BE133" s="1302"/>
      <c r="BF133" s="1302"/>
      <c r="BG133" s="1302"/>
      <c r="BH133" s="1302"/>
      <c r="BI133" s="1773"/>
      <c r="BJ133" s="260"/>
      <c r="BK133" s="260"/>
      <c r="BL133" s="260"/>
      <c r="BM133" s="260"/>
      <c r="BN133" s="260"/>
      <c r="BO133" s="260"/>
      <c r="BP133" s="260"/>
      <c r="BQ133" s="260"/>
      <c r="BR133" s="260"/>
      <c r="BS133" s="260"/>
      <c r="BT133" s="260"/>
      <c r="BU133" s="260"/>
      <c r="BV133" s="260"/>
      <c r="BW133" s="260"/>
      <c r="BX133" s="272"/>
      <c r="BY133" s="272"/>
      <c r="BZ133" s="1302"/>
    </row>
    <row r="134" spans="22:78" ht="15.75" customHeight="1">
      <c r="V134" s="1301"/>
      <c r="W134" s="1301"/>
      <c r="X134" s="1301"/>
      <c r="Y134" s="1301"/>
      <c r="Z134" s="1301"/>
      <c r="AA134" s="1301"/>
      <c r="AB134" s="1301"/>
      <c r="AC134" s="1301"/>
      <c r="AD134" s="1301"/>
      <c r="AE134" s="1301"/>
      <c r="AF134" s="1301"/>
      <c r="AG134" s="1301"/>
      <c r="AH134" s="1301"/>
      <c r="AI134" s="1301"/>
      <c r="AJ134" s="1301"/>
      <c r="AK134" s="1301"/>
      <c r="AL134" s="1301"/>
      <c r="AM134" s="1301"/>
      <c r="AN134" s="1301"/>
      <c r="AO134" s="1301"/>
      <c r="AP134" s="1301"/>
      <c r="AQ134" s="1301"/>
      <c r="AR134" s="1301"/>
      <c r="AS134" s="1301"/>
      <c r="AT134" s="1301"/>
      <c r="AU134" s="1301"/>
      <c r="AV134" s="1301"/>
      <c r="AW134" s="1301"/>
      <c r="AX134" s="1301"/>
      <c r="AY134" s="1301"/>
      <c r="AZ134" s="1301"/>
      <c r="BA134" s="1301"/>
      <c r="BB134" s="1301"/>
      <c r="BC134" s="1301"/>
      <c r="BD134" s="1301"/>
      <c r="BE134" s="1301"/>
      <c r="BF134" s="1301"/>
      <c r="BG134" s="1301"/>
      <c r="BH134" s="1301"/>
      <c r="BI134" s="1773"/>
      <c r="BJ134" s="1757"/>
      <c r="BK134" s="1757"/>
      <c r="BL134" s="1757"/>
      <c r="BM134" s="1757"/>
      <c r="BN134" s="1757"/>
      <c r="BO134" s="1757"/>
      <c r="BP134" s="1757"/>
      <c r="BQ134" s="1757"/>
      <c r="BR134" s="1757"/>
      <c r="BS134" s="1757"/>
      <c r="BT134" s="1757"/>
      <c r="BU134" s="1757"/>
      <c r="BV134" s="1757"/>
      <c r="BW134" s="1757"/>
      <c r="BX134" s="1287"/>
      <c r="BY134" s="1287"/>
      <c r="BZ134" s="1301"/>
    </row>
    <row r="135" spans="22:78" ht="15.75" customHeight="1">
      <c r="V135" s="272"/>
      <c r="W135" s="272"/>
      <c r="X135" s="272"/>
      <c r="Y135" s="272"/>
      <c r="Z135" s="272"/>
      <c r="AA135" s="272"/>
      <c r="AB135" s="272"/>
      <c r="AC135" s="272"/>
      <c r="AD135" s="272"/>
      <c r="AE135" s="272"/>
      <c r="AF135" s="272"/>
      <c r="AG135" s="272"/>
      <c r="AH135" s="272"/>
      <c r="AI135" s="272"/>
      <c r="AJ135" s="272"/>
      <c r="AK135" s="272"/>
      <c r="AL135" s="272"/>
      <c r="AM135" s="272"/>
      <c r="AN135" s="272"/>
      <c r="AO135" s="272"/>
      <c r="AP135" s="272"/>
      <c r="AQ135" s="272"/>
      <c r="AR135" s="272"/>
      <c r="AS135" s="272"/>
      <c r="AT135" s="272"/>
      <c r="AU135" s="272"/>
      <c r="AV135" s="272"/>
      <c r="AW135" s="272"/>
      <c r="AX135" s="272"/>
      <c r="AY135" s="272"/>
      <c r="AZ135" s="272"/>
      <c r="BA135" s="272"/>
      <c r="BB135" s="272"/>
      <c r="BC135" s="272"/>
      <c r="BD135" s="272"/>
      <c r="BE135" s="272"/>
      <c r="BF135" s="272"/>
      <c r="BG135" s="272"/>
      <c r="BH135" s="272"/>
      <c r="BI135" s="260"/>
      <c r="BJ135" s="1757"/>
      <c r="BK135" s="1757"/>
      <c r="BL135" s="1757"/>
      <c r="BM135" s="1757"/>
      <c r="BN135" s="1757"/>
      <c r="BO135" s="1757"/>
      <c r="BP135" s="1757"/>
      <c r="BQ135" s="1757"/>
      <c r="BR135" s="1757"/>
      <c r="BS135" s="1757"/>
      <c r="BT135" s="1757"/>
      <c r="BU135" s="1757"/>
      <c r="BV135" s="1757"/>
      <c r="BW135" s="1757"/>
      <c r="BX135" s="1287"/>
      <c r="BY135" s="1287"/>
      <c r="BZ135" s="272"/>
    </row>
    <row r="136" spans="22:78" ht="15.75" customHeight="1">
      <c r="V136" s="272"/>
      <c r="W136" s="272"/>
      <c r="X136" s="272"/>
      <c r="Y136" s="272"/>
      <c r="Z136" s="272"/>
      <c r="AA136" s="272"/>
      <c r="AB136" s="272"/>
      <c r="AC136" s="272"/>
      <c r="AD136" s="272"/>
      <c r="AE136" s="272"/>
      <c r="AF136" s="272"/>
      <c r="AG136" s="272"/>
      <c r="AH136" s="272"/>
      <c r="AI136" s="272"/>
      <c r="AJ136" s="272"/>
      <c r="AK136" s="272"/>
      <c r="AL136" s="272"/>
      <c r="AM136" s="272"/>
      <c r="AN136" s="272"/>
      <c r="AO136" s="272"/>
      <c r="AP136" s="272"/>
      <c r="AQ136" s="272"/>
      <c r="AR136" s="272"/>
      <c r="AS136" s="272"/>
      <c r="AT136" s="272"/>
      <c r="AU136" s="272"/>
      <c r="AV136" s="272"/>
      <c r="AW136" s="272"/>
      <c r="AX136" s="272"/>
      <c r="AY136" s="272"/>
      <c r="AZ136" s="272"/>
      <c r="BA136" s="272"/>
      <c r="BB136" s="272"/>
      <c r="BC136" s="272"/>
      <c r="BD136" s="272"/>
      <c r="BE136" s="272"/>
      <c r="BF136" s="272"/>
      <c r="BG136" s="272"/>
      <c r="BH136" s="272"/>
      <c r="BI136" s="260"/>
      <c r="BJ136" s="1760"/>
      <c r="BK136" s="1760"/>
      <c r="BL136" s="1760"/>
      <c r="BM136" s="1760"/>
      <c r="BN136" s="1760"/>
      <c r="BO136" s="1760"/>
      <c r="BP136" s="1760"/>
      <c r="BQ136" s="1760"/>
      <c r="BR136" s="1760"/>
      <c r="BS136" s="1760"/>
      <c r="BT136" s="1760"/>
      <c r="BU136" s="1760"/>
      <c r="BV136" s="1760"/>
      <c r="BW136" s="1760"/>
      <c r="BX136" s="1290"/>
      <c r="BY136" s="1290"/>
      <c r="BZ136" s="272"/>
    </row>
    <row r="137" spans="22:78" ht="15.75" customHeight="1">
      <c r="V137" s="272"/>
      <c r="W137" s="272"/>
      <c r="X137" s="272"/>
      <c r="Y137" s="272"/>
      <c r="Z137" s="272"/>
      <c r="AA137" s="272"/>
      <c r="AB137" s="272"/>
      <c r="AC137" s="272"/>
      <c r="AD137" s="272"/>
      <c r="AE137" s="272"/>
      <c r="AF137" s="272"/>
      <c r="AG137" s="272"/>
      <c r="AH137" s="272"/>
      <c r="AI137" s="272"/>
      <c r="AJ137" s="272"/>
      <c r="AK137" s="272"/>
      <c r="AL137" s="272"/>
      <c r="AM137" s="272"/>
      <c r="AN137" s="272"/>
      <c r="AO137" s="272"/>
      <c r="AP137" s="272"/>
      <c r="AQ137" s="272"/>
      <c r="AR137" s="272"/>
      <c r="AS137" s="272"/>
      <c r="AT137" s="272"/>
      <c r="AU137" s="272"/>
      <c r="AV137" s="272"/>
      <c r="AW137" s="272"/>
      <c r="AX137" s="272"/>
      <c r="AY137" s="272"/>
      <c r="AZ137" s="272"/>
      <c r="BA137" s="272"/>
      <c r="BB137" s="272"/>
      <c r="BC137" s="272"/>
      <c r="BD137" s="272"/>
      <c r="BE137" s="272"/>
      <c r="BF137" s="272"/>
      <c r="BG137" s="272"/>
      <c r="BH137" s="272"/>
      <c r="BI137" s="260"/>
      <c r="BJ137" s="1757"/>
      <c r="BK137" s="1757"/>
      <c r="BL137" s="1757"/>
      <c r="BM137" s="1757"/>
      <c r="BN137" s="1757"/>
      <c r="BO137" s="1757"/>
      <c r="BP137" s="1757"/>
      <c r="BQ137" s="1757"/>
      <c r="BR137" s="1757"/>
      <c r="BS137" s="1757"/>
      <c r="BT137" s="1757"/>
      <c r="BU137" s="1757"/>
      <c r="BV137" s="1757"/>
      <c r="BW137" s="1757"/>
      <c r="BX137" s="1287"/>
      <c r="BY137" s="1287"/>
      <c r="BZ137" s="272"/>
    </row>
    <row r="138" spans="22:78" ht="15.75" customHeight="1">
      <c r="V138" s="1287"/>
      <c r="W138" s="1287"/>
      <c r="X138" s="1287"/>
      <c r="Y138" s="1287"/>
      <c r="Z138" s="1287"/>
      <c r="AA138" s="1287"/>
      <c r="AB138" s="1287"/>
      <c r="AC138" s="1287"/>
      <c r="AD138" s="1287"/>
      <c r="AE138" s="1287"/>
      <c r="AF138" s="1287"/>
      <c r="AG138" s="1287"/>
      <c r="AH138" s="1287"/>
      <c r="AI138" s="1287"/>
      <c r="AJ138" s="1287"/>
      <c r="AK138" s="1287"/>
      <c r="AL138" s="1287"/>
      <c r="AM138" s="1287"/>
      <c r="AN138" s="1287"/>
      <c r="AO138" s="1287"/>
      <c r="AP138" s="1287"/>
      <c r="AQ138" s="1287"/>
      <c r="AR138" s="1287"/>
      <c r="AS138" s="1287"/>
      <c r="AT138" s="1287"/>
      <c r="AU138" s="1287"/>
      <c r="AV138" s="1287"/>
      <c r="AW138" s="1287"/>
      <c r="AX138" s="1287"/>
      <c r="AY138" s="1287"/>
      <c r="AZ138" s="1287"/>
      <c r="BA138" s="1287"/>
      <c r="BB138" s="1287"/>
      <c r="BC138" s="1287"/>
      <c r="BD138" s="1287"/>
      <c r="BE138" s="1287"/>
      <c r="BF138" s="1287"/>
      <c r="BG138" s="1287"/>
      <c r="BH138" s="1287"/>
      <c r="BI138" s="1757"/>
      <c r="BJ138" s="1757"/>
      <c r="BK138" s="1757"/>
      <c r="BL138" s="1757"/>
      <c r="BM138" s="1757"/>
      <c r="BN138" s="1757"/>
      <c r="BO138" s="1757"/>
      <c r="BP138" s="1757"/>
      <c r="BQ138" s="1757"/>
      <c r="BR138" s="1757"/>
      <c r="BS138" s="1757"/>
      <c r="BT138" s="1757"/>
      <c r="BU138" s="1757"/>
      <c r="BV138" s="1757"/>
      <c r="BW138" s="1757"/>
      <c r="BX138" s="1287"/>
      <c r="BY138" s="1287"/>
      <c r="BZ138" s="1287"/>
    </row>
    <row r="139" spans="22:78" ht="15.75" customHeight="1">
      <c r="V139" s="1287"/>
      <c r="W139" s="1287"/>
      <c r="X139" s="1287"/>
      <c r="Y139" s="1287"/>
      <c r="Z139" s="1287"/>
      <c r="AA139" s="1287"/>
      <c r="AB139" s="1287"/>
      <c r="AC139" s="1287"/>
      <c r="AD139" s="1287"/>
      <c r="AE139" s="1287"/>
      <c r="AF139" s="1287"/>
      <c r="AG139" s="1287"/>
      <c r="AH139" s="1287"/>
      <c r="AI139" s="1287"/>
      <c r="AJ139" s="1287"/>
      <c r="AK139" s="1287"/>
      <c r="AL139" s="1287"/>
      <c r="AM139" s="1287"/>
      <c r="AN139" s="1287"/>
      <c r="AO139" s="1287"/>
      <c r="AP139" s="1287"/>
      <c r="AQ139" s="1287"/>
      <c r="AR139" s="1287"/>
      <c r="AS139" s="1287"/>
      <c r="AT139" s="1287"/>
      <c r="AU139" s="1287"/>
      <c r="AV139" s="1287"/>
      <c r="AW139" s="1287"/>
      <c r="AX139" s="1287"/>
      <c r="AY139" s="1287"/>
      <c r="AZ139" s="1287"/>
      <c r="BA139" s="1287"/>
      <c r="BB139" s="1287"/>
      <c r="BC139" s="1287"/>
      <c r="BD139" s="1287"/>
      <c r="BE139" s="1287"/>
      <c r="BF139" s="1287"/>
      <c r="BG139" s="1287"/>
      <c r="BH139" s="1287"/>
      <c r="BI139" s="1757"/>
      <c r="BJ139" s="260"/>
      <c r="BK139" s="260"/>
      <c r="BL139" s="260"/>
      <c r="BM139" s="260"/>
      <c r="BN139" s="260"/>
      <c r="BO139" s="260"/>
      <c r="BP139" s="260"/>
      <c r="BQ139" s="260"/>
      <c r="BR139" s="260"/>
      <c r="BS139" s="260"/>
      <c r="BT139" s="260"/>
      <c r="BU139" s="260"/>
      <c r="BV139" s="260"/>
      <c r="BW139" s="260"/>
      <c r="BX139" s="272"/>
      <c r="BY139" s="272"/>
      <c r="BZ139" s="1287"/>
    </row>
    <row r="140" spans="22:78" ht="15.75" customHeight="1">
      <c r="V140" s="1290"/>
      <c r="W140" s="1290"/>
      <c r="X140" s="1290"/>
      <c r="Y140" s="1290"/>
      <c r="Z140" s="1290"/>
      <c r="AA140" s="1290"/>
      <c r="AB140" s="1290"/>
      <c r="AC140" s="1290"/>
      <c r="AD140" s="1290"/>
      <c r="AE140" s="1290"/>
      <c r="AF140" s="1290"/>
      <c r="AG140" s="1290"/>
      <c r="AH140" s="1290"/>
      <c r="AI140" s="1290"/>
      <c r="AJ140" s="1290"/>
      <c r="AK140" s="1290"/>
      <c r="AL140" s="1290"/>
      <c r="AM140" s="1290"/>
      <c r="AN140" s="1290"/>
      <c r="AO140" s="1290"/>
      <c r="AP140" s="1290"/>
      <c r="AQ140" s="1290"/>
      <c r="AR140" s="1290"/>
      <c r="AS140" s="1290"/>
      <c r="AT140" s="1290"/>
      <c r="AU140" s="1290"/>
      <c r="AV140" s="1290"/>
      <c r="AW140" s="1290"/>
      <c r="AX140" s="1290"/>
      <c r="AY140" s="1290"/>
      <c r="AZ140" s="1290"/>
      <c r="BA140" s="1290"/>
      <c r="BB140" s="1290"/>
      <c r="BC140" s="1290"/>
      <c r="BD140" s="1290"/>
      <c r="BE140" s="1290"/>
      <c r="BF140" s="1290"/>
      <c r="BG140" s="1290"/>
      <c r="BH140" s="1290"/>
      <c r="BI140" s="1760"/>
      <c r="BJ140" s="260"/>
      <c r="BK140" s="260"/>
      <c r="BL140" s="260"/>
      <c r="BM140" s="260"/>
      <c r="BN140" s="260"/>
      <c r="BO140" s="260"/>
      <c r="BP140" s="260"/>
      <c r="BQ140" s="260"/>
      <c r="BR140" s="260"/>
      <c r="BS140" s="260"/>
      <c r="BT140" s="260"/>
      <c r="BU140" s="260"/>
      <c r="BV140" s="260"/>
      <c r="BW140" s="260"/>
      <c r="BX140" s="272"/>
      <c r="BY140" s="272"/>
      <c r="BZ140" s="1290"/>
    </row>
    <row r="141" spans="22:78" ht="15.75" customHeight="1">
      <c r="V141" s="1287"/>
      <c r="W141" s="1287"/>
      <c r="X141" s="1287"/>
      <c r="Y141" s="1287"/>
      <c r="Z141" s="1287"/>
      <c r="AA141" s="1287"/>
      <c r="AB141" s="1287"/>
      <c r="AC141" s="1287"/>
      <c r="AD141" s="1287"/>
      <c r="AE141" s="1287"/>
      <c r="AF141" s="1287"/>
      <c r="AG141" s="1287"/>
      <c r="AH141" s="1287"/>
      <c r="AI141" s="1287"/>
      <c r="AJ141" s="1287"/>
      <c r="AK141" s="1287"/>
      <c r="AL141" s="1287"/>
      <c r="AM141" s="1287"/>
      <c r="AN141" s="1287"/>
      <c r="AO141" s="1287"/>
      <c r="AP141" s="1287"/>
      <c r="AQ141" s="1287"/>
      <c r="AR141" s="1287"/>
      <c r="AS141" s="1287"/>
      <c r="AT141" s="1287"/>
      <c r="AU141" s="1287"/>
      <c r="AV141" s="1287"/>
      <c r="AW141" s="1287"/>
      <c r="AX141" s="1287"/>
      <c r="AY141" s="1287"/>
      <c r="AZ141" s="1287"/>
      <c r="BA141" s="1287"/>
      <c r="BB141" s="1287"/>
      <c r="BC141" s="1287"/>
      <c r="BD141" s="1287"/>
      <c r="BE141" s="1287"/>
      <c r="BF141" s="1287"/>
      <c r="BG141" s="1287"/>
      <c r="BH141" s="1287"/>
      <c r="BI141" s="1757"/>
      <c r="BJ141" s="260"/>
      <c r="BK141" s="260"/>
      <c r="BL141" s="260"/>
      <c r="BM141" s="260"/>
      <c r="BN141" s="260"/>
      <c r="BO141" s="260"/>
      <c r="BP141" s="260"/>
      <c r="BQ141" s="260"/>
      <c r="BR141" s="260"/>
      <c r="BS141" s="260"/>
      <c r="BT141" s="260"/>
      <c r="BU141" s="260"/>
      <c r="BV141" s="260"/>
      <c r="BW141" s="260"/>
      <c r="BX141" s="272"/>
      <c r="BY141" s="272"/>
      <c r="BZ141" s="1287"/>
    </row>
    <row r="142" spans="22:78" ht="15.75" customHeight="1">
      <c r="V142" s="1287"/>
      <c r="W142" s="1287"/>
      <c r="X142" s="1287"/>
      <c r="Y142" s="1287"/>
      <c r="Z142" s="1287"/>
      <c r="AA142" s="1287"/>
      <c r="AB142" s="1287"/>
      <c r="AC142" s="1287"/>
      <c r="AD142" s="1287"/>
      <c r="AE142" s="1287"/>
      <c r="AF142" s="1287"/>
      <c r="AG142" s="1287"/>
      <c r="AH142" s="1287"/>
      <c r="AI142" s="1287"/>
      <c r="AJ142" s="1287"/>
      <c r="AK142" s="1287"/>
      <c r="AL142" s="1287"/>
      <c r="AM142" s="1287"/>
      <c r="AN142" s="1287"/>
      <c r="AO142" s="1287"/>
      <c r="AP142" s="1287"/>
      <c r="AQ142" s="1287"/>
      <c r="AR142" s="1287"/>
      <c r="AS142" s="1287"/>
      <c r="AT142" s="1287"/>
      <c r="AU142" s="1287"/>
      <c r="AV142" s="1287"/>
      <c r="AW142" s="1287"/>
      <c r="AX142" s="1287"/>
      <c r="AY142" s="1287"/>
      <c r="AZ142" s="1287"/>
      <c r="BA142" s="1287"/>
      <c r="BB142" s="1287"/>
      <c r="BC142" s="1287"/>
      <c r="BD142" s="1287"/>
      <c r="BE142" s="1287"/>
      <c r="BF142" s="1287"/>
      <c r="BG142" s="1287"/>
      <c r="BH142" s="1287"/>
      <c r="BI142" s="1757"/>
      <c r="BJ142" s="1774"/>
      <c r="BK142" s="1774"/>
      <c r="BL142" s="1774"/>
      <c r="BM142" s="1774"/>
      <c r="BN142" s="1774"/>
      <c r="BO142" s="1774"/>
      <c r="BP142" s="1774"/>
      <c r="BQ142" s="1774"/>
      <c r="BR142" s="1774"/>
      <c r="BS142" s="1774"/>
      <c r="BT142" s="1774"/>
      <c r="BU142" s="1774"/>
      <c r="BV142" s="1774"/>
      <c r="BW142" s="1774"/>
      <c r="BX142" s="1303"/>
      <c r="BY142" s="1303"/>
      <c r="BZ142" s="1287"/>
    </row>
    <row r="143" spans="22:78" ht="15.75" customHeight="1">
      <c r="V143" s="272"/>
      <c r="W143" s="272"/>
      <c r="X143" s="272"/>
      <c r="Y143" s="272"/>
      <c r="Z143" s="272"/>
      <c r="AA143" s="272"/>
      <c r="AB143" s="272"/>
      <c r="AC143" s="272"/>
      <c r="AD143" s="272"/>
      <c r="AE143" s="272"/>
      <c r="AF143" s="272"/>
      <c r="AG143" s="272"/>
      <c r="AH143" s="272"/>
      <c r="AI143" s="272"/>
      <c r="AJ143" s="272"/>
      <c r="AK143" s="272"/>
      <c r="AL143" s="272"/>
      <c r="AM143" s="272"/>
      <c r="AN143" s="272"/>
      <c r="AO143" s="272"/>
      <c r="AP143" s="272"/>
      <c r="AQ143" s="272"/>
      <c r="AR143" s="272"/>
      <c r="AS143" s="272"/>
      <c r="AT143" s="272"/>
      <c r="AU143" s="272"/>
      <c r="AV143" s="272"/>
      <c r="AW143" s="272"/>
      <c r="AX143" s="272"/>
      <c r="AY143" s="272"/>
      <c r="AZ143" s="272"/>
      <c r="BA143" s="272"/>
      <c r="BB143" s="272"/>
      <c r="BC143" s="272"/>
      <c r="BD143" s="272"/>
      <c r="BE143" s="272"/>
      <c r="BF143" s="272"/>
      <c r="BG143" s="272"/>
      <c r="BH143" s="272"/>
      <c r="BI143" s="260"/>
      <c r="BZ143" s="272"/>
    </row>
    <row r="144" spans="22:78" ht="15.75" customHeight="1">
      <c r="V144" s="272"/>
      <c r="W144" s="272"/>
      <c r="X144" s="272"/>
      <c r="Y144" s="272"/>
      <c r="Z144" s="272"/>
      <c r="AA144" s="272"/>
      <c r="AB144" s="272"/>
      <c r="AC144" s="272"/>
      <c r="AD144" s="272"/>
      <c r="AE144" s="272"/>
      <c r="AF144" s="272"/>
      <c r="AG144" s="272"/>
      <c r="AH144" s="272"/>
      <c r="AI144" s="272"/>
      <c r="AJ144" s="272"/>
      <c r="AK144" s="272"/>
      <c r="AL144" s="272"/>
      <c r="AM144" s="272"/>
      <c r="AN144" s="272"/>
      <c r="AO144" s="272"/>
      <c r="AP144" s="272"/>
      <c r="AQ144" s="272"/>
      <c r="AR144" s="272"/>
      <c r="AS144" s="272"/>
      <c r="AT144" s="272"/>
      <c r="AU144" s="272"/>
      <c r="AV144" s="272"/>
      <c r="AW144" s="272"/>
      <c r="AX144" s="272"/>
      <c r="AY144" s="272"/>
      <c r="AZ144" s="272"/>
      <c r="BA144" s="272"/>
      <c r="BB144" s="272"/>
      <c r="BC144" s="272"/>
      <c r="BD144" s="272"/>
      <c r="BE144" s="272"/>
      <c r="BF144" s="272"/>
      <c r="BG144" s="272"/>
      <c r="BH144" s="272"/>
      <c r="BI144" s="260"/>
      <c r="BJ144" s="1776"/>
      <c r="BK144" s="1776"/>
      <c r="BL144" s="1776"/>
      <c r="BM144" s="1776"/>
      <c r="BN144" s="1776"/>
      <c r="BO144" s="1776"/>
      <c r="BP144" s="1776"/>
      <c r="BQ144" s="1776"/>
      <c r="BR144" s="1776"/>
      <c r="BS144" s="1776"/>
      <c r="BT144" s="1776"/>
      <c r="BU144" s="1776"/>
      <c r="BV144" s="1776"/>
      <c r="BW144" s="1776"/>
      <c r="BX144" s="526"/>
      <c r="BY144" s="526"/>
      <c r="BZ144" s="272"/>
    </row>
    <row r="145" spans="22:78" ht="15.75" customHeight="1">
      <c r="V145" s="272"/>
      <c r="W145" s="272"/>
      <c r="X145" s="272"/>
      <c r="Y145" s="272"/>
      <c r="Z145" s="272"/>
      <c r="AA145" s="272"/>
      <c r="AB145" s="272"/>
      <c r="AC145" s="272"/>
      <c r="AD145" s="272"/>
      <c r="AE145" s="272"/>
      <c r="AF145" s="272"/>
      <c r="AG145" s="272"/>
      <c r="AH145" s="272"/>
      <c r="AI145" s="272"/>
      <c r="AJ145" s="272"/>
      <c r="AK145" s="272"/>
      <c r="AL145" s="272"/>
      <c r="AM145" s="272"/>
      <c r="AN145" s="272"/>
      <c r="AO145" s="272"/>
      <c r="AP145" s="272"/>
      <c r="AQ145" s="272"/>
      <c r="AR145" s="272"/>
      <c r="AS145" s="272"/>
      <c r="AT145" s="272"/>
      <c r="AU145" s="272"/>
      <c r="AV145" s="272"/>
      <c r="AW145" s="272"/>
      <c r="AX145" s="272"/>
      <c r="AY145" s="272"/>
      <c r="AZ145" s="272"/>
      <c r="BA145" s="272"/>
      <c r="BB145" s="272"/>
      <c r="BC145" s="272"/>
      <c r="BD145" s="272"/>
      <c r="BE145" s="272"/>
      <c r="BF145" s="272"/>
      <c r="BG145" s="272"/>
      <c r="BH145" s="272"/>
      <c r="BI145" s="260"/>
      <c r="BJ145" s="1776"/>
      <c r="BK145" s="1776"/>
      <c r="BL145" s="1776"/>
      <c r="BM145" s="1776"/>
      <c r="BN145" s="1776"/>
      <c r="BO145" s="1776"/>
      <c r="BP145" s="1776"/>
      <c r="BQ145" s="1776"/>
      <c r="BR145" s="1776"/>
      <c r="BS145" s="1776"/>
      <c r="BT145" s="1776"/>
      <c r="BU145" s="1776"/>
      <c r="BV145" s="1776"/>
      <c r="BW145" s="1776"/>
      <c r="BX145" s="526"/>
      <c r="BY145" s="526"/>
      <c r="BZ145" s="272"/>
    </row>
    <row r="146" spans="22:78" ht="15.75" customHeight="1">
      <c r="V146" s="1303"/>
      <c r="W146" s="1303"/>
      <c r="X146" s="1303"/>
      <c r="Y146" s="1303"/>
      <c r="Z146" s="1303"/>
      <c r="AA146" s="1303"/>
      <c r="AB146" s="1303"/>
      <c r="AC146" s="1303"/>
      <c r="AD146" s="1303"/>
      <c r="AE146" s="1303"/>
      <c r="AF146" s="1303"/>
      <c r="AG146" s="1303"/>
      <c r="AH146" s="1303"/>
      <c r="AI146" s="1303"/>
      <c r="AJ146" s="1303"/>
      <c r="AK146" s="1303"/>
      <c r="AL146" s="1303"/>
      <c r="AM146" s="1303"/>
      <c r="AN146" s="1303"/>
      <c r="AO146" s="1303"/>
      <c r="AP146" s="1303"/>
      <c r="AQ146" s="1303"/>
      <c r="AR146" s="1303"/>
      <c r="AS146" s="1303"/>
      <c r="AT146" s="1303"/>
      <c r="AU146" s="1303"/>
      <c r="AV146" s="1303"/>
      <c r="AW146" s="1303"/>
      <c r="AX146" s="1303"/>
      <c r="AY146" s="1303"/>
      <c r="AZ146" s="1303"/>
      <c r="BA146" s="1303"/>
      <c r="BB146" s="1303"/>
      <c r="BC146" s="1303"/>
      <c r="BD146" s="1303"/>
      <c r="BE146" s="1303"/>
      <c r="BF146" s="1303"/>
      <c r="BG146" s="1303"/>
      <c r="BH146" s="1303"/>
      <c r="BI146" s="1774"/>
      <c r="BZ146" s="1303"/>
    </row>
    <row r="148" spans="22:78" ht="15.75" customHeight="1">
      <c r="V148" s="526"/>
      <c r="W148" s="526"/>
      <c r="X148" s="526"/>
      <c r="Y148" s="526"/>
      <c r="Z148" s="526"/>
      <c r="AA148" s="526"/>
      <c r="AB148" s="526"/>
      <c r="AC148" s="526"/>
      <c r="AD148" s="526"/>
      <c r="AE148" s="526"/>
      <c r="AF148" s="526"/>
      <c r="AG148" s="526"/>
      <c r="AH148" s="526"/>
      <c r="AI148" s="526"/>
      <c r="AJ148" s="526"/>
      <c r="AK148" s="526"/>
      <c r="AL148" s="526"/>
      <c r="AM148" s="526"/>
      <c r="AN148" s="526"/>
      <c r="AO148" s="526"/>
      <c r="AP148" s="526"/>
      <c r="AQ148" s="526"/>
      <c r="AR148" s="526"/>
      <c r="AS148" s="526"/>
      <c r="AT148" s="526"/>
      <c r="AU148" s="526"/>
      <c r="AV148" s="526"/>
      <c r="AW148" s="526"/>
      <c r="AX148" s="526"/>
      <c r="AY148" s="526"/>
      <c r="AZ148" s="526"/>
      <c r="BA148" s="526"/>
      <c r="BB148" s="526"/>
      <c r="BC148" s="526"/>
      <c r="BD148" s="526"/>
      <c r="BE148" s="526"/>
      <c r="BF148" s="526"/>
      <c r="BG148" s="526"/>
      <c r="BH148" s="526"/>
      <c r="BI148" s="1776"/>
      <c r="BZ148" s="526"/>
    </row>
    <row r="149" spans="22:78" ht="15.75" customHeight="1">
      <c r="V149" s="526"/>
      <c r="W149" s="526"/>
      <c r="X149" s="526"/>
      <c r="Y149" s="526"/>
      <c r="Z149" s="526"/>
      <c r="AA149" s="526"/>
      <c r="AB149" s="526"/>
      <c r="AC149" s="526"/>
      <c r="AD149" s="526"/>
      <c r="AE149" s="526"/>
      <c r="AF149" s="526"/>
      <c r="AG149" s="526"/>
      <c r="AH149" s="526"/>
      <c r="AI149" s="526"/>
      <c r="AJ149" s="526"/>
      <c r="AK149" s="526"/>
      <c r="AL149" s="526"/>
      <c r="AM149" s="526"/>
      <c r="AN149" s="526"/>
      <c r="AO149" s="526"/>
      <c r="AP149" s="526"/>
      <c r="AQ149" s="526"/>
      <c r="AR149" s="526"/>
      <c r="AS149" s="526"/>
      <c r="AT149" s="526"/>
      <c r="AU149" s="526"/>
      <c r="AV149" s="526"/>
      <c r="AW149" s="526"/>
      <c r="AX149" s="526"/>
      <c r="AY149" s="526"/>
      <c r="AZ149" s="526"/>
      <c r="BA149" s="526"/>
      <c r="BB149" s="526"/>
      <c r="BC149" s="526"/>
      <c r="BD149" s="526"/>
      <c r="BE149" s="526"/>
      <c r="BF149" s="526"/>
      <c r="BG149" s="526"/>
      <c r="BH149" s="526"/>
      <c r="BI149" s="1776"/>
      <c r="BZ149" s="526"/>
    </row>
  </sheetData>
  <mergeCells count="23">
    <mergeCell ref="A1:BZ1"/>
    <mergeCell ref="A3:BZ3"/>
    <mergeCell ref="A2:BZ2"/>
    <mergeCell ref="A5:A7"/>
    <mergeCell ref="B5:B7"/>
    <mergeCell ref="C5:C7"/>
    <mergeCell ref="U5:U7"/>
    <mergeCell ref="BZ5:BZ7"/>
    <mergeCell ref="BX5:BY5"/>
    <mergeCell ref="AA5:AA7"/>
    <mergeCell ref="AB5:AS5"/>
    <mergeCell ref="AB6:AB7"/>
    <mergeCell ref="CC70:CC71"/>
    <mergeCell ref="AC6:AC7"/>
    <mergeCell ref="BI6:BI7"/>
    <mergeCell ref="BJ6:BW6"/>
    <mergeCell ref="AT5:BW5"/>
    <mergeCell ref="AF6:AS6"/>
    <mergeCell ref="AE6:AE7"/>
    <mergeCell ref="BX6:BX7"/>
    <mergeCell ref="BY6:BY7"/>
    <mergeCell ref="AU6:BH6"/>
    <mergeCell ref="AT6:AT7"/>
  </mergeCells>
  <printOptions horizontalCentered="1"/>
  <pageMargins left="0.19685039370078741" right="0.19685039370078741" top="0.6692913385826772" bottom="0.55118110236220474" header="0.23622047244094491" footer="0.37"/>
  <pageSetup paperSize="9" scale="75" fitToHeight="0" orientation="landscape" r:id="rId1"/>
  <headerFooter>
    <oddFooter>&amp;C&amp;"Times New Roman,Regular"&amp;11Page &amp;P</oddFooter>
    <evenFooter>Page &amp;P</evenFooter>
  </headerFooter>
  <legacyDrawing r:id="rId2"/>
</worksheet>
</file>

<file path=xl/worksheets/sheet1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30"/>
  <sheetViews>
    <sheetView zoomScale="85" zoomScaleNormal="85" workbookViewId="0">
      <pane ySplit="6" topLeftCell="A7" activePane="bottomLeft" state="frozen"/>
      <selection pane="bottomLeft" activeCell="S12" sqref="S12"/>
    </sheetView>
  </sheetViews>
  <sheetFormatPr defaultColWidth="9" defaultRowHeight="15.75" customHeight="1"/>
  <cols>
    <col min="1" max="1" width="4.75" style="138" customWidth="1"/>
    <col min="2" max="2" width="35.875" style="141" customWidth="1"/>
    <col min="3" max="3" width="5.875" style="164" customWidth="1"/>
    <col min="4" max="6" width="8.75" style="140" hidden="1" customWidth="1"/>
    <col min="7" max="7" width="8.25" style="140" hidden="1" customWidth="1"/>
    <col min="8" max="8" width="8.75" style="140" hidden="1" customWidth="1"/>
    <col min="9" max="9" width="7.75" style="140" hidden="1" customWidth="1"/>
    <col min="10" max="10" width="8.125" style="140" hidden="1" customWidth="1"/>
    <col min="11" max="12" width="7.75" style="140" hidden="1" customWidth="1"/>
    <col min="13" max="13" width="6.25" style="140" hidden="1" customWidth="1"/>
    <col min="14" max="14" width="7.75" style="140" hidden="1" customWidth="1"/>
    <col min="15" max="16" width="7.75" style="140" customWidth="1"/>
    <col min="17" max="18" width="8.75" style="140" hidden="1" customWidth="1"/>
    <col min="19" max="19" width="8.25" style="140" customWidth="1"/>
    <col min="20" max="20" width="8" style="140" customWidth="1"/>
    <col min="21" max="21" width="8.75" style="140" customWidth="1"/>
    <col min="22" max="22" width="9.25" style="140" customWidth="1"/>
    <col min="23" max="23" width="8.75" style="140" customWidth="1"/>
    <col min="24" max="24" width="7.25" style="140" hidden="1" customWidth="1"/>
    <col min="25" max="25" width="7.25" style="126" customWidth="1"/>
    <col min="26" max="33" width="0" hidden="1" customWidth="1"/>
  </cols>
  <sheetData>
    <row r="1" spans="1:33" s="33" customFormat="1" ht="15.75" customHeight="1">
      <c r="A1" s="2107" t="s">
        <v>317</v>
      </c>
      <c r="B1" s="2107"/>
      <c r="C1" s="131"/>
      <c r="D1" s="131"/>
      <c r="E1" s="131"/>
      <c r="F1" s="131"/>
      <c r="G1" s="132"/>
      <c r="H1" s="132"/>
      <c r="I1" s="132"/>
      <c r="J1" s="132"/>
      <c r="K1" s="132"/>
      <c r="L1" s="132"/>
      <c r="M1" s="132"/>
      <c r="N1" s="132"/>
      <c r="O1" s="132"/>
      <c r="P1" s="132"/>
      <c r="Q1" s="132"/>
      <c r="R1" s="132"/>
      <c r="S1" s="131"/>
      <c r="T1" s="131"/>
      <c r="U1" s="131"/>
      <c r="V1" s="131"/>
      <c r="W1" s="131"/>
      <c r="X1" s="131"/>
      <c r="Y1" s="142"/>
    </row>
    <row r="2" spans="1:33" s="33" customFormat="1" ht="32.450000000000003" customHeight="1">
      <c r="A2" s="2111" t="s">
        <v>528</v>
      </c>
      <c r="B2" s="2112"/>
      <c r="C2" s="2112"/>
      <c r="D2" s="2112"/>
      <c r="E2" s="2112"/>
      <c r="F2" s="2112"/>
      <c r="G2" s="2112"/>
      <c r="H2" s="2112"/>
      <c r="I2" s="2112"/>
      <c r="J2" s="2112"/>
      <c r="K2" s="2112"/>
      <c r="L2" s="2112"/>
      <c r="M2" s="2112"/>
      <c r="N2" s="2112"/>
      <c r="O2" s="2112"/>
      <c r="P2" s="2112"/>
      <c r="Q2" s="2112"/>
      <c r="R2" s="2112"/>
      <c r="S2" s="2112"/>
      <c r="T2" s="2112"/>
      <c r="U2" s="2112"/>
      <c r="V2" s="2112"/>
      <c r="W2" s="2112"/>
      <c r="X2" s="2112"/>
      <c r="Y2" s="2112"/>
    </row>
    <row r="3" spans="1:33" s="33" customFormat="1">
      <c r="A3" s="2109" t="str">
        <f>'B7 LD&amp;VL-XDGN'!A3:BZ3</f>
        <v>(Kèm theo Báo cáo số:  1525 /BC-UBND, ngày   30  tháng 5 năm 2025 của UBND huyện Mường Tè)</v>
      </c>
      <c r="B3" s="2110"/>
      <c r="C3" s="2110"/>
      <c r="D3" s="2110"/>
      <c r="E3" s="2110"/>
      <c r="F3" s="2110"/>
      <c r="G3" s="2110"/>
      <c r="H3" s="2110"/>
      <c r="I3" s="2110"/>
      <c r="J3" s="2110"/>
      <c r="K3" s="2110"/>
      <c r="L3" s="2110"/>
      <c r="M3" s="2110"/>
      <c r="N3" s="2110"/>
      <c r="O3" s="2110"/>
      <c r="P3" s="2110"/>
      <c r="Q3" s="2110"/>
      <c r="R3" s="2110"/>
      <c r="S3" s="2110"/>
      <c r="T3" s="2110"/>
      <c r="U3" s="2110"/>
      <c r="V3" s="2110"/>
      <c r="W3" s="2110"/>
      <c r="X3" s="2110"/>
      <c r="Y3" s="2110"/>
    </row>
    <row r="4" spans="1:33" s="19" customFormat="1" ht="33" customHeight="1">
      <c r="A4" s="133"/>
      <c r="B4" s="134"/>
      <c r="C4" s="134"/>
      <c r="D4" s="134"/>
      <c r="E4" s="134"/>
      <c r="F4" s="134"/>
      <c r="G4" s="134"/>
      <c r="H4" s="134"/>
      <c r="I4" s="134"/>
      <c r="J4" s="134"/>
      <c r="K4" s="134"/>
      <c r="L4" s="134"/>
      <c r="M4" s="134"/>
      <c r="N4" s="134"/>
      <c r="O4" s="134"/>
      <c r="P4" s="134"/>
      <c r="Q4" s="134"/>
      <c r="R4" s="134"/>
      <c r="S4" s="134"/>
      <c r="T4" s="134"/>
      <c r="U4" s="134"/>
      <c r="V4" s="134"/>
      <c r="W4" s="134"/>
      <c r="X4" s="134"/>
      <c r="Y4" s="143"/>
    </row>
    <row r="5" spans="1:33" ht="17.25" customHeight="1">
      <c r="A5" s="2108" t="s">
        <v>178</v>
      </c>
      <c r="B5" s="2108" t="s">
        <v>56</v>
      </c>
      <c r="C5" s="2108" t="s">
        <v>57</v>
      </c>
      <c r="D5" s="2104" t="s">
        <v>6</v>
      </c>
      <c r="E5" s="2104" t="s">
        <v>7</v>
      </c>
      <c r="F5" s="2105" t="s">
        <v>522</v>
      </c>
      <c r="G5" s="135" t="s">
        <v>8</v>
      </c>
      <c r="H5" s="135"/>
      <c r="I5" s="2105" t="s">
        <v>565</v>
      </c>
      <c r="J5" s="2098" t="s">
        <v>567</v>
      </c>
      <c r="K5" s="2098" t="s">
        <v>570</v>
      </c>
      <c r="L5" s="167" t="s">
        <v>569</v>
      </c>
      <c r="M5" s="167"/>
      <c r="N5" s="167"/>
      <c r="O5" s="2095" t="s">
        <v>660</v>
      </c>
      <c r="P5" s="2095" t="s">
        <v>651</v>
      </c>
      <c r="Q5" s="2096"/>
      <c r="R5" s="2096"/>
      <c r="S5" s="2097"/>
      <c r="T5" s="2098" t="s">
        <v>659</v>
      </c>
      <c r="U5" s="2114" t="s">
        <v>9</v>
      </c>
      <c r="V5" s="2115"/>
      <c r="W5" s="2116"/>
      <c r="X5" s="2100" t="s">
        <v>653</v>
      </c>
      <c r="Y5" s="2113" t="s">
        <v>656</v>
      </c>
    </row>
    <row r="6" spans="1:33" ht="67.5" customHeight="1">
      <c r="A6" s="2108"/>
      <c r="B6" s="2108"/>
      <c r="C6" s="2108"/>
      <c r="D6" s="2104"/>
      <c r="E6" s="2104"/>
      <c r="F6" s="2106"/>
      <c r="G6" s="170" t="s">
        <v>11</v>
      </c>
      <c r="H6" s="170" t="s">
        <v>12</v>
      </c>
      <c r="I6" s="2106"/>
      <c r="J6" s="2099"/>
      <c r="K6" s="2099"/>
      <c r="L6" s="169" t="e">
        <f>'B7 LD&amp;VL-XDGN'!#REF!</f>
        <v>#REF!</v>
      </c>
      <c r="M6" s="169" t="e">
        <f>'B7 LD&amp;VL-XDGN'!#REF!</f>
        <v>#REF!</v>
      </c>
      <c r="N6" s="169" t="s">
        <v>658</v>
      </c>
      <c r="O6" s="2117"/>
      <c r="P6" s="168" t="s">
        <v>11</v>
      </c>
      <c r="Q6" s="168" t="e">
        <f>'B7 LD&amp;VL-XDGN'!#REF!</f>
        <v>#REF!</v>
      </c>
      <c r="R6" s="169" t="s">
        <v>568</v>
      </c>
      <c r="S6" s="168" t="e">
        <f>'B7 LD&amp;VL-XDGN'!#REF!</f>
        <v>#REF!</v>
      </c>
      <c r="T6" s="2099"/>
      <c r="U6" s="165" t="e">
        <f>'B7 LD&amp;VL-XDGN'!#REF!</f>
        <v>#REF!</v>
      </c>
      <c r="V6" s="165" t="e">
        <f>'B7 LD&amp;VL-XDGN'!#REF!</f>
        <v>#REF!</v>
      </c>
      <c r="W6" s="165" t="e">
        <f>'B7 LD&amp;VL-XDGN'!#REF!</f>
        <v>#REF!</v>
      </c>
      <c r="X6" s="2101"/>
      <c r="Y6" s="2113"/>
    </row>
    <row r="7" spans="1:33" s="22" customFormat="1" ht="28.5" customHeight="1">
      <c r="A7" s="144">
        <v>1</v>
      </c>
      <c r="B7" s="145" t="s">
        <v>529</v>
      </c>
      <c r="C7" s="172"/>
      <c r="D7" s="146"/>
      <c r="E7" s="146"/>
      <c r="F7" s="146"/>
      <c r="G7" s="146"/>
      <c r="H7" s="146"/>
      <c r="I7" s="146"/>
      <c r="J7" s="147"/>
      <c r="K7" s="147"/>
      <c r="L7" s="147"/>
      <c r="M7" s="147"/>
      <c r="N7" s="147"/>
      <c r="O7" s="147"/>
      <c r="P7" s="147"/>
      <c r="Q7" s="147"/>
      <c r="R7" s="147"/>
      <c r="S7" s="147"/>
      <c r="T7" s="147"/>
      <c r="U7" s="148"/>
      <c r="V7" s="148"/>
      <c r="W7" s="148"/>
      <c r="X7" s="148"/>
      <c r="Y7" s="149"/>
    </row>
    <row r="8" spans="1:33" s="22" customFormat="1" ht="28.5" customHeight="1">
      <c r="A8" s="150"/>
      <c r="B8" s="151" t="s">
        <v>530</v>
      </c>
      <c r="C8" s="173" t="s">
        <v>49</v>
      </c>
      <c r="D8" s="147"/>
      <c r="E8" s="147"/>
      <c r="F8" s="34">
        <v>3</v>
      </c>
      <c r="G8" s="147"/>
      <c r="H8" s="147"/>
      <c r="I8" s="147">
        <v>0</v>
      </c>
      <c r="J8" s="147">
        <v>4</v>
      </c>
      <c r="K8" s="147">
        <v>4</v>
      </c>
      <c r="L8" s="147">
        <v>0</v>
      </c>
      <c r="M8" s="147">
        <v>0</v>
      </c>
      <c r="N8" s="147">
        <v>0</v>
      </c>
      <c r="O8" s="147">
        <v>0</v>
      </c>
      <c r="P8" s="147">
        <v>0</v>
      </c>
      <c r="Q8" s="147">
        <v>0</v>
      </c>
      <c r="R8" s="147">
        <v>0</v>
      </c>
      <c r="S8" s="147"/>
      <c r="T8" s="147"/>
      <c r="U8" s="147"/>
      <c r="V8" s="147"/>
      <c r="W8" s="147"/>
      <c r="X8" s="147">
        <v>0</v>
      </c>
      <c r="Y8" s="152"/>
    </row>
    <row r="9" spans="1:33" s="22" customFormat="1" ht="28.5" customHeight="1">
      <c r="A9" s="150"/>
      <c r="B9" s="151" t="s">
        <v>531</v>
      </c>
      <c r="C9" s="173" t="s">
        <v>49</v>
      </c>
      <c r="D9" s="147"/>
      <c r="E9" s="147"/>
      <c r="F9" s="34">
        <v>3</v>
      </c>
      <c r="G9" s="147"/>
      <c r="H9" s="147"/>
      <c r="I9" s="147">
        <v>0</v>
      </c>
      <c r="J9" s="147">
        <v>0</v>
      </c>
      <c r="K9" s="147">
        <v>0</v>
      </c>
      <c r="L9" s="147">
        <v>0</v>
      </c>
      <c r="M9" s="147">
        <v>0</v>
      </c>
      <c r="N9" s="147">
        <v>0</v>
      </c>
      <c r="O9" s="147">
        <v>0</v>
      </c>
      <c r="P9" s="147">
        <v>0</v>
      </c>
      <c r="Q9" s="147">
        <v>0</v>
      </c>
      <c r="R9" s="147">
        <v>0</v>
      </c>
      <c r="S9" s="147"/>
      <c r="T9" s="147"/>
      <c r="U9" s="147"/>
      <c r="V9" s="147"/>
      <c r="W9" s="147"/>
      <c r="X9" s="147">
        <v>0</v>
      </c>
      <c r="Y9" s="152"/>
    </row>
    <row r="10" spans="1:33" s="22" customFormat="1" ht="28.5" customHeight="1">
      <c r="A10" s="150"/>
      <c r="B10" s="151" t="s">
        <v>532</v>
      </c>
      <c r="C10" s="173" t="s">
        <v>15</v>
      </c>
      <c r="D10" s="147"/>
      <c r="E10" s="147"/>
      <c r="F10" s="35">
        <v>62.548999999999999</v>
      </c>
      <c r="G10" s="147"/>
      <c r="H10" s="147"/>
      <c r="I10" s="147">
        <v>0</v>
      </c>
      <c r="J10" s="147">
        <v>50.2</v>
      </c>
      <c r="K10" s="147">
        <v>50.2</v>
      </c>
      <c r="L10" s="147">
        <v>0</v>
      </c>
      <c r="M10" s="147">
        <v>5.9</v>
      </c>
      <c r="N10" s="147">
        <v>9.6850000000000005</v>
      </c>
      <c r="O10" s="147">
        <v>11.385</v>
      </c>
      <c r="P10" s="153">
        <v>12</v>
      </c>
      <c r="Q10" s="166">
        <v>2.5</v>
      </c>
      <c r="R10" s="166">
        <v>5.64</v>
      </c>
      <c r="S10" s="158">
        <v>5.69</v>
      </c>
      <c r="T10" s="159"/>
      <c r="U10" s="156">
        <f>S10/O10*100</f>
        <v>49.978041282389114</v>
      </c>
      <c r="V10" s="147">
        <f>S10/P10*100</f>
        <v>47.416666666666671</v>
      </c>
      <c r="W10" s="147"/>
      <c r="X10" s="147">
        <v>12</v>
      </c>
      <c r="Y10" s="152"/>
    </row>
    <row r="11" spans="1:33" s="22" customFormat="1" ht="28.5" customHeight="1">
      <c r="A11" s="154">
        <v>2</v>
      </c>
      <c r="B11" s="155" t="s">
        <v>533</v>
      </c>
      <c r="C11" s="174"/>
      <c r="D11" s="147"/>
      <c r="E11" s="147"/>
      <c r="F11" s="36"/>
      <c r="G11" s="147"/>
      <c r="H11" s="147"/>
      <c r="I11" s="147"/>
      <c r="J11" s="147"/>
      <c r="K11" s="147"/>
      <c r="L11" s="147"/>
      <c r="M11" s="147"/>
      <c r="N11" s="147"/>
      <c r="O11" s="147"/>
      <c r="P11" s="147"/>
      <c r="Q11" s="147"/>
      <c r="R11" s="147"/>
      <c r="S11" s="147"/>
      <c r="T11" s="147"/>
      <c r="U11" s="147"/>
      <c r="V11" s="147"/>
      <c r="W11" s="147"/>
      <c r="X11" s="147"/>
      <c r="Y11" s="152"/>
    </row>
    <row r="12" spans="1:33" s="29" customFormat="1" ht="29.1" customHeight="1">
      <c r="A12" s="154"/>
      <c r="B12" s="125" t="s">
        <v>579</v>
      </c>
      <c r="C12" s="175" t="s">
        <v>26</v>
      </c>
      <c r="D12" s="147"/>
      <c r="E12" s="147"/>
      <c r="F12" s="36"/>
      <c r="G12" s="147"/>
      <c r="H12" s="147"/>
      <c r="I12" s="147"/>
      <c r="J12" s="147"/>
      <c r="K12" s="153">
        <v>95</v>
      </c>
      <c r="L12" s="147"/>
      <c r="M12" s="147">
        <v>96</v>
      </c>
      <c r="N12" s="147">
        <v>96</v>
      </c>
      <c r="O12" s="147">
        <v>95</v>
      </c>
      <c r="P12" s="147">
        <v>96</v>
      </c>
      <c r="Q12" s="147">
        <v>96</v>
      </c>
      <c r="R12" s="147">
        <v>96</v>
      </c>
      <c r="S12" s="147">
        <v>100</v>
      </c>
      <c r="T12" s="147">
        <v>100</v>
      </c>
      <c r="U12" s="147">
        <f>S12/O12*100</f>
        <v>105.26315789473684</v>
      </c>
      <c r="V12" s="147">
        <f>S12/P12*100</f>
        <v>104.16666666666667</v>
      </c>
      <c r="W12" s="147">
        <f>S12/T12*100</f>
        <v>100</v>
      </c>
      <c r="X12" s="147">
        <v>96</v>
      </c>
      <c r="Y12" s="152"/>
    </row>
    <row r="13" spans="1:33" s="29" customFormat="1" ht="30">
      <c r="A13" s="154"/>
      <c r="B13" s="125" t="s">
        <v>580</v>
      </c>
      <c r="C13" s="175" t="s">
        <v>26</v>
      </c>
      <c r="D13" s="147"/>
      <c r="E13" s="147"/>
      <c r="F13" s="36"/>
      <c r="G13" s="147"/>
      <c r="H13" s="147"/>
      <c r="I13" s="147"/>
      <c r="J13" s="147"/>
      <c r="K13" s="153">
        <f>2/13*100</f>
        <v>15.384615384615385</v>
      </c>
      <c r="L13" s="153"/>
      <c r="M13" s="153">
        <f>3/13*100</f>
        <v>23.076923076923077</v>
      </c>
      <c r="N13" s="153">
        <f>3/13*100</f>
        <v>23.076923076923077</v>
      </c>
      <c r="O13" s="153">
        <f>4/13*100</f>
        <v>30.76923076923077</v>
      </c>
      <c r="P13" s="153">
        <f>4/13*100</f>
        <v>30.76923076923077</v>
      </c>
      <c r="Q13" s="153">
        <v>30.77</v>
      </c>
      <c r="R13" s="153">
        <v>30.77</v>
      </c>
      <c r="S13" s="153">
        <v>75</v>
      </c>
      <c r="T13" s="153">
        <v>80</v>
      </c>
      <c r="U13" s="147">
        <f>S13/O13*100</f>
        <v>243.75</v>
      </c>
      <c r="V13" s="147">
        <f>S13/P13*100</f>
        <v>243.75</v>
      </c>
      <c r="W13" s="147">
        <f>S13/T13*100</f>
        <v>93.75</v>
      </c>
      <c r="X13" s="153">
        <v>30.77</v>
      </c>
      <c r="Y13" s="152"/>
      <c r="Z13" s="2102" t="s">
        <v>585</v>
      </c>
      <c r="AA13" s="2102"/>
      <c r="AB13" s="2102"/>
      <c r="AC13" s="2102"/>
      <c r="AD13" s="2102"/>
      <c r="AE13" s="2102"/>
      <c r="AF13" s="2102"/>
      <c r="AG13" s="2102"/>
    </row>
    <row r="14" spans="1:33" s="22" customFormat="1" ht="39" customHeight="1">
      <c r="A14" s="150"/>
      <c r="B14" s="177" t="s">
        <v>534</v>
      </c>
      <c r="C14" s="173" t="s">
        <v>535</v>
      </c>
      <c r="D14" s="147"/>
      <c r="E14" s="147"/>
      <c r="F14" s="34">
        <v>0</v>
      </c>
      <c r="G14" s="147"/>
      <c r="H14" s="147"/>
      <c r="I14" s="147">
        <v>0</v>
      </c>
      <c r="J14" s="156">
        <v>2</v>
      </c>
      <c r="K14" s="156">
        <v>2</v>
      </c>
      <c r="L14" s="147">
        <v>0</v>
      </c>
      <c r="M14" s="147">
        <v>0</v>
      </c>
      <c r="N14" s="147">
        <v>0</v>
      </c>
      <c r="O14" s="147"/>
      <c r="P14" s="147"/>
      <c r="Q14" s="147">
        <v>0</v>
      </c>
      <c r="R14" s="147">
        <v>0</v>
      </c>
      <c r="S14" s="147"/>
      <c r="T14" s="147"/>
      <c r="U14" s="147"/>
      <c r="V14" s="147"/>
      <c r="W14" s="147"/>
      <c r="X14" s="147"/>
      <c r="Y14" s="152"/>
    </row>
    <row r="15" spans="1:33" s="22" customFormat="1" ht="33.75" customHeight="1">
      <c r="A15" s="150"/>
      <c r="B15" s="177" t="s">
        <v>536</v>
      </c>
      <c r="C15" s="173" t="s">
        <v>535</v>
      </c>
      <c r="D15" s="147"/>
      <c r="E15" s="147"/>
      <c r="F15" s="34">
        <v>0</v>
      </c>
      <c r="G15" s="147"/>
      <c r="H15" s="147"/>
      <c r="I15" s="147">
        <v>0</v>
      </c>
      <c r="J15" s="156">
        <v>2</v>
      </c>
      <c r="K15" s="156">
        <v>2</v>
      </c>
      <c r="L15" s="147">
        <v>0</v>
      </c>
      <c r="M15" s="147">
        <v>0</v>
      </c>
      <c r="N15" s="147">
        <v>0</v>
      </c>
      <c r="O15" s="147"/>
      <c r="P15" s="147"/>
      <c r="Q15" s="147">
        <v>0</v>
      </c>
      <c r="R15" s="147">
        <v>0</v>
      </c>
      <c r="S15" s="147"/>
      <c r="T15" s="147"/>
      <c r="U15" s="147"/>
      <c r="V15" s="147"/>
      <c r="W15" s="147"/>
      <c r="X15" s="147"/>
      <c r="Y15" s="152"/>
    </row>
    <row r="16" spans="1:33" s="22" customFormat="1" ht="37.5" customHeight="1">
      <c r="A16" s="150"/>
      <c r="B16" s="177" t="s">
        <v>537</v>
      </c>
      <c r="C16" s="173" t="s">
        <v>25</v>
      </c>
      <c r="D16" s="147"/>
      <c r="E16" s="147"/>
      <c r="F16" s="34">
        <v>0</v>
      </c>
      <c r="G16" s="147"/>
      <c r="H16" s="147"/>
      <c r="I16" s="147">
        <v>0</v>
      </c>
      <c r="J16" s="156">
        <f>280+281</f>
        <v>561</v>
      </c>
      <c r="K16" s="156">
        <f>280+281</f>
        <v>561</v>
      </c>
      <c r="L16" s="147">
        <v>0</v>
      </c>
      <c r="M16" s="147">
        <v>0</v>
      </c>
      <c r="N16" s="147">
        <v>0</v>
      </c>
      <c r="O16" s="147"/>
      <c r="P16" s="147"/>
      <c r="Q16" s="147">
        <v>0</v>
      </c>
      <c r="R16" s="147">
        <v>0</v>
      </c>
      <c r="S16" s="147"/>
      <c r="T16" s="147"/>
      <c r="U16" s="147"/>
      <c r="V16" s="147"/>
      <c r="W16" s="147"/>
      <c r="X16" s="147"/>
      <c r="Y16" s="152"/>
    </row>
    <row r="17" spans="1:29" s="22" customFormat="1" ht="28.5" customHeight="1">
      <c r="A17" s="154">
        <v>3</v>
      </c>
      <c r="B17" s="155" t="s">
        <v>538</v>
      </c>
      <c r="C17" s="174"/>
      <c r="D17" s="147"/>
      <c r="E17" s="147"/>
      <c r="F17" s="34"/>
      <c r="G17" s="147"/>
      <c r="H17" s="147"/>
      <c r="I17" s="147"/>
      <c r="J17" s="147"/>
      <c r="K17" s="147"/>
      <c r="L17" s="147"/>
      <c r="M17" s="147"/>
      <c r="N17" s="147"/>
      <c r="O17" s="147"/>
      <c r="P17" s="147"/>
      <c r="Q17" s="147"/>
      <c r="R17" s="147"/>
      <c r="S17" s="147"/>
      <c r="T17" s="147"/>
      <c r="U17" s="147"/>
      <c r="V17" s="147"/>
      <c r="W17" s="147"/>
      <c r="X17" s="147"/>
      <c r="Y17" s="152"/>
    </row>
    <row r="18" spans="1:29" s="23" customFormat="1" ht="28.5" customHeight="1">
      <c r="A18" s="150"/>
      <c r="B18" s="151" t="s">
        <v>619</v>
      </c>
      <c r="C18" s="173" t="s">
        <v>535</v>
      </c>
      <c r="D18" s="137"/>
      <c r="E18" s="137"/>
      <c r="F18" s="34">
        <v>2</v>
      </c>
      <c r="G18" s="137"/>
      <c r="H18" s="137"/>
      <c r="I18" s="27">
        <v>4</v>
      </c>
      <c r="J18" s="27">
        <v>6</v>
      </c>
      <c r="K18" s="27">
        <v>6</v>
      </c>
      <c r="L18" s="157">
        <v>0</v>
      </c>
      <c r="M18" s="157">
        <v>7</v>
      </c>
      <c r="N18" s="157">
        <v>8</v>
      </c>
      <c r="O18" s="157">
        <v>12</v>
      </c>
      <c r="P18" s="157">
        <v>0</v>
      </c>
      <c r="Q18" s="157">
        <v>6</v>
      </c>
      <c r="R18" s="157">
        <v>8</v>
      </c>
      <c r="S18" s="157">
        <v>10</v>
      </c>
      <c r="T18" s="157"/>
      <c r="U18" s="147">
        <f>S18-O18</f>
        <v>-2</v>
      </c>
      <c r="V18" s="147"/>
      <c r="W18" s="147"/>
      <c r="X18" s="157">
        <v>0</v>
      </c>
      <c r="Y18" s="152"/>
      <c r="AC18" s="23">
        <f>25250+555</f>
        <v>25805</v>
      </c>
    </row>
    <row r="19" spans="1:29" s="23" customFormat="1" ht="28.5" customHeight="1">
      <c r="A19" s="150"/>
      <c r="B19" s="151" t="s">
        <v>620</v>
      </c>
      <c r="C19" s="173" t="s">
        <v>49</v>
      </c>
      <c r="D19" s="137"/>
      <c r="E19" s="137"/>
      <c r="F19" s="34">
        <v>1</v>
      </c>
      <c r="G19" s="137"/>
      <c r="H19" s="137"/>
      <c r="I19" s="27">
        <v>2</v>
      </c>
      <c r="J19" s="27">
        <v>3</v>
      </c>
      <c r="K19" s="27">
        <v>3</v>
      </c>
      <c r="L19" s="157">
        <v>0</v>
      </c>
      <c r="M19" s="157">
        <v>2</v>
      </c>
      <c r="N19" s="157">
        <v>3</v>
      </c>
      <c r="O19" s="157">
        <v>1</v>
      </c>
      <c r="P19" s="157">
        <v>0</v>
      </c>
      <c r="Q19" s="157">
        <v>1</v>
      </c>
      <c r="R19" s="157">
        <v>2</v>
      </c>
      <c r="S19" s="157">
        <v>2</v>
      </c>
      <c r="T19" s="157"/>
      <c r="U19" s="147">
        <f>S19-O19</f>
        <v>1</v>
      </c>
      <c r="V19" s="147"/>
      <c r="W19" s="147"/>
      <c r="X19" s="157">
        <v>0</v>
      </c>
      <c r="Y19" s="152"/>
    </row>
    <row r="20" spans="1:29" s="23" customFormat="1" ht="28.5" customHeight="1">
      <c r="A20" s="150"/>
      <c r="B20" s="151" t="s">
        <v>621</v>
      </c>
      <c r="C20" s="173" t="s">
        <v>49</v>
      </c>
      <c r="D20" s="137"/>
      <c r="E20" s="137"/>
      <c r="F20" s="34">
        <v>3</v>
      </c>
      <c r="G20" s="137"/>
      <c r="H20" s="137"/>
      <c r="I20" s="27">
        <v>6</v>
      </c>
      <c r="J20" s="27">
        <v>7</v>
      </c>
      <c r="K20" s="27">
        <v>9</v>
      </c>
      <c r="L20" s="157">
        <v>0</v>
      </c>
      <c r="M20" s="157">
        <v>9</v>
      </c>
      <c r="N20" s="157">
        <v>9</v>
      </c>
      <c r="O20" s="157">
        <v>19</v>
      </c>
      <c r="P20" s="157">
        <v>0</v>
      </c>
      <c r="Q20" s="157">
        <v>9</v>
      </c>
      <c r="R20" s="157">
        <v>11</v>
      </c>
      <c r="S20" s="157">
        <v>11</v>
      </c>
      <c r="T20" s="157"/>
      <c r="U20" s="147">
        <f>S20-O20</f>
        <v>-8</v>
      </c>
      <c r="V20" s="147"/>
      <c r="W20" s="147"/>
      <c r="X20" s="157">
        <v>0</v>
      </c>
      <c r="Y20" s="152"/>
    </row>
    <row r="21" spans="1:29" s="23" customFormat="1" ht="28.5" customHeight="1">
      <c r="A21" s="154">
        <v>4</v>
      </c>
      <c r="B21" s="155" t="s">
        <v>549</v>
      </c>
      <c r="C21" s="174"/>
      <c r="D21" s="137"/>
      <c r="E21" s="137"/>
      <c r="F21" s="34"/>
      <c r="G21" s="137"/>
      <c r="H21" s="137"/>
      <c r="I21" s="137"/>
      <c r="J21" s="137"/>
      <c r="K21" s="137"/>
      <c r="L21" s="157"/>
      <c r="M21" s="157"/>
      <c r="N21" s="157"/>
      <c r="O21" s="157"/>
      <c r="P21" s="157"/>
      <c r="Q21" s="157"/>
      <c r="R21" s="157"/>
      <c r="S21" s="147"/>
      <c r="T21" s="147"/>
      <c r="U21" s="147"/>
      <c r="V21" s="147"/>
      <c r="W21" s="147"/>
      <c r="X21" s="147"/>
      <c r="Y21" s="152"/>
    </row>
    <row r="22" spans="1:29" s="23" customFormat="1" ht="25.5" customHeight="1">
      <c r="A22" s="150"/>
      <c r="B22" s="151" t="s">
        <v>539</v>
      </c>
      <c r="C22" s="173" t="s">
        <v>49</v>
      </c>
      <c r="D22" s="137"/>
      <c r="E22" s="137"/>
      <c r="F22" s="35">
        <v>0</v>
      </c>
      <c r="G22" s="137"/>
      <c r="H22" s="137"/>
      <c r="I22" s="26">
        <v>0</v>
      </c>
      <c r="J22" s="27">
        <v>1</v>
      </c>
      <c r="K22" s="27">
        <v>2</v>
      </c>
      <c r="L22" s="157">
        <v>0</v>
      </c>
      <c r="M22" s="157">
        <v>4</v>
      </c>
      <c r="N22" s="157">
        <v>6</v>
      </c>
      <c r="O22" s="157">
        <v>8</v>
      </c>
      <c r="P22" s="157">
        <v>0</v>
      </c>
      <c r="Q22" s="157">
        <v>0</v>
      </c>
      <c r="R22" s="157"/>
      <c r="S22" s="157">
        <v>6</v>
      </c>
      <c r="T22" s="157"/>
      <c r="U22" s="147">
        <f>S22-O22</f>
        <v>-2</v>
      </c>
      <c r="V22" s="147"/>
      <c r="W22" s="147"/>
      <c r="X22" s="147"/>
      <c r="Y22" s="152"/>
    </row>
    <row r="23" spans="1:29" s="23" customFormat="1" ht="25.5" customHeight="1">
      <c r="A23" s="150"/>
      <c r="B23" s="151" t="s">
        <v>540</v>
      </c>
      <c r="C23" s="173" t="s">
        <v>49</v>
      </c>
      <c r="D23" s="137"/>
      <c r="E23" s="137"/>
      <c r="F23" s="35">
        <v>0</v>
      </c>
      <c r="G23" s="137"/>
      <c r="H23" s="137"/>
      <c r="I23" s="26">
        <v>0</v>
      </c>
      <c r="J23" s="27">
        <v>0</v>
      </c>
      <c r="K23" s="27">
        <v>0</v>
      </c>
      <c r="L23" s="158">
        <v>0</v>
      </c>
      <c r="M23" s="158">
        <v>0</v>
      </c>
      <c r="N23" s="158">
        <v>0</v>
      </c>
      <c r="O23" s="158">
        <v>0</v>
      </c>
      <c r="P23" s="158">
        <v>0</v>
      </c>
      <c r="Q23" s="158">
        <v>0</v>
      </c>
      <c r="R23" s="158"/>
      <c r="S23" s="158"/>
      <c r="T23" s="158"/>
      <c r="U23" s="147"/>
      <c r="V23" s="147"/>
      <c r="W23" s="147"/>
      <c r="X23" s="147"/>
      <c r="Y23" s="152"/>
    </row>
    <row r="24" spans="1:29" s="23" customFormat="1" ht="25.5" customHeight="1">
      <c r="A24" s="150"/>
      <c r="B24" s="151" t="s">
        <v>541</v>
      </c>
      <c r="C24" s="173" t="s">
        <v>49</v>
      </c>
      <c r="D24" s="137"/>
      <c r="E24" s="137"/>
      <c r="F24" s="37">
        <v>0</v>
      </c>
      <c r="G24" s="137"/>
      <c r="H24" s="137"/>
      <c r="I24" s="26">
        <v>0</v>
      </c>
      <c r="J24" s="27">
        <v>0</v>
      </c>
      <c r="K24" s="27">
        <v>0</v>
      </c>
      <c r="L24" s="158">
        <v>0</v>
      </c>
      <c r="M24" s="158">
        <v>0</v>
      </c>
      <c r="N24" s="158">
        <v>0</v>
      </c>
      <c r="O24" s="158">
        <v>0</v>
      </c>
      <c r="P24" s="158">
        <v>0</v>
      </c>
      <c r="Q24" s="158">
        <v>0</v>
      </c>
      <c r="R24" s="158"/>
      <c r="S24" s="158"/>
      <c r="T24" s="158"/>
      <c r="U24" s="147"/>
      <c r="V24" s="147"/>
      <c r="W24" s="147"/>
      <c r="X24" s="147"/>
      <c r="Y24" s="152"/>
    </row>
    <row r="25" spans="1:29" s="24" customFormat="1" ht="25.5" customHeight="1">
      <c r="A25" s="150"/>
      <c r="B25" s="151" t="s">
        <v>542</v>
      </c>
      <c r="C25" s="173" t="s">
        <v>25</v>
      </c>
      <c r="D25" s="28"/>
      <c r="E25" s="28"/>
      <c r="F25" s="35">
        <v>0</v>
      </c>
      <c r="G25" s="28"/>
      <c r="H25" s="28"/>
      <c r="I25" s="26">
        <v>0</v>
      </c>
      <c r="J25" s="27">
        <v>80</v>
      </c>
      <c r="K25" s="27">
        <v>130</v>
      </c>
      <c r="L25" s="28">
        <v>0</v>
      </c>
      <c r="M25" s="156">
        <v>2100</v>
      </c>
      <c r="N25" s="156">
        <v>2800</v>
      </c>
      <c r="O25" s="156">
        <v>2800</v>
      </c>
      <c r="P25" s="156">
        <v>0</v>
      </c>
      <c r="Q25" s="156">
        <v>0</v>
      </c>
      <c r="R25" s="156"/>
      <c r="S25" s="156">
        <v>715</v>
      </c>
      <c r="T25" s="156"/>
      <c r="U25" s="147">
        <f>S25/O25*100</f>
        <v>25.535714285714285</v>
      </c>
      <c r="V25" s="147"/>
      <c r="W25" s="147"/>
      <c r="X25" s="147"/>
      <c r="Y25" s="152"/>
    </row>
    <row r="26" spans="1:29" s="24" customFormat="1" ht="25.5" customHeight="1">
      <c r="A26" s="154">
        <v>5</v>
      </c>
      <c r="B26" s="155" t="s">
        <v>543</v>
      </c>
      <c r="C26" s="174"/>
      <c r="D26" s="28"/>
      <c r="E26" s="28"/>
      <c r="F26" s="38"/>
      <c r="G26" s="28"/>
      <c r="H26" s="28"/>
      <c r="I26" s="28"/>
      <c r="J26" s="28"/>
      <c r="K26" s="28"/>
      <c r="L26" s="28"/>
      <c r="M26" s="159"/>
      <c r="N26" s="159"/>
      <c r="O26" s="159"/>
      <c r="P26" s="159"/>
      <c r="Q26" s="159"/>
      <c r="R26" s="159"/>
      <c r="S26" s="147"/>
      <c r="T26" s="147"/>
      <c r="U26" s="147"/>
      <c r="V26" s="147"/>
      <c r="W26" s="147"/>
      <c r="X26" s="147"/>
      <c r="Y26" s="152"/>
    </row>
    <row r="27" spans="1:29" s="24" customFormat="1" ht="25.5" customHeight="1">
      <c r="A27" s="150"/>
      <c r="B27" s="151" t="s">
        <v>544</v>
      </c>
      <c r="C27" s="173" t="s">
        <v>535</v>
      </c>
      <c r="D27" s="28"/>
      <c r="E27" s="28"/>
      <c r="F27" s="38">
        <v>0</v>
      </c>
      <c r="G27" s="28"/>
      <c r="H27" s="28"/>
      <c r="I27" s="28">
        <v>0</v>
      </c>
      <c r="J27" s="28">
        <v>0</v>
      </c>
      <c r="K27" s="28">
        <v>0</v>
      </c>
      <c r="L27" s="28">
        <v>0</v>
      </c>
      <c r="M27" s="159">
        <v>0</v>
      </c>
      <c r="N27" s="159">
        <v>0</v>
      </c>
      <c r="O27" s="159">
        <v>0</v>
      </c>
      <c r="P27" s="159">
        <v>0</v>
      </c>
      <c r="Q27" s="159">
        <v>0</v>
      </c>
      <c r="R27" s="159"/>
      <c r="S27" s="159"/>
      <c r="T27" s="159"/>
      <c r="U27" s="147"/>
      <c r="V27" s="147"/>
      <c r="W27" s="147"/>
      <c r="X27" s="147">
        <v>0</v>
      </c>
      <c r="Y27" s="152"/>
    </row>
    <row r="28" spans="1:29" s="24" customFormat="1" ht="25.5" customHeight="1">
      <c r="A28" s="160"/>
      <c r="B28" s="161" t="s">
        <v>545</v>
      </c>
      <c r="C28" s="176" t="s">
        <v>535</v>
      </c>
      <c r="D28" s="162"/>
      <c r="E28" s="162"/>
      <c r="F28" s="72">
        <v>0</v>
      </c>
      <c r="G28" s="162"/>
      <c r="H28" s="162"/>
      <c r="I28" s="162">
        <v>0</v>
      </c>
      <c r="J28" s="162">
        <v>0</v>
      </c>
      <c r="K28" s="162">
        <v>0</v>
      </c>
      <c r="L28" s="162">
        <v>0</v>
      </c>
      <c r="M28" s="162">
        <v>0</v>
      </c>
      <c r="N28" s="162">
        <v>0</v>
      </c>
      <c r="O28" s="162">
        <v>0</v>
      </c>
      <c r="P28" s="162">
        <v>0</v>
      </c>
      <c r="Q28" s="162">
        <v>0</v>
      </c>
      <c r="R28" s="162"/>
      <c r="S28" s="162"/>
      <c r="T28" s="162"/>
      <c r="U28" s="163"/>
      <c r="V28" s="163"/>
      <c r="W28" s="163"/>
      <c r="X28" s="163">
        <v>0</v>
      </c>
      <c r="Y28" s="163"/>
    </row>
    <row r="29" spans="1:29" ht="8.25" customHeight="1">
      <c r="B29" s="139"/>
    </row>
    <row r="30" spans="1:29" ht="21" customHeight="1">
      <c r="A30" s="2103"/>
      <c r="B30" s="2103"/>
      <c r="C30" s="2103"/>
      <c r="D30" s="2103"/>
      <c r="E30" s="2103"/>
      <c r="F30" s="2103"/>
      <c r="G30" s="2103"/>
      <c r="H30" s="2103"/>
      <c r="I30" s="2103"/>
      <c r="J30" s="2103"/>
      <c r="K30" s="2103"/>
      <c r="L30" s="2103"/>
      <c r="M30" s="2103"/>
      <c r="N30" s="2103"/>
      <c r="O30" s="2103"/>
      <c r="P30" s="2103"/>
      <c r="Q30" s="2103"/>
      <c r="R30" s="2103"/>
      <c r="S30" s="2103"/>
      <c r="T30" s="2103"/>
      <c r="U30" s="2103"/>
      <c r="V30" s="2103"/>
      <c r="W30" s="2103"/>
      <c r="X30" s="2103"/>
      <c r="Y30" s="2103"/>
    </row>
  </sheetData>
  <mergeCells count="20">
    <mergeCell ref="A1:B1"/>
    <mergeCell ref="A5:A6"/>
    <mergeCell ref="B5:B6"/>
    <mergeCell ref="C5:C6"/>
    <mergeCell ref="A3:Y3"/>
    <mergeCell ref="A2:Y2"/>
    <mergeCell ref="D5:D6"/>
    <mergeCell ref="Y5:Y6"/>
    <mergeCell ref="I5:I6"/>
    <mergeCell ref="J5:J6"/>
    <mergeCell ref="U5:W5"/>
    <mergeCell ref="O5:O6"/>
    <mergeCell ref="T5:T6"/>
    <mergeCell ref="P5:S5"/>
    <mergeCell ref="K5:K6"/>
    <mergeCell ref="X5:X6"/>
    <mergeCell ref="Z13:AG13"/>
    <mergeCell ref="A30:Y30"/>
    <mergeCell ref="E5:E6"/>
    <mergeCell ref="F5:F6"/>
  </mergeCells>
  <printOptions horizontalCentered="1"/>
  <pageMargins left="0.39370078740157483" right="0.19685039370078741" top="0.39370078740157483" bottom="0.39370078740157483" header="0.19685039370078741" footer="0.19685039370078741"/>
  <pageSetup paperSize="9" scale="80" orientation="portrait" r:id="rId1"/>
  <headerFooter>
    <evenFooter>Page &amp;P</evenFooter>
  </headerFooter>
</worksheet>
</file>

<file path=xl/worksheets/sheet1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H36"/>
  <sheetViews>
    <sheetView zoomScaleNormal="100" workbookViewId="0">
      <pane xSplit="23" ySplit="7" topLeftCell="X8" activePane="bottomRight" state="frozen"/>
      <selection activeCell="AP143" sqref="AP143"/>
      <selection pane="topRight" activeCell="AP143" sqref="AP143"/>
      <selection pane="bottomLeft" activeCell="AP143" sqref="AP143"/>
      <selection pane="bottomRight" activeCell="AP15" sqref="AP15"/>
    </sheetView>
  </sheetViews>
  <sheetFormatPr defaultColWidth="9" defaultRowHeight="15.75" customHeight="1"/>
  <cols>
    <col min="1" max="1" width="4.75" style="405" customWidth="1"/>
    <col min="2" max="2" width="26.625" style="494" customWidth="1"/>
    <col min="3" max="3" width="6.875" style="494" customWidth="1"/>
    <col min="4" max="5" width="7.25" style="493" hidden="1" customWidth="1"/>
    <col min="6" max="6" width="7.75" style="493" customWidth="1"/>
    <col min="7" max="22" width="7.25" style="493" hidden="1" customWidth="1"/>
    <col min="23" max="23" width="8.125" style="493" customWidth="1"/>
    <col min="24" max="37" width="7.25" style="493" hidden="1" customWidth="1"/>
    <col min="38" max="38" width="8.25" style="493" customWidth="1"/>
    <col min="39" max="52" width="7.25" style="493" customWidth="1"/>
    <col min="53" max="53" width="9" style="404" customWidth="1"/>
    <col min="54" max="54" width="8.625" style="404" customWidth="1"/>
    <col min="55" max="55" width="4.25" style="404" customWidth="1"/>
    <col min="56" max="56" width="8.75" style="1401" customWidth="1"/>
    <col min="57" max="57" width="8.875" style="1402" customWidth="1"/>
    <col min="58" max="58" width="12.75" style="831" hidden="1" customWidth="1"/>
    <col min="59" max="60" width="0" style="1403" hidden="1" customWidth="1"/>
    <col min="61" max="16384" width="9" style="404"/>
  </cols>
  <sheetData>
    <row r="1" spans="1:60" ht="21.95" customHeight="1">
      <c r="A1" s="2030" t="s">
        <v>317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030"/>
      <c r="AW1" s="2030"/>
      <c r="AX1" s="2030"/>
      <c r="AY1" s="2030"/>
      <c r="AZ1" s="2030"/>
      <c r="BA1" s="2030"/>
      <c r="BB1" s="2030"/>
      <c r="BC1" s="2030"/>
    </row>
    <row r="2" spans="1:60" ht="21.95" customHeight="1">
      <c r="A2" s="2031" t="s">
        <v>789</v>
      </c>
      <c r="B2" s="2031"/>
      <c r="C2" s="2031"/>
      <c r="D2" s="2031"/>
      <c r="E2" s="2031"/>
      <c r="F2" s="2031"/>
      <c r="G2" s="2031"/>
      <c r="H2" s="2031"/>
      <c r="I2" s="2031"/>
      <c r="J2" s="2031"/>
      <c r="K2" s="2031"/>
      <c r="L2" s="2031"/>
      <c r="M2" s="2031"/>
      <c r="N2" s="2031"/>
      <c r="O2" s="2031"/>
      <c r="P2" s="2031"/>
      <c r="Q2" s="2031"/>
      <c r="R2" s="2031"/>
      <c r="S2" s="2031"/>
      <c r="T2" s="2031"/>
      <c r="U2" s="2031"/>
      <c r="V2" s="2031"/>
      <c r="W2" s="2031"/>
      <c r="X2" s="2031"/>
      <c r="Y2" s="2031"/>
      <c r="Z2" s="2031"/>
      <c r="AA2" s="2031"/>
      <c r="AB2" s="2031"/>
      <c r="AC2" s="2031"/>
      <c r="AD2" s="2031"/>
      <c r="AE2" s="2031"/>
      <c r="AF2" s="2031"/>
      <c r="AG2" s="2031"/>
      <c r="AH2" s="2031"/>
      <c r="AI2" s="2031"/>
      <c r="AJ2" s="2031"/>
      <c r="AK2" s="2031"/>
      <c r="AL2" s="2031"/>
      <c r="AM2" s="2031"/>
      <c r="AN2" s="2031"/>
      <c r="AO2" s="2031"/>
      <c r="AP2" s="2031"/>
      <c r="AQ2" s="2031"/>
      <c r="AR2" s="2031"/>
      <c r="AS2" s="2031"/>
      <c r="AT2" s="2031"/>
      <c r="AU2" s="2031"/>
      <c r="AV2" s="2031"/>
      <c r="AW2" s="2031"/>
      <c r="AX2" s="2031"/>
      <c r="AY2" s="2031"/>
      <c r="AZ2" s="2031"/>
      <c r="BA2" s="2031"/>
      <c r="BB2" s="2031"/>
      <c r="BC2" s="2031"/>
    </row>
    <row r="3" spans="1:60" ht="21.95" customHeight="1">
      <c r="A3" s="2032" t="str">
        <f>'B7 LD&amp;VL-XDGN'!A3:BZ3</f>
        <v>(Kèm theo Báo cáo số:  1525 /BC-UBND, ngày   30  tháng 5 năm 2025 của UBND huyện Mường Tè)</v>
      </c>
      <c r="B3" s="2032"/>
      <c r="C3" s="2032"/>
      <c r="D3" s="2032"/>
      <c r="E3" s="2032"/>
      <c r="F3" s="2032"/>
      <c r="G3" s="2032"/>
      <c r="H3" s="2032"/>
      <c r="I3" s="2032"/>
      <c r="J3" s="2032"/>
      <c r="K3" s="2032"/>
      <c r="L3" s="2032"/>
      <c r="M3" s="2032"/>
      <c r="N3" s="2032"/>
      <c r="O3" s="2032"/>
      <c r="P3" s="2032"/>
      <c r="Q3" s="2032"/>
      <c r="R3" s="2032"/>
      <c r="S3" s="2032"/>
      <c r="T3" s="2032"/>
      <c r="U3" s="2032"/>
      <c r="V3" s="2032"/>
      <c r="W3" s="2032"/>
      <c r="X3" s="2032"/>
      <c r="Y3" s="2032"/>
      <c r="Z3" s="2032"/>
      <c r="AA3" s="2032"/>
      <c r="AB3" s="2032"/>
      <c r="AC3" s="2032"/>
      <c r="AD3" s="2032"/>
      <c r="AE3" s="2032"/>
      <c r="AF3" s="2032"/>
      <c r="AG3" s="2032"/>
      <c r="AH3" s="2032"/>
      <c r="AI3" s="2032"/>
      <c r="AJ3" s="2032"/>
      <c r="AK3" s="2032"/>
      <c r="AL3" s="2032"/>
      <c r="AM3" s="2032"/>
      <c r="AN3" s="2032"/>
      <c r="AO3" s="2032"/>
      <c r="AP3" s="2032"/>
      <c r="AQ3" s="2032"/>
      <c r="AR3" s="2032"/>
      <c r="AS3" s="2032"/>
      <c r="AT3" s="2032"/>
      <c r="AU3" s="2032"/>
      <c r="AV3" s="2032"/>
      <c r="AW3" s="2032"/>
      <c r="AX3" s="2032"/>
      <c r="AY3" s="2032"/>
      <c r="AZ3" s="2032"/>
      <c r="BA3" s="2032"/>
      <c r="BB3" s="2032"/>
      <c r="BC3" s="2032"/>
    </row>
    <row r="4" spans="1:60" s="549" customFormat="1" ht="22.15" customHeight="1">
      <c r="A4" s="1404"/>
      <c r="D4" s="422"/>
      <c r="E4" s="422"/>
      <c r="F4" s="422"/>
      <c r="G4" s="422"/>
      <c r="H4" s="422"/>
      <c r="I4" s="819"/>
      <c r="J4" s="422"/>
      <c r="K4" s="422"/>
      <c r="L4" s="422"/>
      <c r="M4" s="422"/>
      <c r="N4" s="422"/>
      <c r="O4" s="422"/>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D4" s="1405"/>
      <c r="BE4" s="1406"/>
      <c r="BF4" s="659"/>
      <c r="BG4" s="815"/>
      <c r="BH4" s="815"/>
    </row>
    <row r="5" spans="1:60" ht="35.25" customHeight="1">
      <c r="A5" s="2021" t="s">
        <v>178</v>
      </c>
      <c r="B5" s="2021" t="s">
        <v>56</v>
      </c>
      <c r="C5" s="2021" t="s">
        <v>57</v>
      </c>
      <c r="D5" s="2017" t="str">
        <f>'B6. PTDN'!E5</f>
        <v>TH năm 2023</v>
      </c>
      <c r="E5" s="2017" t="s">
        <v>865</v>
      </c>
      <c r="F5" s="2017"/>
      <c r="G5" s="2017"/>
      <c r="H5" s="2017"/>
      <c r="I5" s="2017"/>
      <c r="J5" s="2017"/>
      <c r="K5" s="2017"/>
      <c r="L5" s="2017"/>
      <c r="M5" s="2017"/>
      <c r="N5" s="2017"/>
      <c r="O5" s="2017"/>
      <c r="P5" s="2017"/>
      <c r="Q5" s="2017"/>
      <c r="R5" s="2017"/>
      <c r="S5" s="2017"/>
      <c r="T5" s="2017"/>
      <c r="U5" s="2017"/>
      <c r="V5" s="2017"/>
      <c r="W5" s="2017" t="s">
        <v>952</v>
      </c>
      <c r="X5" s="2017"/>
      <c r="Y5" s="2017"/>
      <c r="Z5" s="2017"/>
      <c r="AA5" s="2017"/>
      <c r="AB5" s="2017"/>
      <c r="AC5" s="2017"/>
      <c r="AD5" s="2017"/>
      <c r="AE5" s="2017"/>
      <c r="AF5" s="2017"/>
      <c r="AG5" s="2017"/>
      <c r="AH5" s="2017"/>
      <c r="AI5" s="2017"/>
      <c r="AJ5" s="2017"/>
      <c r="AK5" s="2017"/>
      <c r="AL5" s="2017"/>
      <c r="AM5" s="2017"/>
      <c r="AN5" s="2017"/>
      <c r="AO5" s="2017"/>
      <c r="AP5" s="2017"/>
      <c r="AQ5" s="2017"/>
      <c r="AR5" s="2017"/>
      <c r="AS5" s="2017"/>
      <c r="AT5" s="2017"/>
      <c r="AU5" s="2017"/>
      <c r="AV5" s="2017"/>
      <c r="AW5" s="2017"/>
      <c r="AX5" s="2017"/>
      <c r="AY5" s="2017"/>
      <c r="AZ5" s="2017"/>
      <c r="BA5" s="2017" t="s">
        <v>866</v>
      </c>
      <c r="BB5" s="2017"/>
      <c r="BC5" s="2017" t="s">
        <v>656</v>
      </c>
      <c r="BD5" s="136"/>
      <c r="BE5" s="1274"/>
    </row>
    <row r="6" spans="1:60" ht="21.75" customHeight="1">
      <c r="A6" s="2021"/>
      <c r="B6" s="2021"/>
      <c r="C6" s="2021"/>
      <c r="D6" s="2017"/>
      <c r="E6" s="2017" t="s">
        <v>11</v>
      </c>
      <c r="F6" s="2017" t="s">
        <v>972</v>
      </c>
      <c r="G6" s="2017" t="s">
        <v>871</v>
      </c>
      <c r="H6" s="2017" t="s">
        <v>797</v>
      </c>
      <c r="I6" s="2017" t="s">
        <v>882</v>
      </c>
      <c r="J6" s="2017"/>
      <c r="K6" s="2017"/>
      <c r="L6" s="2017"/>
      <c r="M6" s="2017"/>
      <c r="N6" s="2017"/>
      <c r="O6" s="2017"/>
      <c r="P6" s="2017"/>
      <c r="Q6" s="2017"/>
      <c r="R6" s="2017"/>
      <c r="S6" s="2017"/>
      <c r="T6" s="2017"/>
      <c r="U6" s="2017"/>
      <c r="V6" s="2017"/>
      <c r="W6" s="2017" t="s">
        <v>11</v>
      </c>
      <c r="X6" s="2017" t="s">
        <v>58</v>
      </c>
      <c r="Y6" s="2017"/>
      <c r="Z6" s="2017"/>
      <c r="AA6" s="2017"/>
      <c r="AB6" s="2017"/>
      <c r="AC6" s="2017"/>
      <c r="AD6" s="2017"/>
      <c r="AE6" s="2017"/>
      <c r="AF6" s="2017"/>
      <c r="AG6" s="2017"/>
      <c r="AH6" s="2017"/>
      <c r="AI6" s="2017"/>
      <c r="AJ6" s="2017"/>
      <c r="AK6" s="2017"/>
      <c r="AL6" s="2017" t="s">
        <v>973</v>
      </c>
      <c r="AM6" s="2017" t="s">
        <v>58</v>
      </c>
      <c r="AN6" s="2017"/>
      <c r="AO6" s="2017"/>
      <c r="AP6" s="2017"/>
      <c r="AQ6" s="2017"/>
      <c r="AR6" s="2017"/>
      <c r="AS6" s="2017"/>
      <c r="AT6" s="2017"/>
      <c r="AU6" s="2017"/>
      <c r="AV6" s="2017"/>
      <c r="AW6" s="2017"/>
      <c r="AX6" s="2017"/>
      <c r="AY6" s="2017"/>
      <c r="AZ6" s="2017"/>
      <c r="BA6" s="2017" t="s">
        <v>959</v>
      </c>
      <c r="BB6" s="2017" t="s">
        <v>960</v>
      </c>
      <c r="BC6" s="2017"/>
      <c r="BD6" s="136"/>
      <c r="BE6" s="1274"/>
    </row>
    <row r="7" spans="1:60" ht="73.5" customHeight="1">
      <c r="A7" s="2021"/>
      <c r="B7" s="2021"/>
      <c r="C7" s="2021"/>
      <c r="D7" s="2017"/>
      <c r="E7" s="2017"/>
      <c r="F7" s="2017"/>
      <c r="G7" s="2017"/>
      <c r="H7" s="2017"/>
      <c r="I7" s="1780" t="s">
        <v>59</v>
      </c>
      <c r="J7" s="1780" t="s">
        <v>60</v>
      </c>
      <c r="K7" s="1780" t="s">
        <v>61</v>
      </c>
      <c r="L7" s="1780" t="s">
        <v>62</v>
      </c>
      <c r="M7" s="1780" t="s">
        <v>63</v>
      </c>
      <c r="N7" s="1780" t="s">
        <v>64</v>
      </c>
      <c r="O7" s="1780" t="s">
        <v>65</v>
      </c>
      <c r="P7" s="1780" t="s">
        <v>66</v>
      </c>
      <c r="Q7" s="1780" t="s">
        <v>67</v>
      </c>
      <c r="R7" s="1780" t="s">
        <v>68</v>
      </c>
      <c r="S7" s="1780" t="s">
        <v>69</v>
      </c>
      <c r="T7" s="1780" t="s">
        <v>70</v>
      </c>
      <c r="U7" s="1780" t="s">
        <v>71</v>
      </c>
      <c r="V7" s="1780" t="s">
        <v>72</v>
      </c>
      <c r="W7" s="2017"/>
      <c r="X7" s="1780" t="s">
        <v>937</v>
      </c>
      <c r="Y7" s="1780" t="s">
        <v>60</v>
      </c>
      <c r="Z7" s="1780" t="s">
        <v>61</v>
      </c>
      <c r="AA7" s="1780" t="s">
        <v>62</v>
      </c>
      <c r="AB7" s="1780" t="s">
        <v>63</v>
      </c>
      <c r="AC7" s="1780" t="s">
        <v>64</v>
      </c>
      <c r="AD7" s="1780" t="s">
        <v>65</v>
      </c>
      <c r="AE7" s="1780" t="s">
        <v>66</v>
      </c>
      <c r="AF7" s="1780" t="s">
        <v>67</v>
      </c>
      <c r="AG7" s="1780" t="s">
        <v>68</v>
      </c>
      <c r="AH7" s="1780" t="s">
        <v>69</v>
      </c>
      <c r="AI7" s="1780" t="s">
        <v>70</v>
      </c>
      <c r="AJ7" s="1780" t="s">
        <v>71</v>
      </c>
      <c r="AK7" s="1780" t="s">
        <v>72</v>
      </c>
      <c r="AL7" s="2017"/>
      <c r="AM7" s="1780" t="s">
        <v>937</v>
      </c>
      <c r="AN7" s="1780" t="s">
        <v>974</v>
      </c>
      <c r="AO7" s="1780" t="s">
        <v>975</v>
      </c>
      <c r="AP7" s="1780" t="s">
        <v>976</v>
      </c>
      <c r="AQ7" s="1780" t="s">
        <v>977</v>
      </c>
      <c r="AR7" s="1780" t="s">
        <v>978</v>
      </c>
      <c r="AS7" s="1780" t="s">
        <v>979</v>
      </c>
      <c r="AT7" s="1780" t="s">
        <v>980</v>
      </c>
      <c r="AU7" s="1780" t="s">
        <v>981</v>
      </c>
      <c r="AV7" s="1780" t="s">
        <v>982</v>
      </c>
      <c r="AW7" s="1780" t="s">
        <v>983</v>
      </c>
      <c r="AX7" s="1780" t="s">
        <v>984</v>
      </c>
      <c r="AY7" s="1780" t="s">
        <v>985</v>
      </c>
      <c r="AZ7" s="1780" t="s">
        <v>986</v>
      </c>
      <c r="BA7" s="2017"/>
      <c r="BB7" s="2017"/>
      <c r="BC7" s="2017"/>
      <c r="BD7" s="127"/>
      <c r="BE7" s="127"/>
      <c r="BF7" s="831" t="s">
        <v>824</v>
      </c>
      <c r="BG7" s="1335" t="s">
        <v>923</v>
      </c>
      <c r="BH7" s="1403" t="s">
        <v>924</v>
      </c>
    </row>
    <row r="8" spans="1:60" ht="21.95" customHeight="1">
      <c r="A8" s="1784">
        <v>1</v>
      </c>
      <c r="B8" s="841" t="s">
        <v>318</v>
      </c>
      <c r="C8" s="839"/>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1224"/>
      <c r="AM8" s="1224"/>
      <c r="AN8" s="1224"/>
      <c r="AO8" s="1224"/>
      <c r="AP8" s="1224"/>
      <c r="AQ8" s="1224"/>
      <c r="AR8" s="1224"/>
      <c r="AS8" s="1224"/>
      <c r="AT8" s="1224"/>
      <c r="AU8" s="1224"/>
      <c r="AV8" s="1224"/>
      <c r="AW8" s="1224"/>
      <c r="AX8" s="1224"/>
      <c r="AY8" s="1224"/>
      <c r="AZ8" s="1224"/>
      <c r="BA8" s="1224"/>
      <c r="BB8" s="1224"/>
      <c r="BC8" s="1943"/>
      <c r="BD8" s="136"/>
      <c r="BE8" s="1274"/>
    </row>
    <row r="9" spans="1:60" s="1408" customFormat="1" ht="21.95" customHeight="1">
      <c r="A9" s="1233"/>
      <c r="B9" s="1234" t="s">
        <v>319</v>
      </c>
      <c r="C9" s="861" t="s">
        <v>49</v>
      </c>
      <c r="D9" s="903">
        <v>48858</v>
      </c>
      <c r="E9" s="903" t="e">
        <f>SUM(#REF!)</f>
        <v>#REF!</v>
      </c>
      <c r="F9" s="903">
        <v>49156</v>
      </c>
      <c r="G9" s="903">
        <f>+G11+G12</f>
        <v>49294</v>
      </c>
      <c r="H9" s="903">
        <f>SUM(I9:V9)</f>
        <v>49476</v>
      </c>
      <c r="I9" s="1225">
        <f>I11+I12</f>
        <v>6132</v>
      </c>
      <c r="J9" s="1225">
        <f t="shared" ref="J9:V9" si="0">J11+J12</f>
        <v>3914</v>
      </c>
      <c r="K9" s="1225">
        <f t="shared" si="0"/>
        <v>3115</v>
      </c>
      <c r="L9" s="1225">
        <f t="shared" si="0"/>
        <v>1792</v>
      </c>
      <c r="M9" s="1225">
        <f t="shared" si="0"/>
        <v>4591</v>
      </c>
      <c r="N9" s="1225">
        <f t="shared" si="0"/>
        <v>2281</v>
      </c>
      <c r="O9" s="1225">
        <f t="shared" si="0"/>
        <v>3016</v>
      </c>
      <c r="P9" s="1225">
        <f t="shared" si="0"/>
        <v>3753</v>
      </c>
      <c r="Q9" s="1225">
        <f t="shared" si="0"/>
        <v>3563</v>
      </c>
      <c r="R9" s="1225">
        <f t="shared" si="0"/>
        <v>1912</v>
      </c>
      <c r="S9" s="1225">
        <f t="shared" si="0"/>
        <v>2602</v>
      </c>
      <c r="T9" s="1225">
        <f t="shared" si="0"/>
        <v>2673</v>
      </c>
      <c r="U9" s="1225">
        <f t="shared" si="0"/>
        <v>2629</v>
      </c>
      <c r="V9" s="1225">
        <f t="shared" si="0"/>
        <v>7503</v>
      </c>
      <c r="W9" s="903">
        <f>SUM(X9:AK9)</f>
        <v>50090</v>
      </c>
      <c r="X9" s="1225">
        <v>6209</v>
      </c>
      <c r="Y9" s="1225">
        <v>3963</v>
      </c>
      <c r="Z9" s="1225">
        <v>3154</v>
      </c>
      <c r="AA9" s="1225">
        <v>1814</v>
      </c>
      <c r="AB9" s="1225">
        <v>4649</v>
      </c>
      <c r="AC9" s="1225">
        <v>2308</v>
      </c>
      <c r="AD9" s="1225">
        <v>3053</v>
      </c>
      <c r="AE9" s="1225">
        <v>3800</v>
      </c>
      <c r="AF9" s="1225">
        <v>3607</v>
      </c>
      <c r="AG9" s="1225">
        <v>1935</v>
      </c>
      <c r="AH9" s="1225">
        <v>2634</v>
      </c>
      <c r="AI9" s="1225">
        <v>2705</v>
      </c>
      <c r="AJ9" s="1225">
        <v>2661</v>
      </c>
      <c r="AK9" s="1225">
        <v>7598</v>
      </c>
      <c r="AL9" s="903">
        <f>SUM(AM9:AZ9)</f>
        <v>49773</v>
      </c>
      <c r="AM9" s="1225">
        <f>AM11</f>
        <v>6103</v>
      </c>
      <c r="AN9" s="1225">
        <f>AN12</f>
        <v>3947</v>
      </c>
      <c r="AO9" s="1225">
        <f t="shared" ref="AO9:AZ9" si="1">AO12</f>
        <v>3138</v>
      </c>
      <c r="AP9" s="1225">
        <f t="shared" si="1"/>
        <v>1786</v>
      </c>
      <c r="AQ9" s="1225">
        <f t="shared" si="1"/>
        <v>4633</v>
      </c>
      <c r="AR9" s="1225">
        <f t="shared" si="1"/>
        <v>2292</v>
      </c>
      <c r="AS9" s="1225">
        <f t="shared" si="1"/>
        <v>3037</v>
      </c>
      <c r="AT9" s="1225">
        <f t="shared" si="1"/>
        <v>3796</v>
      </c>
      <c r="AU9" s="1225">
        <f t="shared" si="1"/>
        <v>3591</v>
      </c>
      <c r="AV9" s="1225">
        <f t="shared" si="1"/>
        <v>1919</v>
      </c>
      <c r="AW9" s="1225">
        <f t="shared" si="1"/>
        <v>2618</v>
      </c>
      <c r="AX9" s="1225">
        <f t="shared" si="1"/>
        <v>2689</v>
      </c>
      <c r="AY9" s="1225">
        <f t="shared" si="1"/>
        <v>2645</v>
      </c>
      <c r="AZ9" s="1225">
        <f t="shared" si="1"/>
        <v>7579</v>
      </c>
      <c r="BA9" s="1010">
        <f>AL9/F9%</f>
        <v>101.25518756611604</v>
      </c>
      <c r="BB9" s="1010">
        <f>AL9/W9%</f>
        <v>99.367139149530843</v>
      </c>
      <c r="BC9" s="1944"/>
      <c r="BD9" s="552"/>
      <c r="BE9" s="552"/>
      <c r="BF9" s="719">
        <v>49476</v>
      </c>
      <c r="BG9" s="1407">
        <v>50090</v>
      </c>
      <c r="BH9" s="1407">
        <f>W9-BG9</f>
        <v>0</v>
      </c>
    </row>
    <row r="10" spans="1:60" s="1408" customFormat="1" ht="21.95" customHeight="1">
      <c r="A10" s="1233"/>
      <c r="B10" s="1235" t="s">
        <v>320</v>
      </c>
      <c r="C10" s="861" t="s">
        <v>49</v>
      </c>
      <c r="D10" s="903"/>
      <c r="E10" s="903"/>
      <c r="F10" s="903"/>
      <c r="G10" s="903"/>
      <c r="H10" s="903"/>
      <c r="I10" s="1226"/>
      <c r="J10" s="1226"/>
      <c r="K10" s="1226"/>
      <c r="L10" s="1226"/>
      <c r="M10" s="1226"/>
      <c r="N10" s="1226"/>
      <c r="O10" s="1226"/>
      <c r="P10" s="1226"/>
      <c r="Q10" s="1226"/>
      <c r="R10" s="1226"/>
      <c r="S10" s="1226"/>
      <c r="T10" s="1226"/>
      <c r="U10" s="1226"/>
      <c r="V10" s="1226"/>
      <c r="W10" s="903"/>
      <c r="X10" s="1226"/>
      <c r="Y10" s="1226"/>
      <c r="Z10" s="1226"/>
      <c r="AA10" s="1226"/>
      <c r="AB10" s="1226"/>
      <c r="AC10" s="1226"/>
      <c r="AD10" s="1226"/>
      <c r="AE10" s="1226"/>
      <c r="AF10" s="1226"/>
      <c r="AG10" s="1226"/>
      <c r="AH10" s="1226"/>
      <c r="AI10" s="1226"/>
      <c r="AJ10" s="1226"/>
      <c r="AK10" s="1226"/>
      <c r="AL10" s="903"/>
      <c r="AM10" s="1226"/>
      <c r="AN10" s="1226"/>
      <c r="AO10" s="1226"/>
      <c r="AP10" s="1226"/>
      <c r="AQ10" s="1226"/>
      <c r="AR10" s="1226"/>
      <c r="AS10" s="1226"/>
      <c r="AT10" s="1226"/>
      <c r="AU10" s="1226"/>
      <c r="AV10" s="1226"/>
      <c r="AW10" s="1226"/>
      <c r="AX10" s="1226"/>
      <c r="AY10" s="1226"/>
      <c r="AZ10" s="1226"/>
      <c r="BA10" s="1010"/>
      <c r="BB10" s="1010"/>
      <c r="BC10" s="1944"/>
      <c r="BD10" s="552"/>
      <c r="BE10" s="552"/>
      <c r="BF10" s="719"/>
      <c r="BG10" s="1407"/>
      <c r="BH10" s="1407"/>
    </row>
    <row r="11" spans="1:60" s="1408" customFormat="1" ht="21.95" customHeight="1">
      <c r="A11" s="1233"/>
      <c r="B11" s="1235" t="s">
        <v>562</v>
      </c>
      <c r="C11" s="861" t="s">
        <v>49</v>
      </c>
      <c r="D11" s="903">
        <v>6020</v>
      </c>
      <c r="E11" s="903" t="e">
        <f>SUM(#REF!)</f>
        <v>#REF!</v>
      </c>
      <c r="F11" s="903">
        <v>6038</v>
      </c>
      <c r="G11" s="903">
        <v>6045</v>
      </c>
      <c r="H11" s="903">
        <f t="shared" ref="H11:H12" si="2">SUM(I11:V11)</f>
        <v>6132</v>
      </c>
      <c r="I11" s="1227">
        <v>6132</v>
      </c>
      <c r="J11" s="1227"/>
      <c r="K11" s="1227"/>
      <c r="L11" s="1227"/>
      <c r="M11" s="1227"/>
      <c r="N11" s="1227"/>
      <c r="O11" s="1227"/>
      <c r="P11" s="1227"/>
      <c r="Q11" s="1227"/>
      <c r="R11" s="1227"/>
      <c r="S11" s="1227"/>
      <c r="T11" s="1227"/>
      <c r="U11" s="1227"/>
      <c r="V11" s="1227"/>
      <c r="W11" s="903">
        <f t="shared" ref="W11" si="3">SUM(X11:AK11)</f>
        <v>6209</v>
      </c>
      <c r="X11" s="1227">
        <v>6209</v>
      </c>
      <c r="Y11" s="1227"/>
      <c r="Z11" s="1227"/>
      <c r="AA11" s="1227"/>
      <c r="AB11" s="1227"/>
      <c r="AC11" s="1227"/>
      <c r="AD11" s="1227"/>
      <c r="AE11" s="1227"/>
      <c r="AF11" s="1227"/>
      <c r="AG11" s="1227"/>
      <c r="AH11" s="1227"/>
      <c r="AI11" s="1227"/>
      <c r="AJ11" s="1227"/>
      <c r="AK11" s="1227"/>
      <c r="AL11" s="903">
        <f>SUM(AM11:AZ11)</f>
        <v>6103</v>
      </c>
      <c r="AM11" s="1681">
        <v>6103</v>
      </c>
      <c r="AN11" s="1227"/>
      <c r="AO11" s="1227"/>
      <c r="AP11" s="1227"/>
      <c r="AQ11" s="1227"/>
      <c r="AR11" s="1227"/>
      <c r="AS11" s="1227"/>
      <c r="AT11" s="1227"/>
      <c r="AU11" s="1227"/>
      <c r="AV11" s="1227"/>
      <c r="AW11" s="1227"/>
      <c r="AX11" s="1227"/>
      <c r="AY11" s="1227"/>
      <c r="AZ11" s="1227"/>
      <c r="BA11" s="1010">
        <f t="shared" ref="BA11:BA21" si="4">AL11/F11%</f>
        <v>101.07651540245114</v>
      </c>
      <c r="BB11" s="1010">
        <f t="shared" ref="BB11:BB21" si="5">AL11/W11%</f>
        <v>98.292800773071349</v>
      </c>
      <c r="BC11" s="1944"/>
      <c r="BD11" s="552"/>
      <c r="BE11" s="552"/>
      <c r="BF11" s="719">
        <v>6132</v>
      </c>
      <c r="BG11" s="1407">
        <v>6209</v>
      </c>
      <c r="BH11" s="1407">
        <f t="shared" ref="BH11:BH18" si="6">W11-BG11</f>
        <v>0</v>
      </c>
    </row>
    <row r="12" spans="1:60" s="1408" customFormat="1" ht="21.95" customHeight="1">
      <c r="A12" s="1233"/>
      <c r="B12" s="1235" t="s">
        <v>563</v>
      </c>
      <c r="C12" s="861" t="s">
        <v>49</v>
      </c>
      <c r="D12" s="903">
        <v>42838</v>
      </c>
      <c r="E12" s="903" t="e">
        <f>SUM(#REF!)</f>
        <v>#REF!</v>
      </c>
      <c r="F12" s="903">
        <v>43118</v>
      </c>
      <c r="G12" s="903">
        <v>43249</v>
      </c>
      <c r="H12" s="903">
        <f t="shared" si="2"/>
        <v>43344</v>
      </c>
      <c r="I12" s="1225"/>
      <c r="J12" s="1225">
        <v>3914</v>
      </c>
      <c r="K12" s="1225">
        <v>3115</v>
      </c>
      <c r="L12" s="1225">
        <v>1792</v>
      </c>
      <c r="M12" s="1225">
        <v>4591</v>
      </c>
      <c r="N12" s="1225">
        <v>2281</v>
      </c>
      <c r="O12" s="1225">
        <v>3016</v>
      </c>
      <c r="P12" s="1225">
        <v>3753</v>
      </c>
      <c r="Q12" s="1225">
        <v>3563</v>
      </c>
      <c r="R12" s="1225">
        <v>1912</v>
      </c>
      <c r="S12" s="1225">
        <v>2602</v>
      </c>
      <c r="T12" s="1225">
        <v>2673</v>
      </c>
      <c r="U12" s="1225">
        <v>2629</v>
      </c>
      <c r="V12" s="1225">
        <v>7503</v>
      </c>
      <c r="W12" s="903">
        <f>SUM(X12:AK12)</f>
        <v>43881</v>
      </c>
      <c r="X12" s="1225"/>
      <c r="Y12" s="1225">
        <v>3963</v>
      </c>
      <c r="Z12" s="1225">
        <v>3154</v>
      </c>
      <c r="AA12" s="1225">
        <v>1814</v>
      </c>
      <c r="AB12" s="1225">
        <v>4649</v>
      </c>
      <c r="AC12" s="1225">
        <v>2308</v>
      </c>
      <c r="AD12" s="1225">
        <v>3053</v>
      </c>
      <c r="AE12" s="1225">
        <v>3800</v>
      </c>
      <c r="AF12" s="1225">
        <v>3607</v>
      </c>
      <c r="AG12" s="1225">
        <v>1935</v>
      </c>
      <c r="AH12" s="1225">
        <v>2634</v>
      </c>
      <c r="AI12" s="1225">
        <v>2705</v>
      </c>
      <c r="AJ12" s="1225">
        <v>2661</v>
      </c>
      <c r="AK12" s="1225">
        <v>7598</v>
      </c>
      <c r="AL12" s="903">
        <f>SUM(AM12:AZ12)</f>
        <v>43670</v>
      </c>
      <c r="AM12" s="1225"/>
      <c r="AN12" s="1225">
        <v>3947</v>
      </c>
      <c r="AO12" s="1225">
        <v>3138</v>
      </c>
      <c r="AP12" s="1225">
        <v>1786</v>
      </c>
      <c r="AQ12" s="1225">
        <v>4633</v>
      </c>
      <c r="AR12" s="1225">
        <v>2292</v>
      </c>
      <c r="AS12" s="1225">
        <v>3037</v>
      </c>
      <c r="AT12" s="1225">
        <v>3796</v>
      </c>
      <c r="AU12" s="1225">
        <v>3591</v>
      </c>
      <c r="AV12" s="1225">
        <v>1919</v>
      </c>
      <c r="AW12" s="1225">
        <v>2618</v>
      </c>
      <c r="AX12" s="1225">
        <v>2689</v>
      </c>
      <c r="AY12" s="1225">
        <v>2645</v>
      </c>
      <c r="AZ12" s="1225">
        <v>7579</v>
      </c>
      <c r="BA12" s="1010">
        <f t="shared" si="4"/>
        <v>101.28020780184609</v>
      </c>
      <c r="BB12" s="1010">
        <f t="shared" si="5"/>
        <v>99.519154075795896</v>
      </c>
      <c r="BC12" s="1944"/>
      <c r="BD12" s="552"/>
      <c r="BE12" s="1409"/>
      <c r="BF12" s="719">
        <v>43344</v>
      </c>
      <c r="BG12" s="1407">
        <v>43881</v>
      </c>
      <c r="BH12" s="1407">
        <f t="shared" si="6"/>
        <v>0</v>
      </c>
    </row>
    <row r="13" spans="1:60" s="1412" customFormat="1" ht="21.95" customHeight="1">
      <c r="A13" s="1236"/>
      <c r="B13" s="1237" t="s">
        <v>321</v>
      </c>
      <c r="C13" s="1238" t="s">
        <v>49</v>
      </c>
      <c r="D13" s="1125">
        <v>44903</v>
      </c>
      <c r="E13" s="1125" t="e">
        <f>SUM(#REF!)</f>
        <v>#REF!</v>
      </c>
      <c r="F13" s="1125">
        <v>45182</v>
      </c>
      <c r="G13" s="1125">
        <v>45311</v>
      </c>
      <c r="H13" s="1125">
        <v>45881</v>
      </c>
      <c r="I13" s="1228">
        <v>3645</v>
      </c>
      <c r="J13" s="1228">
        <v>3742</v>
      </c>
      <c r="K13" s="1228">
        <v>3036</v>
      </c>
      <c r="L13" s="1228">
        <v>1748</v>
      </c>
      <c r="M13" s="1228">
        <v>4363</v>
      </c>
      <c r="N13" s="1228">
        <v>2190</v>
      </c>
      <c r="O13" s="1228">
        <v>2958</v>
      </c>
      <c r="P13" s="1228">
        <v>3699</v>
      </c>
      <c r="Q13" s="1228">
        <v>3531</v>
      </c>
      <c r="R13" s="1228">
        <v>1863</v>
      </c>
      <c r="S13" s="1228">
        <v>2511</v>
      </c>
      <c r="T13" s="1228">
        <v>2611</v>
      </c>
      <c r="U13" s="1228">
        <v>2604</v>
      </c>
      <c r="V13" s="1228">
        <v>7380</v>
      </c>
      <c r="W13" s="1125">
        <f>SUM(X13:AK13)</f>
        <v>46422</v>
      </c>
      <c r="X13" s="1228">
        <v>3675</v>
      </c>
      <c r="Y13" s="1228">
        <v>3789</v>
      </c>
      <c r="Z13" s="1228">
        <v>3058</v>
      </c>
      <c r="AA13" s="1228">
        <v>1766</v>
      </c>
      <c r="AB13" s="1228">
        <v>4496</v>
      </c>
      <c r="AC13" s="1228">
        <v>2219</v>
      </c>
      <c r="AD13" s="1228">
        <v>2979</v>
      </c>
      <c r="AE13" s="1228">
        <v>3719</v>
      </c>
      <c r="AF13" s="1228">
        <v>3553</v>
      </c>
      <c r="AG13" s="1228">
        <v>1889</v>
      </c>
      <c r="AH13" s="1228">
        <v>2597</v>
      </c>
      <c r="AI13" s="1228">
        <v>2638</v>
      </c>
      <c r="AJ13" s="1228">
        <v>2628</v>
      </c>
      <c r="AK13" s="1228">
        <v>7416</v>
      </c>
      <c r="AL13" s="1682">
        <v>46163</v>
      </c>
      <c r="AM13" s="1227">
        <v>3973</v>
      </c>
      <c r="AN13" s="1227">
        <v>3747</v>
      </c>
      <c r="AO13" s="1227">
        <v>3038</v>
      </c>
      <c r="AP13" s="1227">
        <v>1686</v>
      </c>
      <c r="AQ13" s="1227">
        <v>4433</v>
      </c>
      <c r="AR13" s="1227">
        <v>2192</v>
      </c>
      <c r="AS13" s="1227">
        <v>2937</v>
      </c>
      <c r="AT13" s="1227">
        <v>3696</v>
      </c>
      <c r="AU13" s="1227">
        <v>3491</v>
      </c>
      <c r="AV13" s="1227">
        <v>1819</v>
      </c>
      <c r="AW13" s="1227">
        <v>2518</v>
      </c>
      <c r="AX13" s="1227">
        <v>2589</v>
      </c>
      <c r="AY13" s="1227">
        <v>2565</v>
      </c>
      <c r="AZ13" s="1227">
        <v>7479</v>
      </c>
      <c r="BA13" s="1010">
        <f t="shared" si="4"/>
        <v>102.17121862688681</v>
      </c>
      <c r="BB13" s="1010">
        <f t="shared" si="5"/>
        <v>99.442074878290455</v>
      </c>
      <c r="BC13" s="1945"/>
      <c r="BD13" s="1410"/>
      <c r="BE13" s="1410"/>
      <c r="BF13" s="709">
        <v>45881</v>
      </c>
      <c r="BG13" s="1411">
        <v>46422</v>
      </c>
      <c r="BH13" s="1411">
        <f t="shared" si="6"/>
        <v>0</v>
      </c>
    </row>
    <row r="14" spans="1:60" s="1351" customFormat="1" ht="21.95" customHeight="1">
      <c r="A14" s="1233"/>
      <c r="B14" s="1234" t="s">
        <v>322</v>
      </c>
      <c r="C14" s="861" t="s">
        <v>26</v>
      </c>
      <c r="D14" s="905">
        <v>1.26</v>
      </c>
      <c r="E14" s="905">
        <v>1.26</v>
      </c>
      <c r="F14" s="905">
        <v>0.61</v>
      </c>
      <c r="G14" s="905">
        <v>0.89</v>
      </c>
      <c r="H14" s="904">
        <f>AVERAGE(I14:V14)</f>
        <v>1.2650000000000001</v>
      </c>
      <c r="I14" s="1230">
        <v>1.3</v>
      </c>
      <c r="J14" s="1230">
        <v>1.27</v>
      </c>
      <c r="K14" s="1230">
        <v>1.27</v>
      </c>
      <c r="L14" s="1230">
        <v>1.24</v>
      </c>
      <c r="M14" s="1230">
        <v>1.28</v>
      </c>
      <c r="N14" s="1230">
        <v>1.25</v>
      </c>
      <c r="O14" s="1230">
        <v>1.26</v>
      </c>
      <c r="P14" s="1230">
        <v>1.26</v>
      </c>
      <c r="Q14" s="1230">
        <v>1.26</v>
      </c>
      <c r="R14" s="1230">
        <v>1.24</v>
      </c>
      <c r="S14" s="1230">
        <v>1.26</v>
      </c>
      <c r="T14" s="1230">
        <v>1.26</v>
      </c>
      <c r="U14" s="1230">
        <v>1.26</v>
      </c>
      <c r="V14" s="1230">
        <v>1.3</v>
      </c>
      <c r="W14" s="904">
        <f>AVERAGE(X14:AK14)</f>
        <v>1.24</v>
      </c>
      <c r="X14" s="1230">
        <v>1.26</v>
      </c>
      <c r="Y14" s="1230">
        <v>1.26</v>
      </c>
      <c r="Z14" s="1230">
        <v>1.26</v>
      </c>
      <c r="AA14" s="1230">
        <v>1.25</v>
      </c>
      <c r="AB14" s="1230">
        <v>1.21</v>
      </c>
      <c r="AC14" s="1230">
        <v>1.27</v>
      </c>
      <c r="AD14" s="1230">
        <v>1.21</v>
      </c>
      <c r="AE14" s="1230">
        <v>1.24</v>
      </c>
      <c r="AF14" s="1230">
        <v>1.25</v>
      </c>
      <c r="AG14" s="1230">
        <v>1.24</v>
      </c>
      <c r="AH14" s="1230">
        <v>1.21</v>
      </c>
      <c r="AI14" s="1230">
        <v>1.24</v>
      </c>
      <c r="AJ14" s="1230">
        <v>1.23</v>
      </c>
      <c r="AK14" s="1230">
        <v>1.23</v>
      </c>
      <c r="AL14" s="1683">
        <v>0.6</v>
      </c>
      <c r="AM14" s="1684">
        <v>0.5</v>
      </c>
      <c r="AN14" s="1684">
        <v>0.5</v>
      </c>
      <c r="AO14" s="1684">
        <v>0.5</v>
      </c>
      <c r="AP14" s="1684">
        <v>0.6</v>
      </c>
      <c r="AQ14" s="1684">
        <v>0.6</v>
      </c>
      <c r="AR14" s="1684">
        <v>0.6</v>
      </c>
      <c r="AS14" s="1684">
        <v>0.6</v>
      </c>
      <c r="AT14" s="1684">
        <v>0.7</v>
      </c>
      <c r="AU14" s="1684">
        <v>0.7</v>
      </c>
      <c r="AV14" s="1684">
        <v>0.6</v>
      </c>
      <c r="AW14" s="1684">
        <v>0.6</v>
      </c>
      <c r="AX14" s="1684">
        <v>0.6</v>
      </c>
      <c r="AY14" s="1684">
        <v>0.6</v>
      </c>
      <c r="AZ14" s="1684">
        <v>0.7</v>
      </c>
      <c r="BA14" s="1010">
        <f t="shared" si="4"/>
        <v>98.360655737704917</v>
      </c>
      <c r="BB14" s="1010">
        <f t="shared" si="5"/>
        <v>48.387096774193552</v>
      </c>
      <c r="BC14" s="1946"/>
      <c r="BD14" s="1413"/>
      <c r="BE14" s="1414"/>
      <c r="BF14" s="710">
        <v>1.26</v>
      </c>
      <c r="BG14" s="1415">
        <v>1.24</v>
      </c>
      <c r="BH14" s="1407">
        <f t="shared" si="6"/>
        <v>0</v>
      </c>
    </row>
    <row r="15" spans="1:60" s="1351" customFormat="1" ht="21.95" customHeight="1">
      <c r="A15" s="1233"/>
      <c r="B15" s="889" t="s">
        <v>767</v>
      </c>
      <c r="C15" s="861" t="s">
        <v>943</v>
      </c>
      <c r="D15" s="891">
        <v>0.70357142857142851</v>
      </c>
      <c r="E15" s="891" t="e">
        <f>SUM(#REF!)/14</f>
        <v>#REF!</v>
      </c>
      <c r="F15" s="891">
        <v>0.62</v>
      </c>
      <c r="G15" s="891">
        <v>0.63</v>
      </c>
      <c r="H15" s="904">
        <f>AVERAGE(I15:V15)</f>
        <v>0.63</v>
      </c>
      <c r="I15" s="1231">
        <v>0.65</v>
      </c>
      <c r="J15" s="1231">
        <v>0.64</v>
      </c>
      <c r="K15" s="1231">
        <v>0.63</v>
      </c>
      <c r="L15" s="1231">
        <v>0.62</v>
      </c>
      <c r="M15" s="1231">
        <v>0.64</v>
      </c>
      <c r="N15" s="1231">
        <v>0.62</v>
      </c>
      <c r="O15" s="1231">
        <v>0.62</v>
      </c>
      <c r="P15" s="1231">
        <v>0.62</v>
      </c>
      <c r="Q15" s="1231">
        <v>0.62</v>
      </c>
      <c r="R15" s="1231">
        <v>0.61</v>
      </c>
      <c r="S15" s="1231">
        <v>0.64</v>
      </c>
      <c r="T15" s="1231">
        <v>0.64</v>
      </c>
      <c r="U15" s="1231">
        <v>0.64</v>
      </c>
      <c r="V15" s="1231">
        <v>0.63</v>
      </c>
      <c r="W15" s="904">
        <v>0.4</v>
      </c>
      <c r="X15" s="905">
        <v>0.42</v>
      </c>
      <c r="Y15" s="905">
        <v>0.42</v>
      </c>
      <c r="Z15" s="905">
        <v>0.4</v>
      </c>
      <c r="AA15" s="905">
        <v>0.36</v>
      </c>
      <c r="AB15" s="905">
        <v>0.42</v>
      </c>
      <c r="AC15" s="905">
        <v>0.38</v>
      </c>
      <c r="AD15" s="905">
        <v>0.4</v>
      </c>
      <c r="AE15" s="905">
        <v>0.4</v>
      </c>
      <c r="AF15" s="905">
        <v>0.4</v>
      </c>
      <c r="AG15" s="905">
        <v>0.3</v>
      </c>
      <c r="AH15" s="905">
        <v>0.42</v>
      </c>
      <c r="AI15" s="905">
        <v>0.42</v>
      </c>
      <c r="AJ15" s="905">
        <v>0.42</v>
      </c>
      <c r="AK15" s="905">
        <v>0.4</v>
      </c>
      <c r="AL15" s="904"/>
      <c r="AM15" s="905"/>
      <c r="AN15" s="905"/>
      <c r="AO15" s="905"/>
      <c r="AP15" s="905"/>
      <c r="AQ15" s="905"/>
      <c r="AR15" s="905"/>
      <c r="AS15" s="905"/>
      <c r="AT15" s="905"/>
      <c r="AU15" s="905"/>
      <c r="AV15" s="905"/>
      <c r="AW15" s="905"/>
      <c r="AX15" s="905"/>
      <c r="AY15" s="905"/>
      <c r="AZ15" s="905"/>
      <c r="BA15" s="1010">
        <f t="shared" si="4"/>
        <v>0</v>
      </c>
      <c r="BB15" s="1010">
        <f t="shared" si="5"/>
        <v>0</v>
      </c>
      <c r="BC15" s="1946"/>
      <c r="BD15" s="1413"/>
      <c r="BE15" s="1414"/>
      <c r="BF15" s="1416">
        <v>0.6</v>
      </c>
      <c r="BG15" s="1415">
        <v>0.4</v>
      </c>
      <c r="BH15" s="1407">
        <f t="shared" si="6"/>
        <v>0</v>
      </c>
    </row>
    <row r="16" spans="1:60" s="1351" customFormat="1" ht="21.95" customHeight="1">
      <c r="A16" s="1233"/>
      <c r="B16" s="889" t="s">
        <v>46</v>
      </c>
      <c r="C16" s="861" t="s">
        <v>47</v>
      </c>
      <c r="D16" s="906">
        <v>12.150000000000002</v>
      </c>
      <c r="E16" s="905" t="e">
        <f>SUM(#REF!)/14</f>
        <v>#REF!</v>
      </c>
      <c r="F16" s="905">
        <v>5.92</v>
      </c>
      <c r="G16" s="905">
        <v>9.19</v>
      </c>
      <c r="H16" s="904">
        <f>AVERAGE(I16:V16)</f>
        <v>12.135</v>
      </c>
      <c r="I16" s="1232">
        <v>12.66</v>
      </c>
      <c r="J16" s="1232">
        <v>12.25</v>
      </c>
      <c r="K16" s="1232">
        <v>12</v>
      </c>
      <c r="L16" s="1232">
        <v>11.8</v>
      </c>
      <c r="M16" s="1232">
        <v>12.4</v>
      </c>
      <c r="N16" s="1232">
        <v>11.8</v>
      </c>
      <c r="O16" s="1232">
        <v>12.25</v>
      </c>
      <c r="P16" s="1232">
        <v>11.9</v>
      </c>
      <c r="Q16" s="1232">
        <v>11.9</v>
      </c>
      <c r="R16" s="1232">
        <v>12.24</v>
      </c>
      <c r="S16" s="1232">
        <v>12.26</v>
      </c>
      <c r="T16" s="1232">
        <v>12</v>
      </c>
      <c r="U16" s="1232">
        <v>12.23</v>
      </c>
      <c r="V16" s="1232">
        <v>12.2</v>
      </c>
      <c r="W16" s="904">
        <f>AVERAGE(X16:AK16)</f>
        <v>12</v>
      </c>
      <c r="X16" s="905">
        <v>12.2</v>
      </c>
      <c r="Y16" s="905">
        <v>12</v>
      </c>
      <c r="Z16" s="905">
        <v>12</v>
      </c>
      <c r="AA16" s="905">
        <v>11.7</v>
      </c>
      <c r="AB16" s="905">
        <v>12.2</v>
      </c>
      <c r="AC16" s="905">
        <v>11.7</v>
      </c>
      <c r="AD16" s="905">
        <v>12</v>
      </c>
      <c r="AE16" s="905">
        <v>12</v>
      </c>
      <c r="AF16" s="905">
        <v>12</v>
      </c>
      <c r="AG16" s="905">
        <v>11.9</v>
      </c>
      <c r="AH16" s="905">
        <v>12.1</v>
      </c>
      <c r="AI16" s="905">
        <v>12</v>
      </c>
      <c r="AJ16" s="905">
        <v>12</v>
      </c>
      <c r="AK16" s="905">
        <v>12.2</v>
      </c>
      <c r="AL16" s="1683">
        <v>6.01</v>
      </c>
      <c r="AM16" s="1010">
        <v>6</v>
      </c>
      <c r="AN16" s="1010">
        <v>6</v>
      </c>
      <c r="AO16" s="1010">
        <v>6</v>
      </c>
      <c r="AP16" s="904">
        <v>6.01</v>
      </c>
      <c r="AQ16" s="904">
        <v>6.01</v>
      </c>
      <c r="AR16" s="904">
        <v>6.01</v>
      </c>
      <c r="AS16" s="904">
        <v>6.01</v>
      </c>
      <c r="AT16" s="904">
        <v>6.02</v>
      </c>
      <c r="AU16" s="904">
        <v>6.02</v>
      </c>
      <c r="AV16" s="904">
        <v>6.01</v>
      </c>
      <c r="AW16" s="904">
        <v>6.01</v>
      </c>
      <c r="AX16" s="904">
        <v>6.01</v>
      </c>
      <c r="AY16" s="904">
        <v>6.01</v>
      </c>
      <c r="AZ16" s="904">
        <v>6.02</v>
      </c>
      <c r="BA16" s="1010">
        <f t="shared" si="4"/>
        <v>101.52027027027026</v>
      </c>
      <c r="BB16" s="1010">
        <f t="shared" si="5"/>
        <v>50.083333333333336</v>
      </c>
      <c r="BC16" s="1946"/>
      <c r="BD16" s="1417"/>
      <c r="BE16" s="1414"/>
      <c r="BF16" s="710">
        <v>12.14</v>
      </c>
      <c r="BG16" s="1407">
        <v>12</v>
      </c>
      <c r="BH16" s="1407">
        <f t="shared" si="6"/>
        <v>0</v>
      </c>
    </row>
    <row r="17" spans="1:60" s="353" customFormat="1" ht="45" hidden="1">
      <c r="A17" s="1782"/>
      <c r="B17" s="889" t="s">
        <v>323</v>
      </c>
      <c r="C17" s="1782" t="s">
        <v>324</v>
      </c>
      <c r="D17" s="903">
        <v>109</v>
      </c>
      <c r="E17" s="903">
        <v>110</v>
      </c>
      <c r="F17" s="903">
        <v>110</v>
      </c>
      <c r="G17" s="903">
        <v>106</v>
      </c>
      <c r="H17" s="903">
        <v>110</v>
      </c>
      <c r="I17" s="903"/>
      <c r="J17" s="903"/>
      <c r="K17" s="903"/>
      <c r="L17" s="903"/>
      <c r="M17" s="903"/>
      <c r="N17" s="903"/>
      <c r="O17" s="903"/>
      <c r="P17" s="903"/>
      <c r="Q17" s="903"/>
      <c r="R17" s="903"/>
      <c r="S17" s="903"/>
      <c r="T17" s="903"/>
      <c r="U17" s="903"/>
      <c r="V17" s="903"/>
      <c r="W17" s="903"/>
      <c r="X17" s="903"/>
      <c r="Y17" s="903"/>
      <c r="Z17" s="903"/>
      <c r="AA17" s="903"/>
      <c r="AB17" s="903"/>
      <c r="AC17" s="903"/>
      <c r="AD17" s="903"/>
      <c r="AE17" s="903"/>
      <c r="AF17" s="903"/>
      <c r="AG17" s="903"/>
      <c r="AH17" s="903"/>
      <c r="AI17" s="903"/>
      <c r="AJ17" s="903"/>
      <c r="AK17" s="903"/>
      <c r="AL17" s="903"/>
      <c r="AM17" s="903"/>
      <c r="AN17" s="903"/>
      <c r="AO17" s="903"/>
      <c r="AP17" s="903"/>
      <c r="AQ17" s="903"/>
      <c r="AR17" s="903"/>
      <c r="AS17" s="903"/>
      <c r="AT17" s="903"/>
      <c r="AU17" s="903"/>
      <c r="AV17" s="903"/>
      <c r="AW17" s="903"/>
      <c r="AX17" s="903"/>
      <c r="AY17" s="903"/>
      <c r="AZ17" s="903"/>
      <c r="BA17" s="1010">
        <f t="shared" si="4"/>
        <v>0</v>
      </c>
      <c r="BB17" s="1010" t="e">
        <f t="shared" si="5"/>
        <v>#DIV/0!</v>
      </c>
      <c r="BC17" s="1224"/>
      <c r="BD17" s="136"/>
      <c r="BE17" s="552"/>
      <c r="BF17" s="1335">
        <v>0</v>
      </c>
      <c r="BG17" s="1403"/>
      <c r="BH17" s="1407">
        <f t="shared" si="6"/>
        <v>0</v>
      </c>
    </row>
    <row r="18" spans="1:60" s="353" customFormat="1" ht="26.45" hidden="1" customHeight="1">
      <c r="A18" s="1782"/>
      <c r="B18" s="889" t="s">
        <v>325</v>
      </c>
      <c r="C18" s="1782" t="s">
        <v>326</v>
      </c>
      <c r="D18" s="903"/>
      <c r="E18" s="903"/>
      <c r="F18" s="903"/>
      <c r="G18" s="903"/>
      <c r="H18" s="903"/>
      <c r="I18" s="903"/>
      <c r="J18" s="903"/>
      <c r="K18" s="903"/>
      <c r="L18" s="903"/>
      <c r="M18" s="903"/>
      <c r="N18" s="903"/>
      <c r="O18" s="903"/>
      <c r="P18" s="903"/>
      <c r="Q18" s="903"/>
      <c r="R18" s="903"/>
      <c r="S18" s="903"/>
      <c r="T18" s="903"/>
      <c r="U18" s="903"/>
      <c r="V18" s="903"/>
      <c r="W18" s="903"/>
      <c r="X18" s="903"/>
      <c r="Y18" s="903"/>
      <c r="Z18" s="903"/>
      <c r="AA18" s="903"/>
      <c r="AB18" s="903"/>
      <c r="AC18" s="903"/>
      <c r="AD18" s="903"/>
      <c r="AE18" s="903"/>
      <c r="AF18" s="903"/>
      <c r="AG18" s="903"/>
      <c r="AH18" s="903"/>
      <c r="AI18" s="903"/>
      <c r="AJ18" s="903"/>
      <c r="AK18" s="903"/>
      <c r="AL18" s="903"/>
      <c r="AM18" s="903"/>
      <c r="AN18" s="903"/>
      <c r="AO18" s="903"/>
      <c r="AP18" s="903"/>
      <c r="AQ18" s="903"/>
      <c r="AR18" s="903"/>
      <c r="AS18" s="903"/>
      <c r="AT18" s="903"/>
      <c r="AU18" s="903"/>
      <c r="AV18" s="903"/>
      <c r="AW18" s="903"/>
      <c r="AX18" s="903"/>
      <c r="AY18" s="903"/>
      <c r="AZ18" s="903"/>
      <c r="BA18" s="1010" t="e">
        <f t="shared" si="4"/>
        <v>#DIV/0!</v>
      </c>
      <c r="BB18" s="1010" t="e">
        <f t="shared" si="5"/>
        <v>#DIV/0!</v>
      </c>
      <c r="BC18" s="1224"/>
      <c r="BD18" s="136"/>
      <c r="BE18" s="552"/>
      <c r="BF18" s="831"/>
      <c r="BG18" s="1403"/>
      <c r="BH18" s="1407">
        <f t="shared" si="6"/>
        <v>0</v>
      </c>
    </row>
    <row r="19" spans="1:60" ht="21.95" customHeight="1">
      <c r="A19" s="1784">
        <v>2</v>
      </c>
      <c r="B19" s="841" t="s">
        <v>327</v>
      </c>
      <c r="C19" s="1782"/>
      <c r="D19" s="903"/>
      <c r="E19" s="903"/>
      <c r="F19" s="903"/>
      <c r="G19" s="903"/>
      <c r="H19" s="903"/>
      <c r="I19" s="903"/>
      <c r="J19" s="903"/>
      <c r="K19" s="903"/>
      <c r="L19" s="903"/>
      <c r="M19" s="903"/>
      <c r="N19" s="903"/>
      <c r="O19" s="903"/>
      <c r="P19" s="903"/>
      <c r="Q19" s="903"/>
      <c r="R19" s="903"/>
      <c r="S19" s="903"/>
      <c r="T19" s="903"/>
      <c r="U19" s="903"/>
      <c r="V19" s="903"/>
      <c r="W19" s="903"/>
      <c r="X19" s="903"/>
      <c r="Y19" s="903"/>
      <c r="Z19" s="903"/>
      <c r="AA19" s="903"/>
      <c r="AB19" s="903"/>
      <c r="AC19" s="903"/>
      <c r="AD19" s="903"/>
      <c r="AE19" s="903"/>
      <c r="AF19" s="903"/>
      <c r="AG19" s="903"/>
      <c r="AH19" s="903"/>
      <c r="AI19" s="903"/>
      <c r="AJ19" s="903"/>
      <c r="AK19" s="903"/>
      <c r="AL19" s="903"/>
      <c r="AM19" s="903"/>
      <c r="AN19" s="903"/>
      <c r="AO19" s="903"/>
      <c r="AP19" s="903"/>
      <c r="AQ19" s="903"/>
      <c r="AR19" s="903"/>
      <c r="AS19" s="903"/>
      <c r="AT19" s="903"/>
      <c r="AU19" s="903"/>
      <c r="AV19" s="903"/>
      <c r="AW19" s="903"/>
      <c r="AX19" s="903"/>
      <c r="AY19" s="903"/>
      <c r="AZ19" s="903"/>
      <c r="BA19" s="1010"/>
      <c r="BB19" s="1010"/>
      <c r="BC19" s="1947"/>
      <c r="BD19" s="136"/>
      <c r="BE19" s="552"/>
      <c r="BH19" s="1407"/>
    </row>
    <row r="20" spans="1:60" s="1420" customFormat="1" ht="36" customHeight="1">
      <c r="A20" s="1782"/>
      <c r="B20" s="889" t="s">
        <v>328</v>
      </c>
      <c r="C20" s="1782" t="s">
        <v>26</v>
      </c>
      <c r="D20" s="850">
        <v>70</v>
      </c>
      <c r="E20" s="960" t="e">
        <f>SUM(#REF!)/14</f>
        <v>#REF!</v>
      </c>
      <c r="F20" s="850">
        <v>70.52</v>
      </c>
      <c r="G20" s="891">
        <v>70.69</v>
      </c>
      <c r="H20" s="904">
        <f>AVERAGE(I20:V20)</f>
        <v>71</v>
      </c>
      <c r="I20" s="1010">
        <v>74</v>
      </c>
      <c r="J20" s="1010">
        <v>73</v>
      </c>
      <c r="K20" s="1010">
        <v>73</v>
      </c>
      <c r="L20" s="1010">
        <v>70</v>
      </c>
      <c r="M20" s="1010">
        <v>73</v>
      </c>
      <c r="N20" s="1010">
        <v>69.5</v>
      </c>
      <c r="O20" s="1010">
        <v>69</v>
      </c>
      <c r="P20" s="1010">
        <v>68.7</v>
      </c>
      <c r="Q20" s="1010">
        <v>68.8</v>
      </c>
      <c r="R20" s="1010">
        <v>67.8</v>
      </c>
      <c r="S20" s="1010">
        <v>72</v>
      </c>
      <c r="T20" s="1010">
        <v>73</v>
      </c>
      <c r="U20" s="1010">
        <v>72.2</v>
      </c>
      <c r="V20" s="1010">
        <v>70</v>
      </c>
      <c r="W20" s="1010">
        <f>AVERAGE(X20:AK20)</f>
        <v>71.25</v>
      </c>
      <c r="X20" s="1010">
        <v>74</v>
      </c>
      <c r="Y20" s="1010">
        <v>73</v>
      </c>
      <c r="Z20" s="1010">
        <v>73</v>
      </c>
      <c r="AA20" s="1010">
        <v>70</v>
      </c>
      <c r="AB20" s="1010">
        <v>73</v>
      </c>
      <c r="AC20" s="1010">
        <v>69.5</v>
      </c>
      <c r="AD20" s="1010">
        <v>69</v>
      </c>
      <c r="AE20" s="1010">
        <v>69</v>
      </c>
      <c r="AF20" s="1010">
        <v>69</v>
      </c>
      <c r="AG20" s="1010">
        <v>68</v>
      </c>
      <c r="AH20" s="1010">
        <v>73</v>
      </c>
      <c r="AI20" s="1010">
        <v>74</v>
      </c>
      <c r="AJ20" s="1010">
        <v>73</v>
      </c>
      <c r="AK20" s="1010">
        <v>70</v>
      </c>
      <c r="AL20" s="1685">
        <v>71.048000000000002</v>
      </c>
      <c r="AM20" s="1686">
        <v>73.05</v>
      </c>
      <c r="AN20" s="1686">
        <v>72.05</v>
      </c>
      <c r="AO20" s="1686">
        <v>72.05</v>
      </c>
      <c r="AP20" s="1686">
        <v>70</v>
      </c>
      <c r="AQ20" s="1686">
        <v>73</v>
      </c>
      <c r="AR20" s="1686">
        <v>69.5</v>
      </c>
      <c r="AS20" s="1686">
        <v>69</v>
      </c>
      <c r="AT20" s="1686">
        <v>69</v>
      </c>
      <c r="AU20" s="1686">
        <v>69</v>
      </c>
      <c r="AV20" s="1686">
        <v>68</v>
      </c>
      <c r="AW20" s="1686">
        <v>73</v>
      </c>
      <c r="AX20" s="1686">
        <v>74</v>
      </c>
      <c r="AY20" s="1686">
        <v>73</v>
      </c>
      <c r="AZ20" s="1686">
        <v>70</v>
      </c>
      <c r="BA20" s="1010">
        <f t="shared" si="4"/>
        <v>100.74872376630744</v>
      </c>
      <c r="BB20" s="1010">
        <f t="shared" si="5"/>
        <v>99.716491228070169</v>
      </c>
      <c r="BC20" s="1946"/>
      <c r="BD20" s="998"/>
      <c r="BE20" s="1418"/>
      <c r="BF20" s="718">
        <v>71</v>
      </c>
      <c r="BG20" s="1419">
        <v>71.3</v>
      </c>
      <c r="BH20" s="1407">
        <f>W20-BG20</f>
        <v>-4.9999999999997158E-2</v>
      </c>
    </row>
    <row r="21" spans="1:60" s="1420" customFormat="1" ht="53.1" customHeight="1">
      <c r="A21" s="1782"/>
      <c r="B21" s="889" t="s">
        <v>329</v>
      </c>
      <c r="C21" s="1782" t="s">
        <v>26</v>
      </c>
      <c r="D21" s="864">
        <v>19</v>
      </c>
      <c r="E21" s="864">
        <v>18</v>
      </c>
      <c r="F21" s="864">
        <v>28.4</v>
      </c>
      <c r="G21" s="1110">
        <v>28.1</v>
      </c>
      <c r="H21" s="864">
        <f>AVERAGE(I21:V21)</f>
        <v>25.029999999999998</v>
      </c>
      <c r="I21" s="1948">
        <v>32.61</v>
      </c>
      <c r="J21" s="1948">
        <v>24.59</v>
      </c>
      <c r="K21" s="1948">
        <v>19.149999999999999</v>
      </c>
      <c r="L21" s="1948">
        <v>25.93</v>
      </c>
      <c r="M21" s="1948">
        <v>20.97</v>
      </c>
      <c r="N21" s="1948">
        <v>24.39</v>
      </c>
      <c r="O21" s="1948">
        <v>22.22</v>
      </c>
      <c r="P21" s="1948">
        <v>27.54</v>
      </c>
      <c r="Q21" s="1948">
        <v>24.29</v>
      </c>
      <c r="R21" s="1948">
        <v>25</v>
      </c>
      <c r="S21" s="1948">
        <v>17.59</v>
      </c>
      <c r="T21" s="1948">
        <v>21.57</v>
      </c>
      <c r="U21" s="1948">
        <v>28.21</v>
      </c>
      <c r="V21" s="1948">
        <v>36.36</v>
      </c>
      <c r="W21" s="1013">
        <f>AVERAGE(X21:AK21)</f>
        <v>24</v>
      </c>
      <c r="X21" s="1948">
        <v>17.399999999999999</v>
      </c>
      <c r="Y21" s="1948">
        <v>19.7</v>
      </c>
      <c r="Z21" s="1948">
        <v>26.9</v>
      </c>
      <c r="AA21" s="1948">
        <v>28.7</v>
      </c>
      <c r="AB21" s="1948">
        <v>17.399999999999999</v>
      </c>
      <c r="AC21" s="1948">
        <v>21.6</v>
      </c>
      <c r="AD21" s="1948">
        <v>25.8</v>
      </c>
      <c r="AE21" s="1948">
        <v>26.8</v>
      </c>
      <c r="AF21" s="1948">
        <v>28.9</v>
      </c>
      <c r="AG21" s="1948">
        <v>26.8</v>
      </c>
      <c r="AH21" s="1948">
        <v>17.399999999999999</v>
      </c>
      <c r="AI21" s="1948">
        <v>22.4</v>
      </c>
      <c r="AJ21" s="1948">
        <v>21.4</v>
      </c>
      <c r="AK21" s="1948">
        <v>34.799999999999997</v>
      </c>
      <c r="AL21" s="1687">
        <v>27.09</v>
      </c>
      <c r="AM21" s="1686">
        <v>17.399999999999999</v>
      </c>
      <c r="AN21" s="1686">
        <v>19.7</v>
      </c>
      <c r="AO21" s="1686">
        <v>26.9</v>
      </c>
      <c r="AP21" s="1686">
        <v>28.7</v>
      </c>
      <c r="AQ21" s="1686">
        <v>17.399999999999999</v>
      </c>
      <c r="AR21" s="1686">
        <v>21.6</v>
      </c>
      <c r="AS21" s="1686">
        <v>25.8</v>
      </c>
      <c r="AT21" s="1686">
        <v>26.8</v>
      </c>
      <c r="AU21" s="1686">
        <v>28.9</v>
      </c>
      <c r="AV21" s="1686">
        <v>26.8</v>
      </c>
      <c r="AW21" s="1686">
        <v>17.399999999999999</v>
      </c>
      <c r="AX21" s="1686">
        <v>22.4</v>
      </c>
      <c r="AY21" s="1686">
        <v>21.4</v>
      </c>
      <c r="AZ21" s="1686">
        <v>34.799999999999997</v>
      </c>
      <c r="BA21" s="1010">
        <f t="shared" si="4"/>
        <v>95.387323943661983</v>
      </c>
      <c r="BB21" s="1010">
        <f t="shared" si="5"/>
        <v>112.875</v>
      </c>
      <c r="BC21" s="1946"/>
      <c r="BD21" s="998"/>
      <c r="BE21" s="1418"/>
      <c r="BF21" s="718">
        <v>18</v>
      </c>
      <c r="BG21" s="1421">
        <v>24</v>
      </c>
      <c r="BH21" s="1407">
        <f>W21-BG21</f>
        <v>0</v>
      </c>
    </row>
    <row r="22" spans="1:60" s="1425" customFormat="1" hidden="1">
      <c r="A22" s="553">
        <v>3</v>
      </c>
      <c r="B22" s="554" t="s">
        <v>330</v>
      </c>
      <c r="C22" s="555"/>
      <c r="D22" s="820"/>
      <c r="E22" s="820"/>
      <c r="F22" s="820"/>
      <c r="G22" s="820"/>
      <c r="H22" s="820"/>
      <c r="I22" s="820"/>
      <c r="J22" s="820"/>
      <c r="K22" s="820"/>
      <c r="L22" s="820"/>
      <c r="M22" s="820"/>
      <c r="N22" s="820"/>
      <c r="O22" s="820"/>
      <c r="P22" s="820"/>
      <c r="Q22" s="820"/>
      <c r="R22" s="820"/>
      <c r="S22" s="820"/>
      <c r="T22" s="820"/>
      <c r="U22" s="820"/>
      <c r="V22" s="820"/>
      <c r="W22" s="820"/>
      <c r="X22" s="820"/>
      <c r="Y22" s="820"/>
      <c r="Z22" s="820"/>
      <c r="AA22" s="820"/>
      <c r="AB22" s="820"/>
      <c r="AC22" s="820"/>
      <c r="AD22" s="820"/>
      <c r="AE22" s="820"/>
      <c r="AF22" s="820"/>
      <c r="AG22" s="820"/>
      <c r="AH22" s="820"/>
      <c r="AI22" s="820"/>
      <c r="AJ22" s="820"/>
      <c r="AK22" s="820"/>
      <c r="AL22" s="820"/>
      <c r="AM22" s="820"/>
      <c r="AN22" s="820"/>
      <c r="AO22" s="820"/>
      <c r="AP22" s="820"/>
      <c r="AQ22" s="820"/>
      <c r="AR22" s="820"/>
      <c r="AS22" s="820"/>
      <c r="AT22" s="820"/>
      <c r="AU22" s="820"/>
      <c r="AV22" s="820"/>
      <c r="AW22" s="820"/>
      <c r="AX22" s="820"/>
      <c r="AY22" s="820"/>
      <c r="AZ22" s="820"/>
      <c r="BA22" s="556"/>
      <c r="BB22" s="556"/>
      <c r="BC22" s="1422"/>
      <c r="BD22" s="1423"/>
      <c r="BE22" s="1424"/>
      <c r="BF22" s="1426"/>
      <c r="BG22" s="1427"/>
      <c r="BH22" s="1427"/>
    </row>
    <row r="23" spans="1:60" s="1425" customFormat="1" ht="31.5" hidden="1">
      <c r="A23" s="557"/>
      <c r="B23" s="558" t="s">
        <v>331</v>
      </c>
      <c r="C23" s="559" t="s">
        <v>332</v>
      </c>
      <c r="D23" s="821"/>
      <c r="E23" s="821"/>
      <c r="F23" s="821"/>
      <c r="G23" s="821"/>
      <c r="H23" s="821"/>
      <c r="I23" s="821"/>
      <c r="J23" s="821"/>
      <c r="K23" s="821"/>
      <c r="L23" s="821"/>
      <c r="M23" s="821"/>
      <c r="N23" s="821"/>
      <c r="O23" s="821"/>
      <c r="P23" s="821"/>
      <c r="Q23" s="821"/>
      <c r="R23" s="821"/>
      <c r="S23" s="821"/>
      <c r="T23" s="821"/>
      <c r="U23" s="821"/>
      <c r="V23" s="821"/>
      <c r="W23" s="821"/>
      <c r="X23" s="821"/>
      <c r="Y23" s="821"/>
      <c r="Z23" s="821"/>
      <c r="AA23" s="821"/>
      <c r="AB23" s="821"/>
      <c r="AC23" s="821"/>
      <c r="AD23" s="821"/>
      <c r="AE23" s="821"/>
      <c r="AF23" s="821"/>
      <c r="AG23" s="821"/>
      <c r="AH23" s="821"/>
      <c r="AI23" s="821"/>
      <c r="AJ23" s="821"/>
      <c r="AK23" s="821"/>
      <c r="AL23" s="821"/>
      <c r="AM23" s="821"/>
      <c r="AN23" s="821"/>
      <c r="AO23" s="821"/>
      <c r="AP23" s="821"/>
      <c r="AQ23" s="821"/>
      <c r="AR23" s="821"/>
      <c r="AS23" s="821"/>
      <c r="AT23" s="821"/>
      <c r="AU23" s="821"/>
      <c r="AV23" s="821"/>
      <c r="AW23" s="821"/>
      <c r="AX23" s="821"/>
      <c r="AY23" s="821"/>
      <c r="AZ23" s="821"/>
      <c r="BA23" s="561"/>
      <c r="BB23" s="561"/>
      <c r="BC23" s="1428"/>
      <c r="BD23" s="1423"/>
      <c r="BE23" s="1424"/>
      <c r="BF23" s="1426"/>
      <c r="BG23" s="1427"/>
      <c r="BH23" s="1427"/>
    </row>
    <row r="24" spans="1:60" s="1425" customFormat="1" hidden="1">
      <c r="A24" s="562"/>
      <c r="B24" s="563" t="s">
        <v>333</v>
      </c>
      <c r="C24" s="564" t="s">
        <v>332</v>
      </c>
      <c r="D24" s="822">
        <v>69.999999999999986</v>
      </c>
      <c r="E24" s="822"/>
      <c r="F24" s="822"/>
      <c r="G24" s="822"/>
      <c r="H24" s="822"/>
      <c r="I24" s="822"/>
      <c r="J24" s="822"/>
      <c r="K24" s="822"/>
      <c r="L24" s="822"/>
      <c r="M24" s="822"/>
      <c r="N24" s="822"/>
      <c r="O24" s="822"/>
      <c r="P24" s="822"/>
      <c r="Q24" s="822"/>
      <c r="R24" s="822"/>
      <c r="S24" s="822"/>
      <c r="T24" s="822"/>
      <c r="U24" s="822"/>
      <c r="V24" s="822"/>
      <c r="W24" s="822"/>
      <c r="X24" s="822"/>
      <c r="Y24" s="822"/>
      <c r="Z24" s="822"/>
      <c r="AA24" s="822"/>
      <c r="AB24" s="822"/>
      <c r="AC24" s="822"/>
      <c r="AD24" s="822"/>
      <c r="AE24" s="822"/>
      <c r="AF24" s="822"/>
      <c r="AG24" s="822"/>
      <c r="AH24" s="822"/>
      <c r="AI24" s="822"/>
      <c r="AJ24" s="822"/>
      <c r="AK24" s="822"/>
      <c r="AL24" s="822"/>
      <c r="AM24" s="822"/>
      <c r="AN24" s="822"/>
      <c r="AO24" s="822"/>
      <c r="AP24" s="822"/>
      <c r="AQ24" s="822"/>
      <c r="AR24" s="822"/>
      <c r="AS24" s="822"/>
      <c r="AT24" s="822"/>
      <c r="AU24" s="822"/>
      <c r="AV24" s="822"/>
      <c r="AW24" s="822"/>
      <c r="AX24" s="822"/>
      <c r="AY24" s="822"/>
      <c r="AZ24" s="822"/>
      <c r="BA24" s="560"/>
      <c r="BB24" s="560"/>
      <c r="BC24" s="1428"/>
      <c r="BD24" s="1423"/>
      <c r="BE24" s="1424"/>
      <c r="BF24" s="1426"/>
      <c r="BG24" s="1427"/>
      <c r="BH24" s="1427"/>
    </row>
    <row r="25" spans="1:60" s="1432" customFormat="1" hidden="1">
      <c r="A25" s="557"/>
      <c r="B25" s="558" t="s">
        <v>334</v>
      </c>
      <c r="C25" s="559" t="s">
        <v>332</v>
      </c>
      <c r="D25" s="823">
        <v>19</v>
      </c>
      <c r="E25" s="823"/>
      <c r="F25" s="823"/>
      <c r="G25" s="823"/>
      <c r="H25" s="823"/>
      <c r="I25" s="823"/>
      <c r="J25" s="823"/>
      <c r="K25" s="823"/>
      <c r="L25" s="823"/>
      <c r="M25" s="823"/>
      <c r="N25" s="823"/>
      <c r="O25" s="823"/>
      <c r="P25" s="823"/>
      <c r="Q25" s="823"/>
      <c r="R25" s="823"/>
      <c r="S25" s="823"/>
      <c r="T25" s="823"/>
      <c r="U25" s="823"/>
      <c r="V25" s="823"/>
      <c r="W25" s="823"/>
      <c r="X25" s="823"/>
      <c r="Y25" s="823"/>
      <c r="Z25" s="823"/>
      <c r="AA25" s="823"/>
      <c r="AB25" s="823"/>
      <c r="AC25" s="823"/>
      <c r="AD25" s="823"/>
      <c r="AE25" s="823"/>
      <c r="AF25" s="823"/>
      <c r="AG25" s="823"/>
      <c r="AH25" s="823"/>
      <c r="AI25" s="823"/>
      <c r="AJ25" s="823"/>
      <c r="AK25" s="823"/>
      <c r="AL25" s="823"/>
      <c r="AM25" s="823"/>
      <c r="AN25" s="823"/>
      <c r="AO25" s="823"/>
      <c r="AP25" s="823"/>
      <c r="AQ25" s="823"/>
      <c r="AR25" s="823"/>
      <c r="AS25" s="823"/>
      <c r="AT25" s="823"/>
      <c r="AU25" s="823"/>
      <c r="AV25" s="823"/>
      <c r="AW25" s="823"/>
      <c r="AX25" s="823"/>
      <c r="AY25" s="823"/>
      <c r="AZ25" s="823"/>
      <c r="BA25" s="565"/>
      <c r="BB25" s="565"/>
      <c r="BC25" s="1429"/>
      <c r="BD25" s="1430"/>
      <c r="BE25" s="1431"/>
      <c r="BF25" s="1433"/>
      <c r="BG25" s="1434"/>
      <c r="BH25" s="1434"/>
    </row>
    <row r="26" spans="1:60" s="1425" customFormat="1" hidden="1">
      <c r="A26" s="562"/>
      <c r="B26" s="563" t="s">
        <v>335</v>
      </c>
      <c r="C26" s="564" t="s">
        <v>332</v>
      </c>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s="822"/>
      <c r="AB26" s="822"/>
      <c r="AC26" s="822"/>
      <c r="AD26" s="822"/>
      <c r="AE26" s="822"/>
      <c r="AF26" s="822"/>
      <c r="AG26" s="822"/>
      <c r="AH26" s="822"/>
      <c r="AI26" s="822"/>
      <c r="AJ26" s="822"/>
      <c r="AK26" s="822"/>
      <c r="AL26" s="822"/>
      <c r="AM26" s="822"/>
      <c r="AN26" s="822"/>
      <c r="AO26" s="822"/>
      <c r="AP26" s="822"/>
      <c r="AQ26" s="822"/>
      <c r="AR26" s="822"/>
      <c r="AS26" s="822"/>
      <c r="AT26" s="822"/>
      <c r="AU26" s="822"/>
      <c r="AV26" s="822"/>
      <c r="AW26" s="822"/>
      <c r="AX26" s="822"/>
      <c r="AY26" s="822"/>
      <c r="AZ26" s="822"/>
      <c r="BA26" s="560"/>
      <c r="BB26" s="560"/>
      <c r="BC26" s="1428"/>
      <c r="BD26" s="1423"/>
      <c r="BE26" s="1424"/>
      <c r="BF26" s="1426"/>
      <c r="BG26" s="1427"/>
      <c r="BH26" s="1427"/>
    </row>
    <row r="27" spans="1:60" s="1432" customFormat="1" hidden="1">
      <c r="A27" s="557"/>
      <c r="B27" s="558" t="s">
        <v>336</v>
      </c>
      <c r="C27" s="559" t="s">
        <v>332</v>
      </c>
      <c r="D27" s="823"/>
      <c r="E27" s="823"/>
      <c r="F27" s="823"/>
      <c r="G27" s="823"/>
      <c r="H27" s="823"/>
      <c r="I27" s="823"/>
      <c r="J27" s="823"/>
      <c r="K27" s="823"/>
      <c r="L27" s="823"/>
      <c r="M27" s="823"/>
      <c r="N27" s="823"/>
      <c r="O27" s="823"/>
      <c r="P27" s="823"/>
      <c r="Q27" s="823"/>
      <c r="R27" s="823"/>
      <c r="S27" s="823"/>
      <c r="T27" s="823"/>
      <c r="U27" s="823"/>
      <c r="V27" s="823"/>
      <c r="W27" s="823"/>
      <c r="X27" s="823"/>
      <c r="Y27" s="823"/>
      <c r="Z27" s="823"/>
      <c r="AA27" s="823"/>
      <c r="AB27" s="823"/>
      <c r="AC27" s="823"/>
      <c r="AD27" s="823"/>
      <c r="AE27" s="823"/>
      <c r="AF27" s="823"/>
      <c r="AG27" s="823"/>
      <c r="AH27" s="823"/>
      <c r="AI27" s="823"/>
      <c r="AJ27" s="823"/>
      <c r="AK27" s="823"/>
      <c r="AL27" s="823"/>
      <c r="AM27" s="823"/>
      <c r="AN27" s="823"/>
      <c r="AO27" s="823"/>
      <c r="AP27" s="823"/>
      <c r="AQ27" s="823"/>
      <c r="AR27" s="823"/>
      <c r="AS27" s="823"/>
      <c r="AT27" s="823"/>
      <c r="AU27" s="823"/>
      <c r="AV27" s="823"/>
      <c r="AW27" s="823"/>
      <c r="AX27" s="823"/>
      <c r="AY27" s="823"/>
      <c r="AZ27" s="823"/>
      <c r="BA27" s="565"/>
      <c r="BB27" s="565"/>
      <c r="BC27" s="1429"/>
      <c r="BD27" s="1430"/>
      <c r="BE27" s="1431"/>
      <c r="BF27" s="1433"/>
      <c r="BG27" s="1434"/>
      <c r="BH27" s="1434"/>
    </row>
    <row r="28" spans="1:60" s="1425" customFormat="1" hidden="1">
      <c r="A28" s="562"/>
      <c r="B28" s="563" t="s">
        <v>337</v>
      </c>
      <c r="C28" s="564" t="s">
        <v>332</v>
      </c>
      <c r="D28" s="822"/>
      <c r="E28" s="822"/>
      <c r="F28" s="822"/>
      <c r="G28" s="822"/>
      <c r="H28" s="822"/>
      <c r="I28" s="822"/>
      <c r="J28" s="822"/>
      <c r="K28" s="822"/>
      <c r="L28" s="822"/>
      <c r="M28" s="822"/>
      <c r="N28" s="822"/>
      <c r="O28" s="822"/>
      <c r="P28" s="822"/>
      <c r="Q28" s="822"/>
      <c r="R28" s="822"/>
      <c r="S28" s="822"/>
      <c r="T28" s="822"/>
      <c r="U28" s="822"/>
      <c r="V28" s="822"/>
      <c r="W28" s="822"/>
      <c r="X28" s="822"/>
      <c r="Y28" s="822"/>
      <c r="Z28" s="822"/>
      <c r="AA28" s="822"/>
      <c r="AB28" s="822"/>
      <c r="AC28" s="822"/>
      <c r="AD28" s="822"/>
      <c r="AE28" s="822"/>
      <c r="AF28" s="822"/>
      <c r="AG28" s="822"/>
      <c r="AH28" s="822"/>
      <c r="AI28" s="822"/>
      <c r="AJ28" s="822"/>
      <c r="AK28" s="822"/>
      <c r="AL28" s="822"/>
      <c r="AM28" s="822"/>
      <c r="AN28" s="822"/>
      <c r="AO28" s="822"/>
      <c r="AP28" s="822"/>
      <c r="AQ28" s="822"/>
      <c r="AR28" s="822"/>
      <c r="AS28" s="822"/>
      <c r="AT28" s="822"/>
      <c r="AU28" s="822"/>
      <c r="AV28" s="822"/>
      <c r="AW28" s="822"/>
      <c r="AX28" s="822"/>
      <c r="AY28" s="822"/>
      <c r="AZ28" s="822"/>
      <c r="BA28" s="560"/>
      <c r="BB28" s="560"/>
      <c r="BC28" s="1428"/>
      <c r="BD28" s="1423"/>
      <c r="BE28" s="1424"/>
      <c r="BF28" s="1426"/>
      <c r="BG28" s="1427"/>
      <c r="BH28" s="1427"/>
    </row>
    <row r="29" spans="1:60" ht="16.5" hidden="1" thickBot="1">
      <c r="A29" s="566"/>
      <c r="B29" s="567"/>
      <c r="C29" s="568"/>
      <c r="D29" s="824"/>
      <c r="E29" s="824"/>
      <c r="F29" s="824"/>
      <c r="G29" s="824"/>
      <c r="H29" s="824"/>
      <c r="I29" s="824"/>
      <c r="J29" s="824"/>
      <c r="K29" s="824"/>
      <c r="L29" s="824"/>
      <c r="M29" s="824"/>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569"/>
      <c r="BB29" s="569"/>
      <c r="BC29" s="1435"/>
    </row>
    <row r="31" spans="1:60" ht="15.75" customHeight="1">
      <c r="B31" s="570"/>
    </row>
    <row r="36" spans="55:55" ht="16.5" customHeight="1">
      <c r="BC36" s="1336"/>
    </row>
  </sheetData>
  <mergeCells count="22">
    <mergeCell ref="C5:C7"/>
    <mergeCell ref="D5:D7"/>
    <mergeCell ref="X6:AK6"/>
    <mergeCell ref="W6:W7"/>
    <mergeCell ref="BA6:BA7"/>
    <mergeCell ref="W5:AZ5"/>
    <mergeCell ref="A1:BC1"/>
    <mergeCell ref="A2:BC2"/>
    <mergeCell ref="BA5:BB5"/>
    <mergeCell ref="E6:E7"/>
    <mergeCell ref="F6:F7"/>
    <mergeCell ref="G6:G7"/>
    <mergeCell ref="H6:H7"/>
    <mergeCell ref="I6:V6"/>
    <mergeCell ref="E5:V5"/>
    <mergeCell ref="AL6:AL7"/>
    <mergeCell ref="AM6:AZ6"/>
    <mergeCell ref="BC5:BC7"/>
    <mergeCell ref="A3:BC3"/>
    <mergeCell ref="A5:A7"/>
    <mergeCell ref="B5:B7"/>
    <mergeCell ref="BB6:BB7"/>
  </mergeCells>
  <printOptions horizontalCentered="1"/>
  <pageMargins left="0.39370078740157483" right="0.39370078740157483" top="0.6692913385826772" bottom="0.51181102362204722" header="0.19685039370078741" footer="0.19685039370078741"/>
  <pageSetup paperSize="9" scale="70" fitToHeight="0" orientation="landscape" r:id="rId1"/>
  <headerFooter>
    <evenFooter>Page &amp;P</evenFooter>
  </headerFooter>
</worksheet>
</file>

<file path=xl/worksheets/sheet1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CF76"/>
  <sheetViews>
    <sheetView zoomScaleNormal="100" zoomScaleSheetLayoutView="85" workbookViewId="0">
      <pane xSplit="23" ySplit="7" topLeftCell="AL8" activePane="bottomRight" state="frozen"/>
      <selection activeCell="AP143" sqref="AP143"/>
      <selection pane="topRight" activeCell="AP143" sqref="AP143"/>
      <selection pane="bottomLeft" activeCell="AP143" sqref="AP143"/>
      <selection pane="bottomRight" activeCell="AL8" sqref="AL8"/>
    </sheetView>
  </sheetViews>
  <sheetFormatPr defaultColWidth="9" defaultRowHeight="15.75" customHeight="1"/>
  <cols>
    <col min="1" max="1" width="4.875" style="574" customWidth="1"/>
    <col min="2" max="2" width="27.875" style="1586" customWidth="1"/>
    <col min="3" max="3" width="8.625" style="1587" customWidth="1"/>
    <col min="4" max="4" width="7.375" style="1583" hidden="1" customWidth="1"/>
    <col min="5" max="5" width="6.875" style="1584" hidden="1" customWidth="1"/>
    <col min="6" max="6" width="7.125" style="1584" customWidth="1"/>
    <col min="7" max="7" width="7.375" style="1584" hidden="1" customWidth="1"/>
    <col min="8" max="8" width="7" style="1584" hidden="1" customWidth="1"/>
    <col min="9" max="22" width="6.25" style="1584" hidden="1" customWidth="1"/>
    <col min="23" max="23" width="7" style="1584" customWidth="1"/>
    <col min="24" max="29" width="6.25" style="1585" hidden="1" customWidth="1"/>
    <col min="30" max="37" width="6.25" style="791" hidden="1" customWidth="1"/>
    <col min="38" max="38" width="7" style="1584" customWidth="1"/>
    <col min="39" max="44" width="6.25" style="1585" customWidth="1"/>
    <col min="45" max="52" width="6.25" style="791" customWidth="1"/>
    <col min="53" max="53" width="9.625" style="652" customWidth="1"/>
    <col min="54" max="54" width="9.75" style="652" customWidth="1"/>
    <col min="55" max="68" width="5.75" style="652" hidden="1" customWidth="1"/>
    <col min="69" max="69" width="4.75" style="574" customWidth="1"/>
    <col min="70" max="70" width="12" style="1331" hidden="1" customWidth="1"/>
    <col min="71" max="71" width="12.875" style="1332" hidden="1" customWidth="1"/>
    <col min="72" max="74" width="5.75" style="574" customWidth="1"/>
    <col min="75" max="75" width="5.25" style="574" customWidth="1"/>
    <col min="76" max="76" width="4.75" style="404" customWidth="1"/>
    <col min="77" max="77" width="5.125" style="404" customWidth="1"/>
    <col min="78" max="78" width="5.75" style="404" customWidth="1"/>
    <col min="79" max="79" width="3.875" style="404" customWidth="1"/>
    <col min="80" max="80" width="9.875" style="404" customWidth="1"/>
    <col min="81" max="81" width="9.25" style="404" customWidth="1"/>
    <col min="82" max="82" width="8.75" style="404" customWidth="1"/>
    <col min="83" max="83" width="10.75" style="831" bestFit="1" customWidth="1"/>
    <col min="84" max="16384" width="9" style="404"/>
  </cols>
  <sheetData>
    <row r="1" spans="1:83" s="574" customFormat="1" ht="21.95" customHeight="1">
      <c r="A1" s="2120" t="s">
        <v>679</v>
      </c>
      <c r="B1" s="2120"/>
      <c r="C1" s="2120"/>
      <c r="D1" s="2120"/>
      <c r="E1" s="2120"/>
      <c r="F1" s="2120"/>
      <c r="G1" s="2120"/>
      <c r="H1" s="2120"/>
      <c r="I1" s="2120"/>
      <c r="J1" s="2120"/>
      <c r="K1" s="2120"/>
      <c r="L1" s="2120"/>
      <c r="M1" s="2120"/>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c r="AL1" s="2120"/>
      <c r="AM1" s="2120"/>
      <c r="AN1" s="2120"/>
      <c r="AO1" s="2120"/>
      <c r="AP1" s="2120"/>
      <c r="AQ1" s="2120"/>
      <c r="AR1" s="2120"/>
      <c r="AS1" s="2120"/>
      <c r="AT1" s="2120"/>
      <c r="AU1" s="2120"/>
      <c r="AV1" s="2120"/>
      <c r="AW1" s="2120"/>
      <c r="AX1" s="2120"/>
      <c r="AY1" s="2120"/>
      <c r="AZ1" s="2120"/>
      <c r="BA1" s="2120"/>
      <c r="BB1" s="2120"/>
      <c r="BC1" s="2120"/>
      <c r="BD1" s="2120"/>
      <c r="BE1" s="2120"/>
      <c r="BF1" s="2120"/>
      <c r="BG1" s="2120"/>
      <c r="BH1" s="2120"/>
      <c r="BI1" s="2120"/>
      <c r="BJ1" s="2120"/>
      <c r="BK1" s="2120"/>
      <c r="BL1" s="2120"/>
      <c r="BM1" s="2120"/>
      <c r="BN1" s="2120"/>
      <c r="BO1" s="2120"/>
      <c r="BP1" s="2120"/>
      <c r="BQ1" s="2120"/>
      <c r="BR1" s="1331"/>
      <c r="BS1" s="1332"/>
      <c r="CE1" s="1332"/>
    </row>
    <row r="2" spans="1:83" s="574" customFormat="1" ht="21.95" customHeight="1">
      <c r="A2" s="2121" t="s">
        <v>339</v>
      </c>
      <c r="B2" s="2121"/>
      <c r="C2" s="2121"/>
      <c r="D2" s="2121"/>
      <c r="E2" s="2121"/>
      <c r="F2" s="2121"/>
      <c r="G2" s="2121"/>
      <c r="H2" s="2121"/>
      <c r="I2" s="2121"/>
      <c r="J2" s="2121"/>
      <c r="K2" s="2121"/>
      <c r="L2" s="2121"/>
      <c r="M2" s="2121"/>
      <c r="N2" s="2121"/>
      <c r="O2" s="2121"/>
      <c r="P2" s="2121"/>
      <c r="Q2" s="2121"/>
      <c r="R2" s="2121"/>
      <c r="S2" s="2121"/>
      <c r="T2" s="2121"/>
      <c r="U2" s="2121"/>
      <c r="V2" s="2121"/>
      <c r="W2" s="2121"/>
      <c r="X2" s="2121"/>
      <c r="Y2" s="2121"/>
      <c r="Z2" s="2121"/>
      <c r="AA2" s="2121"/>
      <c r="AB2" s="2121"/>
      <c r="AC2" s="2121"/>
      <c r="AD2" s="2121"/>
      <c r="AE2" s="2121"/>
      <c r="AF2" s="2121"/>
      <c r="AG2" s="2121"/>
      <c r="AH2" s="2121"/>
      <c r="AI2" s="2121"/>
      <c r="AJ2" s="2121"/>
      <c r="AK2" s="2121"/>
      <c r="AL2" s="2121"/>
      <c r="AM2" s="2121"/>
      <c r="AN2" s="2121"/>
      <c r="AO2" s="2121"/>
      <c r="AP2" s="2121"/>
      <c r="AQ2" s="2121"/>
      <c r="AR2" s="2121"/>
      <c r="AS2" s="2121"/>
      <c r="AT2" s="2121"/>
      <c r="AU2" s="2121"/>
      <c r="AV2" s="2121"/>
      <c r="AW2" s="2121"/>
      <c r="AX2" s="2121"/>
      <c r="AY2" s="2121"/>
      <c r="AZ2" s="2121"/>
      <c r="BA2" s="2121"/>
      <c r="BB2" s="2121"/>
      <c r="BC2" s="2121"/>
      <c r="BD2" s="2121"/>
      <c r="BE2" s="2121"/>
      <c r="BF2" s="2121"/>
      <c r="BG2" s="2121"/>
      <c r="BH2" s="2121"/>
      <c r="BI2" s="2121"/>
      <c r="BJ2" s="2121"/>
      <c r="BK2" s="2121"/>
      <c r="BL2" s="2121"/>
      <c r="BM2" s="2121"/>
      <c r="BN2" s="2121"/>
      <c r="BO2" s="2121"/>
      <c r="BP2" s="2121"/>
      <c r="BQ2" s="2121"/>
      <c r="BR2" s="1331"/>
      <c r="BS2" s="1332"/>
      <c r="CE2" s="1332"/>
    </row>
    <row r="3" spans="1:83" s="574" customFormat="1" ht="21.95" customHeight="1">
      <c r="A3" s="2123" t="str">
        <f>'B8. DS-GD&amp;TE '!A3:BB3</f>
        <v>(Kèm theo Báo cáo số:  1525 /BC-UBND, ngày   30  tháng 5 năm 2025 của UBND huyện Mường Tè)</v>
      </c>
      <c r="B3" s="2123"/>
      <c r="C3" s="2123"/>
      <c r="D3" s="2123"/>
      <c r="E3" s="2123"/>
      <c r="F3" s="2123"/>
      <c r="G3" s="2123"/>
      <c r="H3" s="2123"/>
      <c r="I3" s="2123"/>
      <c r="J3" s="2123"/>
      <c r="K3" s="2123"/>
      <c r="L3" s="2123"/>
      <c r="M3" s="2123"/>
      <c r="N3" s="2123"/>
      <c r="O3" s="2123"/>
      <c r="P3" s="2123"/>
      <c r="Q3" s="2123"/>
      <c r="R3" s="2123"/>
      <c r="S3" s="2123"/>
      <c r="T3" s="2123"/>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c r="AT3" s="2123"/>
      <c r="AU3" s="2123"/>
      <c r="AV3" s="2123"/>
      <c r="AW3" s="2123"/>
      <c r="AX3" s="2123"/>
      <c r="AY3" s="2123"/>
      <c r="AZ3" s="2123"/>
      <c r="BA3" s="2123"/>
      <c r="BB3" s="2123"/>
      <c r="BC3" s="2123"/>
      <c r="BD3" s="2123"/>
      <c r="BE3" s="2123"/>
      <c r="BF3" s="2123"/>
      <c r="BG3" s="2123"/>
      <c r="BH3" s="2123"/>
      <c r="BI3" s="2123"/>
      <c r="BJ3" s="2123"/>
      <c r="BK3" s="2123"/>
      <c r="BL3" s="2123"/>
      <c r="BM3" s="2123"/>
      <c r="BN3" s="2123"/>
      <c r="BO3" s="2123"/>
      <c r="BP3" s="2123"/>
      <c r="BQ3" s="2123"/>
      <c r="BR3" s="1331"/>
      <c r="BS3" s="1332"/>
      <c r="CE3" s="1332"/>
    </row>
    <row r="4" spans="1:83" ht="21.95" customHeight="1">
      <c r="B4" s="1508"/>
      <c r="C4" s="1508"/>
      <c r="D4" s="1509"/>
      <c r="E4" s="1510"/>
      <c r="F4" s="1510"/>
      <c r="G4" s="1510"/>
      <c r="H4" s="1510"/>
      <c r="I4" s="1510"/>
      <c r="J4" s="1510"/>
      <c r="K4" s="1510"/>
      <c r="L4" s="1510"/>
      <c r="M4" s="1510"/>
      <c r="N4" s="1510"/>
      <c r="O4" s="1510"/>
      <c r="P4" s="1510"/>
      <c r="Q4" s="1510"/>
      <c r="R4" s="1510"/>
      <c r="S4" s="1510"/>
      <c r="T4" s="1510"/>
      <c r="U4" s="1510"/>
      <c r="V4" s="1510"/>
      <c r="W4" s="1510"/>
      <c r="X4" s="1511"/>
      <c r="Y4" s="1511"/>
      <c r="Z4" s="1511"/>
      <c r="AA4" s="1511"/>
      <c r="AB4" s="1511"/>
      <c r="AC4" s="1511"/>
      <c r="AD4" s="788"/>
      <c r="AE4" s="788"/>
      <c r="AF4" s="788"/>
      <c r="AG4" s="788"/>
      <c r="AH4" s="788"/>
      <c r="AI4" s="788"/>
      <c r="AJ4" s="788"/>
      <c r="AK4" s="788"/>
      <c r="AL4" s="1510"/>
      <c r="AM4" s="1511"/>
      <c r="AN4" s="1511"/>
      <c r="AO4" s="1511"/>
      <c r="AP4" s="1511"/>
      <c r="AQ4" s="1511"/>
      <c r="AR4" s="1511"/>
      <c r="AS4" s="788"/>
      <c r="AT4" s="788"/>
      <c r="AU4" s="788"/>
      <c r="AV4" s="788"/>
      <c r="AW4" s="788"/>
      <c r="AX4" s="788"/>
      <c r="AY4" s="788"/>
      <c r="AZ4" s="788"/>
      <c r="BA4" s="646"/>
      <c r="BB4" s="646"/>
      <c r="BC4" s="646"/>
      <c r="BD4" s="646"/>
      <c r="BE4" s="646"/>
      <c r="BF4" s="646"/>
      <c r="BG4" s="646"/>
      <c r="BH4" s="646"/>
      <c r="BI4" s="646"/>
      <c r="BJ4" s="646"/>
      <c r="BK4" s="646"/>
      <c r="BL4" s="646"/>
      <c r="BM4" s="646"/>
      <c r="BN4" s="646"/>
      <c r="BO4" s="646"/>
      <c r="BP4" s="646"/>
    </row>
    <row r="5" spans="1:83" ht="33.75" customHeight="1">
      <c r="A5" s="2119" t="s">
        <v>178</v>
      </c>
      <c r="B5" s="2122" t="s">
        <v>4</v>
      </c>
      <c r="C5" s="2122" t="s">
        <v>5</v>
      </c>
      <c r="D5" s="2073" t="s">
        <v>880</v>
      </c>
      <c r="E5" s="2073" t="s">
        <v>865</v>
      </c>
      <c r="F5" s="2073"/>
      <c r="G5" s="2073"/>
      <c r="H5" s="2073"/>
      <c r="I5" s="2073"/>
      <c r="J5" s="2073"/>
      <c r="K5" s="2073"/>
      <c r="L5" s="2073"/>
      <c r="M5" s="2073"/>
      <c r="N5" s="2073"/>
      <c r="O5" s="2073"/>
      <c r="P5" s="2073"/>
      <c r="Q5" s="2073"/>
      <c r="R5" s="2073"/>
      <c r="S5" s="2073"/>
      <c r="T5" s="2073"/>
      <c r="U5" s="2073"/>
      <c r="V5" s="2073"/>
      <c r="W5" s="2014" t="s">
        <v>952</v>
      </c>
      <c r="X5" s="2015"/>
      <c r="Y5" s="2015"/>
      <c r="Z5" s="2015"/>
      <c r="AA5" s="2015"/>
      <c r="AB5" s="2015"/>
      <c r="AC5" s="2015"/>
      <c r="AD5" s="2015"/>
      <c r="AE5" s="2015"/>
      <c r="AF5" s="2015"/>
      <c r="AG5" s="2015"/>
      <c r="AH5" s="2015"/>
      <c r="AI5" s="2015"/>
      <c r="AJ5" s="2015"/>
      <c r="AK5" s="2015"/>
      <c r="AL5" s="2015"/>
      <c r="AM5" s="2015"/>
      <c r="AN5" s="2015"/>
      <c r="AO5" s="2015"/>
      <c r="AP5" s="2015"/>
      <c r="AQ5" s="2015"/>
      <c r="AR5" s="2015"/>
      <c r="AS5" s="2015"/>
      <c r="AT5" s="2015"/>
      <c r="AU5" s="2015"/>
      <c r="AV5" s="2015"/>
      <c r="AW5" s="2015"/>
      <c r="AX5" s="2015"/>
      <c r="AY5" s="2015"/>
      <c r="AZ5" s="2088"/>
      <c r="BA5" s="2017" t="s">
        <v>866</v>
      </c>
      <c r="BB5" s="2017"/>
      <c r="BC5" s="2017" t="s">
        <v>58</v>
      </c>
      <c r="BD5" s="2017"/>
      <c r="BE5" s="2017"/>
      <c r="BF5" s="2017"/>
      <c r="BG5" s="2017"/>
      <c r="BH5" s="2017"/>
      <c r="BI5" s="2017"/>
      <c r="BJ5" s="2017"/>
      <c r="BK5" s="2017"/>
      <c r="BL5" s="2017"/>
      <c r="BM5" s="2017"/>
      <c r="BN5" s="2017"/>
      <c r="BO5" s="2017"/>
      <c r="BP5" s="2017"/>
      <c r="BQ5" s="2119" t="s">
        <v>656</v>
      </c>
      <c r="BR5" s="1333"/>
      <c r="BS5" s="1334"/>
    </row>
    <row r="6" spans="1:83" ht="21.95" customHeight="1">
      <c r="A6" s="2119"/>
      <c r="B6" s="2122"/>
      <c r="C6" s="2122"/>
      <c r="D6" s="2073"/>
      <c r="E6" s="2073" t="s">
        <v>11</v>
      </c>
      <c r="F6" s="2017" t="s">
        <v>972</v>
      </c>
      <c r="G6" s="2017" t="s">
        <v>871</v>
      </c>
      <c r="H6" s="2017" t="s">
        <v>797</v>
      </c>
      <c r="I6" s="2017" t="s">
        <v>882</v>
      </c>
      <c r="J6" s="2017"/>
      <c r="K6" s="2017"/>
      <c r="L6" s="2017"/>
      <c r="M6" s="2017"/>
      <c r="N6" s="2017"/>
      <c r="O6" s="2017"/>
      <c r="P6" s="2017"/>
      <c r="Q6" s="2017"/>
      <c r="R6" s="2017"/>
      <c r="S6" s="2017"/>
      <c r="T6" s="2017"/>
      <c r="U6" s="2017"/>
      <c r="V6" s="2017"/>
      <c r="W6" s="2017" t="s">
        <v>11</v>
      </c>
      <c r="X6" s="2017" t="s">
        <v>58</v>
      </c>
      <c r="Y6" s="2017"/>
      <c r="Z6" s="2017"/>
      <c r="AA6" s="2017"/>
      <c r="AB6" s="2017"/>
      <c r="AC6" s="2017"/>
      <c r="AD6" s="2017"/>
      <c r="AE6" s="2017"/>
      <c r="AF6" s="2017"/>
      <c r="AG6" s="2017"/>
      <c r="AH6" s="2017"/>
      <c r="AI6" s="2017"/>
      <c r="AJ6" s="2017"/>
      <c r="AK6" s="2017"/>
      <c r="AL6" s="2017" t="s">
        <v>973</v>
      </c>
      <c r="AM6" s="2011" t="s">
        <v>883</v>
      </c>
      <c r="AN6" s="2011"/>
      <c r="AO6" s="2011"/>
      <c r="AP6" s="2011"/>
      <c r="AQ6" s="2011"/>
      <c r="AR6" s="2011"/>
      <c r="AS6" s="2011"/>
      <c r="AT6" s="2011"/>
      <c r="AU6" s="2011"/>
      <c r="AV6" s="2011"/>
      <c r="AW6" s="2011"/>
      <c r="AX6" s="2011"/>
      <c r="AY6" s="2011"/>
      <c r="AZ6" s="2011"/>
      <c r="BA6" s="2017" t="str">
        <f>'B8. DS-GD&amp;TE '!BA6:BA7</f>
        <v>Ước TH 6 tháng năm 2025/TH 6 tháng năm 2024</v>
      </c>
      <c r="BB6" s="2017" t="str">
        <f>'B8. DS-GD&amp;TE '!BB6:BB7</f>
        <v>Ước TH 6 tháng năm 2025/KH năm 2025</v>
      </c>
      <c r="BC6" s="2017"/>
      <c r="BD6" s="2017"/>
      <c r="BE6" s="2017"/>
      <c r="BF6" s="2017"/>
      <c r="BG6" s="2017"/>
      <c r="BH6" s="2017"/>
      <c r="BI6" s="2017"/>
      <c r="BJ6" s="2017"/>
      <c r="BK6" s="2017"/>
      <c r="BL6" s="2017"/>
      <c r="BM6" s="2017"/>
      <c r="BN6" s="2017"/>
      <c r="BO6" s="2017"/>
      <c r="BP6" s="2017"/>
      <c r="BQ6" s="2018"/>
      <c r="BR6" s="1333"/>
      <c r="BS6" s="1334"/>
    </row>
    <row r="7" spans="1:83" ht="60.75" customHeight="1">
      <c r="A7" s="2119"/>
      <c r="B7" s="2122"/>
      <c r="C7" s="2122"/>
      <c r="D7" s="2073"/>
      <c r="E7" s="2073"/>
      <c r="F7" s="2017"/>
      <c r="G7" s="2017"/>
      <c r="H7" s="2017"/>
      <c r="I7" s="1780" t="s">
        <v>59</v>
      </c>
      <c r="J7" s="1780" t="s">
        <v>60</v>
      </c>
      <c r="K7" s="1780" t="s">
        <v>61</v>
      </c>
      <c r="L7" s="1780" t="s">
        <v>62</v>
      </c>
      <c r="M7" s="1780" t="s">
        <v>63</v>
      </c>
      <c r="N7" s="1780" t="s">
        <v>64</v>
      </c>
      <c r="O7" s="1780" t="s">
        <v>65</v>
      </c>
      <c r="P7" s="1780" t="s">
        <v>66</v>
      </c>
      <c r="Q7" s="1780" t="s">
        <v>67</v>
      </c>
      <c r="R7" s="1780" t="s">
        <v>68</v>
      </c>
      <c r="S7" s="1780" t="s">
        <v>69</v>
      </c>
      <c r="T7" s="1780" t="s">
        <v>70</v>
      </c>
      <c r="U7" s="1780" t="s">
        <v>71</v>
      </c>
      <c r="V7" s="1780" t="s">
        <v>72</v>
      </c>
      <c r="W7" s="2017"/>
      <c r="X7" s="1780" t="s">
        <v>937</v>
      </c>
      <c r="Y7" s="1780" t="s">
        <v>60</v>
      </c>
      <c r="Z7" s="1780" t="s">
        <v>61</v>
      </c>
      <c r="AA7" s="1780" t="s">
        <v>62</v>
      </c>
      <c r="AB7" s="1780" t="s">
        <v>63</v>
      </c>
      <c r="AC7" s="1780" t="s">
        <v>64</v>
      </c>
      <c r="AD7" s="1780" t="s">
        <v>65</v>
      </c>
      <c r="AE7" s="1780" t="s">
        <v>66</v>
      </c>
      <c r="AF7" s="1780" t="s">
        <v>67</v>
      </c>
      <c r="AG7" s="1780" t="s">
        <v>68</v>
      </c>
      <c r="AH7" s="1780" t="s">
        <v>69</v>
      </c>
      <c r="AI7" s="1780" t="s">
        <v>70</v>
      </c>
      <c r="AJ7" s="1780" t="s">
        <v>71</v>
      </c>
      <c r="AK7" s="1780" t="s">
        <v>72</v>
      </c>
      <c r="AL7" s="2017"/>
      <c r="AM7" s="1678" t="s">
        <v>937</v>
      </c>
      <c r="AN7" s="1678" t="s">
        <v>974</v>
      </c>
      <c r="AO7" s="1678" t="s">
        <v>975</v>
      </c>
      <c r="AP7" s="1678" t="s">
        <v>976</v>
      </c>
      <c r="AQ7" s="1678" t="s">
        <v>977</v>
      </c>
      <c r="AR7" s="1678" t="s">
        <v>978</v>
      </c>
      <c r="AS7" s="1674" t="s">
        <v>979</v>
      </c>
      <c r="AT7" s="1674" t="s">
        <v>980</v>
      </c>
      <c r="AU7" s="1674" t="s">
        <v>981</v>
      </c>
      <c r="AV7" s="1674" t="s">
        <v>982</v>
      </c>
      <c r="AW7" s="1674" t="s">
        <v>983</v>
      </c>
      <c r="AX7" s="1674" t="s">
        <v>984</v>
      </c>
      <c r="AY7" s="1674" t="s">
        <v>985</v>
      </c>
      <c r="AZ7" s="1674" t="s">
        <v>986</v>
      </c>
      <c r="BA7" s="2017"/>
      <c r="BB7" s="2017"/>
      <c r="BC7" s="836" t="s">
        <v>59</v>
      </c>
      <c r="BD7" s="836" t="s">
        <v>60</v>
      </c>
      <c r="BE7" s="836" t="s">
        <v>61</v>
      </c>
      <c r="BF7" s="836" t="s">
        <v>62</v>
      </c>
      <c r="BG7" s="836" t="s">
        <v>63</v>
      </c>
      <c r="BH7" s="836" t="s">
        <v>64</v>
      </c>
      <c r="BI7" s="836" t="s">
        <v>65</v>
      </c>
      <c r="BJ7" s="836" t="s">
        <v>66</v>
      </c>
      <c r="BK7" s="836" t="s">
        <v>67</v>
      </c>
      <c r="BL7" s="836" t="s">
        <v>68</v>
      </c>
      <c r="BM7" s="836" t="s">
        <v>69</v>
      </c>
      <c r="BN7" s="836" t="s">
        <v>70</v>
      </c>
      <c r="BO7" s="836" t="s">
        <v>71</v>
      </c>
      <c r="BP7" s="836" t="s">
        <v>72</v>
      </c>
      <c r="BQ7" s="2018"/>
      <c r="BR7" s="1335" t="s">
        <v>923</v>
      </c>
      <c r="BS7" s="1335" t="s">
        <v>924</v>
      </c>
      <c r="BT7" s="1336"/>
      <c r="BV7" s="127"/>
      <c r="BW7" s="127"/>
    </row>
    <row r="8" spans="1:83" ht="36" customHeight="1">
      <c r="A8" s="834" t="s">
        <v>83</v>
      </c>
      <c r="B8" s="1018" t="s">
        <v>340</v>
      </c>
      <c r="C8" s="1017"/>
      <c r="D8" s="1512"/>
      <c r="E8" s="1512"/>
      <c r="F8" s="1512"/>
      <c r="G8" s="1512"/>
      <c r="H8" s="1512"/>
      <c r="I8" s="1512"/>
      <c r="J8" s="1512"/>
      <c r="K8" s="1512"/>
      <c r="L8" s="1512"/>
      <c r="M8" s="1512"/>
      <c r="N8" s="1512"/>
      <c r="O8" s="1512"/>
      <c r="P8" s="1512"/>
      <c r="Q8" s="1512"/>
      <c r="R8" s="1512"/>
      <c r="S8" s="1512"/>
      <c r="T8" s="1512"/>
      <c r="U8" s="1512"/>
      <c r="V8" s="1512"/>
      <c r="W8" s="1512"/>
      <c r="X8" s="857"/>
      <c r="Y8" s="857"/>
      <c r="Z8" s="857"/>
      <c r="AA8" s="857"/>
      <c r="AB8" s="857"/>
      <c r="AC8" s="857"/>
      <c r="AD8" s="914"/>
      <c r="AE8" s="914"/>
      <c r="AF8" s="914"/>
      <c r="AG8" s="914"/>
      <c r="AH8" s="914"/>
      <c r="AI8" s="914"/>
      <c r="AJ8" s="914"/>
      <c r="AK8" s="914"/>
      <c r="AL8" s="1512"/>
      <c r="AM8" s="857"/>
      <c r="AN8" s="857"/>
      <c r="AO8" s="857"/>
      <c r="AP8" s="857"/>
      <c r="AQ8" s="857"/>
      <c r="AR8" s="857"/>
      <c r="AS8" s="914"/>
      <c r="AT8" s="914"/>
      <c r="AU8" s="914"/>
      <c r="AV8" s="914"/>
      <c r="AW8" s="914"/>
      <c r="AX8" s="914"/>
      <c r="AY8" s="914"/>
      <c r="AZ8" s="914"/>
      <c r="BA8" s="1313"/>
      <c r="BB8" s="1313"/>
      <c r="BC8" s="1313"/>
      <c r="BD8" s="1313"/>
      <c r="BE8" s="1313"/>
      <c r="BF8" s="1313"/>
      <c r="BG8" s="1313"/>
      <c r="BH8" s="1313"/>
      <c r="BI8" s="1313"/>
      <c r="BJ8" s="1313"/>
      <c r="BK8" s="1313"/>
      <c r="BL8" s="1313"/>
      <c r="BM8" s="1313"/>
      <c r="BN8" s="1313"/>
      <c r="BO8" s="1313"/>
      <c r="BP8" s="1313"/>
      <c r="BQ8" s="1337"/>
      <c r="BR8" s="1333"/>
      <c r="BS8" s="1334"/>
    </row>
    <row r="9" spans="1:83" ht="21.95" customHeight="1">
      <c r="A9" s="837">
        <v>1</v>
      </c>
      <c r="B9" s="1472" t="s">
        <v>341</v>
      </c>
      <c r="C9" s="857" t="s">
        <v>342</v>
      </c>
      <c r="D9" s="1513">
        <v>16</v>
      </c>
      <c r="E9" s="1513">
        <f>SUM(BC9:BP9)</f>
        <v>16</v>
      </c>
      <c r="F9" s="1513">
        <f>SUM(F11:F13)</f>
        <v>16</v>
      </c>
      <c r="G9" s="1513">
        <f t="shared" ref="G9" si="0">SUM(G11:G13)</f>
        <v>16</v>
      </c>
      <c r="H9" s="1513">
        <f>SUM(H11:H13)</f>
        <v>16</v>
      </c>
      <c r="I9" s="1513">
        <f t="shared" ref="I9:V9" si="1">SUM(I11:I13)</f>
        <v>2</v>
      </c>
      <c r="J9" s="1513">
        <f t="shared" si="1"/>
        <v>1</v>
      </c>
      <c r="K9" s="1513">
        <f t="shared" si="1"/>
        <v>1</v>
      </c>
      <c r="L9" s="1513">
        <f t="shared" si="1"/>
        <v>1</v>
      </c>
      <c r="M9" s="1513">
        <f t="shared" si="1"/>
        <v>2</v>
      </c>
      <c r="N9" s="1513">
        <f t="shared" si="1"/>
        <v>1</v>
      </c>
      <c r="O9" s="1513">
        <f t="shared" si="1"/>
        <v>1</v>
      </c>
      <c r="P9" s="1513">
        <f t="shared" si="1"/>
        <v>1</v>
      </c>
      <c r="Q9" s="1513">
        <f t="shared" si="1"/>
        <v>1</v>
      </c>
      <c r="R9" s="1513">
        <f t="shared" si="1"/>
        <v>1</v>
      </c>
      <c r="S9" s="1513">
        <f t="shared" si="1"/>
        <v>1</v>
      </c>
      <c r="T9" s="1513">
        <f t="shared" si="1"/>
        <v>1</v>
      </c>
      <c r="U9" s="1513">
        <f t="shared" si="1"/>
        <v>1</v>
      </c>
      <c r="V9" s="1513">
        <f t="shared" si="1"/>
        <v>1</v>
      </c>
      <c r="W9" s="1513">
        <f>SUM(W11:W13)</f>
        <v>16</v>
      </c>
      <c r="X9" s="1513">
        <f t="shared" ref="X9:AK9" si="2">SUM(X11:X13)</f>
        <v>2</v>
      </c>
      <c r="Y9" s="1513">
        <f t="shared" si="2"/>
        <v>1</v>
      </c>
      <c r="Z9" s="1513">
        <f t="shared" si="2"/>
        <v>1</v>
      </c>
      <c r="AA9" s="1513">
        <f t="shared" si="2"/>
        <v>1</v>
      </c>
      <c r="AB9" s="1513">
        <f t="shared" si="2"/>
        <v>2</v>
      </c>
      <c r="AC9" s="1513">
        <f t="shared" si="2"/>
        <v>1</v>
      </c>
      <c r="AD9" s="1338">
        <f t="shared" si="2"/>
        <v>1</v>
      </c>
      <c r="AE9" s="1338">
        <f t="shared" si="2"/>
        <v>1</v>
      </c>
      <c r="AF9" s="1338">
        <f t="shared" si="2"/>
        <v>1</v>
      </c>
      <c r="AG9" s="1338">
        <f t="shared" si="2"/>
        <v>1</v>
      </c>
      <c r="AH9" s="1338">
        <f t="shared" si="2"/>
        <v>1</v>
      </c>
      <c r="AI9" s="1338">
        <f t="shared" si="2"/>
        <v>1</v>
      </c>
      <c r="AJ9" s="1338">
        <f t="shared" si="2"/>
        <v>1</v>
      </c>
      <c r="AK9" s="1338">
        <f t="shared" si="2"/>
        <v>1</v>
      </c>
      <c r="AL9" s="1688">
        <v>16</v>
      </c>
      <c r="AM9" s="1688"/>
      <c r="AN9" s="1688"/>
      <c r="AO9" s="1688"/>
      <c r="AP9" s="1688"/>
      <c r="AQ9" s="1688"/>
      <c r="AR9" s="1688"/>
      <c r="AS9" s="1338"/>
      <c r="AT9" s="1338"/>
      <c r="AU9" s="1338"/>
      <c r="AV9" s="1338"/>
      <c r="AW9" s="1338"/>
      <c r="AX9" s="1338"/>
      <c r="AY9" s="1338"/>
      <c r="AZ9" s="1338"/>
      <c r="BA9" s="1339">
        <f>AL9/F9%</f>
        <v>100</v>
      </c>
      <c r="BB9" s="1339">
        <f>AL9/W9%</f>
        <v>100</v>
      </c>
      <c r="BC9" s="968">
        <f>SUM(BC10:BC13)</f>
        <v>2</v>
      </c>
      <c r="BD9" s="968">
        <f t="shared" ref="BD9:BP9" si="3">SUM(BD10:BD13)</f>
        <v>1</v>
      </c>
      <c r="BE9" s="968">
        <f t="shared" si="3"/>
        <v>1</v>
      </c>
      <c r="BF9" s="968">
        <f t="shared" si="3"/>
        <v>1</v>
      </c>
      <c r="BG9" s="968">
        <f t="shared" si="3"/>
        <v>2</v>
      </c>
      <c r="BH9" s="968">
        <f t="shared" si="3"/>
        <v>1</v>
      </c>
      <c r="BI9" s="968">
        <f t="shared" si="3"/>
        <v>1</v>
      </c>
      <c r="BJ9" s="968">
        <f t="shared" si="3"/>
        <v>1</v>
      </c>
      <c r="BK9" s="968">
        <f t="shared" si="3"/>
        <v>1</v>
      </c>
      <c r="BL9" s="968">
        <f t="shared" si="3"/>
        <v>1</v>
      </c>
      <c r="BM9" s="968">
        <f t="shared" si="3"/>
        <v>1</v>
      </c>
      <c r="BN9" s="968">
        <f t="shared" si="3"/>
        <v>1</v>
      </c>
      <c r="BO9" s="968">
        <f t="shared" si="3"/>
        <v>1</v>
      </c>
      <c r="BP9" s="968">
        <f t="shared" si="3"/>
        <v>1</v>
      </c>
      <c r="BQ9" s="1337"/>
      <c r="BR9" s="1333">
        <v>16</v>
      </c>
      <c r="BS9" s="1334">
        <f t="shared" ref="BS9:BS14" si="4">W9-BR9</f>
        <v>0</v>
      </c>
    </row>
    <row r="10" spans="1:83" s="574" customFormat="1" ht="21.95" hidden="1" customHeight="1">
      <c r="A10" s="837"/>
      <c r="B10" s="1472" t="s">
        <v>343</v>
      </c>
      <c r="C10" s="857" t="s">
        <v>344</v>
      </c>
      <c r="D10" s="1452"/>
      <c r="E10" s="1452"/>
      <c r="F10" s="1452"/>
      <c r="G10" s="1452"/>
      <c r="H10" s="1452"/>
      <c r="I10" s="1452"/>
      <c r="J10" s="1452"/>
      <c r="K10" s="1452"/>
      <c r="L10" s="1452"/>
      <c r="M10" s="1452"/>
      <c r="N10" s="1452"/>
      <c r="O10" s="1452"/>
      <c r="P10" s="1452"/>
      <c r="Q10" s="1452"/>
      <c r="R10" s="1452"/>
      <c r="S10" s="1452"/>
      <c r="T10" s="1452"/>
      <c r="U10" s="1452"/>
      <c r="V10" s="1452"/>
      <c r="W10" s="1452"/>
      <c r="X10" s="1514"/>
      <c r="Y10" s="1514"/>
      <c r="Z10" s="1514"/>
      <c r="AA10" s="1514"/>
      <c r="AB10" s="1514"/>
      <c r="AC10" s="1514"/>
      <c r="AD10" s="1135"/>
      <c r="AE10" s="1135"/>
      <c r="AF10" s="1135"/>
      <c r="AG10" s="1135"/>
      <c r="AH10" s="1135"/>
      <c r="AI10" s="1135"/>
      <c r="AJ10" s="1135"/>
      <c r="AK10" s="1135"/>
      <c r="AL10" s="903"/>
      <c r="AM10" s="1132"/>
      <c r="AN10" s="1132"/>
      <c r="AO10" s="1132"/>
      <c r="AP10" s="1132"/>
      <c r="AQ10" s="1132"/>
      <c r="AR10" s="1132"/>
      <c r="AS10" s="1135"/>
      <c r="AT10" s="1135"/>
      <c r="AU10" s="1135"/>
      <c r="AV10" s="1135"/>
      <c r="AW10" s="1135"/>
      <c r="AX10" s="1135"/>
      <c r="AY10" s="1135"/>
      <c r="AZ10" s="1135"/>
      <c r="BA10" s="1339" t="e">
        <f t="shared" ref="BA10:BA25" si="5">AL10/F10%</f>
        <v>#DIV/0!</v>
      </c>
      <c r="BB10" s="1339" t="e">
        <f t="shared" ref="BB10:BB25" si="6">AL10/W10%</f>
        <v>#DIV/0!</v>
      </c>
      <c r="BC10" s="968"/>
      <c r="BD10" s="968"/>
      <c r="BE10" s="968"/>
      <c r="BF10" s="968"/>
      <c r="BG10" s="968"/>
      <c r="BH10" s="968"/>
      <c r="BI10" s="968"/>
      <c r="BJ10" s="968"/>
      <c r="BK10" s="968"/>
      <c r="BL10" s="968"/>
      <c r="BM10" s="968"/>
      <c r="BN10" s="968"/>
      <c r="BO10" s="968"/>
      <c r="BP10" s="968"/>
      <c r="BQ10" s="1337"/>
      <c r="BR10" s="1333"/>
      <c r="BS10" s="1334">
        <f t="shared" si="4"/>
        <v>0</v>
      </c>
      <c r="CE10" s="1332"/>
    </row>
    <row r="11" spans="1:83" s="574" customFormat="1" ht="21.95" customHeight="1">
      <c r="A11" s="837"/>
      <c r="B11" s="1472" t="s">
        <v>345</v>
      </c>
      <c r="C11" s="857" t="s">
        <v>3</v>
      </c>
      <c r="D11" s="1513">
        <v>1</v>
      </c>
      <c r="E11" s="1513">
        <f>SUM(BC11:BP11)</f>
        <v>1</v>
      </c>
      <c r="F11" s="1513">
        <v>1</v>
      </c>
      <c r="G11" s="1513">
        <v>1</v>
      </c>
      <c r="H11" s="1513">
        <f>SUM(I11:V11)</f>
        <v>1</v>
      </c>
      <c r="I11" s="1513">
        <v>1</v>
      </c>
      <c r="J11" s="1513"/>
      <c r="K11" s="1513"/>
      <c r="L11" s="1513"/>
      <c r="M11" s="1513"/>
      <c r="N11" s="1513"/>
      <c r="O11" s="1513"/>
      <c r="P11" s="1513"/>
      <c r="Q11" s="1513"/>
      <c r="R11" s="1513"/>
      <c r="S11" s="1513"/>
      <c r="T11" s="1513"/>
      <c r="U11" s="1513"/>
      <c r="V11" s="1513"/>
      <c r="W11" s="1513">
        <f>SUM(X11:AK11)</f>
        <v>1</v>
      </c>
      <c r="X11" s="1515">
        <v>1</v>
      </c>
      <c r="Y11" s="1515"/>
      <c r="Z11" s="1515"/>
      <c r="AA11" s="1515"/>
      <c r="AB11" s="1515"/>
      <c r="AC11" s="1515"/>
      <c r="AD11" s="1340"/>
      <c r="AE11" s="1340"/>
      <c r="AF11" s="1340"/>
      <c r="AG11" s="1340"/>
      <c r="AH11" s="1340"/>
      <c r="AI11" s="1340"/>
      <c r="AJ11" s="1340"/>
      <c r="AK11" s="1340"/>
      <c r="AL11" s="1688">
        <v>1</v>
      </c>
      <c r="AM11" s="852">
        <v>1</v>
      </c>
      <c r="AN11" s="852"/>
      <c r="AO11" s="852"/>
      <c r="AP11" s="852"/>
      <c r="AQ11" s="852"/>
      <c r="AR11" s="852"/>
      <c r="AS11" s="1340"/>
      <c r="AT11" s="1340"/>
      <c r="AU11" s="1340"/>
      <c r="AV11" s="1340"/>
      <c r="AW11" s="1340"/>
      <c r="AX11" s="1340"/>
      <c r="AY11" s="1340"/>
      <c r="AZ11" s="1340"/>
      <c r="BA11" s="1339">
        <f t="shared" si="5"/>
        <v>100</v>
      </c>
      <c r="BB11" s="1339">
        <f t="shared" si="6"/>
        <v>100</v>
      </c>
      <c r="BC11" s="968">
        <v>1</v>
      </c>
      <c r="BD11" s="968"/>
      <c r="BE11" s="968"/>
      <c r="BF11" s="968"/>
      <c r="BG11" s="968"/>
      <c r="BH11" s="968"/>
      <c r="BI11" s="968"/>
      <c r="BJ11" s="968"/>
      <c r="BK11" s="968"/>
      <c r="BL11" s="968"/>
      <c r="BM11" s="968"/>
      <c r="BN11" s="968"/>
      <c r="BO11" s="968"/>
      <c r="BP11" s="968"/>
      <c r="BQ11" s="1337"/>
      <c r="BR11" s="1333">
        <v>1</v>
      </c>
      <c r="BS11" s="1334">
        <f t="shared" si="4"/>
        <v>0</v>
      </c>
      <c r="BT11" s="817"/>
      <c r="BW11" s="478"/>
      <c r="CE11" s="1332"/>
    </row>
    <row r="12" spans="1:83" s="574" customFormat="1" ht="21.95" customHeight="1">
      <c r="A12" s="837"/>
      <c r="B12" s="1472" t="s">
        <v>346</v>
      </c>
      <c r="C12" s="857" t="s">
        <v>347</v>
      </c>
      <c r="D12" s="1513">
        <v>2</v>
      </c>
      <c r="E12" s="1513">
        <f>SUM(BC12:BP12)</f>
        <v>2</v>
      </c>
      <c r="F12" s="1513">
        <v>2</v>
      </c>
      <c r="G12" s="1513">
        <v>2</v>
      </c>
      <c r="H12" s="1513">
        <f t="shared" ref="H12:H13" si="7">SUM(I12:V12)</f>
        <v>2</v>
      </c>
      <c r="I12" s="1513"/>
      <c r="J12" s="1513"/>
      <c r="K12" s="1513"/>
      <c r="L12" s="1513"/>
      <c r="M12" s="1513">
        <v>1</v>
      </c>
      <c r="N12" s="1513"/>
      <c r="O12" s="1513"/>
      <c r="P12" s="1513"/>
      <c r="Q12" s="1513"/>
      <c r="R12" s="1513"/>
      <c r="S12" s="1513">
        <v>1</v>
      </c>
      <c r="T12" s="1513"/>
      <c r="U12" s="1513"/>
      <c r="V12" s="1513"/>
      <c r="W12" s="1513">
        <f t="shared" ref="W12:W13" si="8">SUM(X12:AK12)</f>
        <v>2</v>
      </c>
      <c r="X12" s="1515"/>
      <c r="Y12" s="1515"/>
      <c r="Z12" s="1515"/>
      <c r="AA12" s="1515"/>
      <c r="AB12" s="1515">
        <v>1</v>
      </c>
      <c r="AC12" s="1515"/>
      <c r="AD12" s="1340"/>
      <c r="AE12" s="1340"/>
      <c r="AF12" s="1340"/>
      <c r="AG12" s="1340"/>
      <c r="AH12" s="1340">
        <v>1</v>
      </c>
      <c r="AI12" s="1340"/>
      <c r="AJ12" s="1340"/>
      <c r="AK12" s="1340"/>
      <c r="AL12" s="1688">
        <v>2</v>
      </c>
      <c r="AM12" s="852"/>
      <c r="AN12" s="852"/>
      <c r="AO12" s="852"/>
      <c r="AP12" s="852"/>
      <c r="AQ12" s="852">
        <v>1</v>
      </c>
      <c r="AR12" s="852"/>
      <c r="AS12" s="1340"/>
      <c r="AT12" s="1340"/>
      <c r="AU12" s="1340"/>
      <c r="AV12" s="1340"/>
      <c r="AW12" s="1340">
        <v>1</v>
      </c>
      <c r="AX12" s="1340"/>
      <c r="AY12" s="1340"/>
      <c r="AZ12" s="1340"/>
      <c r="BA12" s="1339">
        <f t="shared" si="5"/>
        <v>100</v>
      </c>
      <c r="BB12" s="1339">
        <f t="shared" si="6"/>
        <v>100</v>
      </c>
      <c r="BC12" s="968"/>
      <c r="BD12" s="968"/>
      <c r="BE12" s="968"/>
      <c r="BF12" s="968"/>
      <c r="BG12" s="968">
        <v>1</v>
      </c>
      <c r="BH12" s="968"/>
      <c r="BI12" s="968"/>
      <c r="BJ12" s="968"/>
      <c r="BK12" s="968"/>
      <c r="BL12" s="968"/>
      <c r="BM12" s="968">
        <v>1</v>
      </c>
      <c r="BN12" s="968"/>
      <c r="BO12" s="968"/>
      <c r="BP12" s="968"/>
      <c r="BQ12" s="1337"/>
      <c r="BR12" s="1333">
        <v>2</v>
      </c>
      <c r="BS12" s="1334">
        <f t="shared" si="4"/>
        <v>0</v>
      </c>
      <c r="BT12" s="817"/>
      <c r="BW12" s="478"/>
      <c r="CE12" s="1332"/>
    </row>
    <row r="13" spans="1:83" s="574" customFormat="1" ht="21.95" customHeight="1">
      <c r="A13" s="837"/>
      <c r="B13" s="1472" t="s">
        <v>348</v>
      </c>
      <c r="C13" s="857" t="s">
        <v>349</v>
      </c>
      <c r="D13" s="1513">
        <v>13</v>
      </c>
      <c r="E13" s="1513">
        <f>SUM(BC13:BP13)</f>
        <v>13</v>
      </c>
      <c r="F13" s="1513">
        <v>13</v>
      </c>
      <c r="G13" s="1513">
        <v>13</v>
      </c>
      <c r="H13" s="1513">
        <f t="shared" si="7"/>
        <v>13</v>
      </c>
      <c r="I13" s="1513">
        <v>1</v>
      </c>
      <c r="J13" s="1513">
        <v>1</v>
      </c>
      <c r="K13" s="1513">
        <v>1</v>
      </c>
      <c r="L13" s="1513">
        <v>1</v>
      </c>
      <c r="M13" s="1513">
        <v>1</v>
      </c>
      <c r="N13" s="1513">
        <v>1</v>
      </c>
      <c r="O13" s="1513">
        <v>1</v>
      </c>
      <c r="P13" s="1513">
        <v>1</v>
      </c>
      <c r="Q13" s="1513">
        <v>1</v>
      </c>
      <c r="R13" s="1513">
        <v>1</v>
      </c>
      <c r="S13" s="1513"/>
      <c r="T13" s="1513">
        <v>1</v>
      </c>
      <c r="U13" s="1513">
        <v>1</v>
      </c>
      <c r="V13" s="1513">
        <v>1</v>
      </c>
      <c r="W13" s="1513">
        <f t="shared" si="8"/>
        <v>13</v>
      </c>
      <c r="X13" s="1515">
        <v>1</v>
      </c>
      <c r="Y13" s="1515">
        <v>1</v>
      </c>
      <c r="Z13" s="1515">
        <v>1</v>
      </c>
      <c r="AA13" s="1515">
        <v>1</v>
      </c>
      <c r="AB13" s="1515">
        <v>1</v>
      </c>
      <c r="AC13" s="1515">
        <v>1</v>
      </c>
      <c r="AD13" s="1340">
        <v>1</v>
      </c>
      <c r="AE13" s="1340">
        <v>1</v>
      </c>
      <c r="AF13" s="1340">
        <v>1</v>
      </c>
      <c r="AG13" s="1340">
        <v>1</v>
      </c>
      <c r="AH13" s="1340"/>
      <c r="AI13" s="1340">
        <v>1</v>
      </c>
      <c r="AJ13" s="1340">
        <v>1</v>
      </c>
      <c r="AK13" s="1340">
        <v>1</v>
      </c>
      <c r="AL13" s="1688">
        <f>SUM(AM13:AZ13)</f>
        <v>13</v>
      </c>
      <c r="AM13" s="852">
        <v>1</v>
      </c>
      <c r="AN13" s="852">
        <v>1</v>
      </c>
      <c r="AO13" s="852">
        <v>1</v>
      </c>
      <c r="AP13" s="852">
        <v>1</v>
      </c>
      <c r="AQ13" s="852">
        <v>1</v>
      </c>
      <c r="AR13" s="852">
        <v>1</v>
      </c>
      <c r="AS13" s="852">
        <v>1</v>
      </c>
      <c r="AT13" s="852">
        <v>1</v>
      </c>
      <c r="AU13" s="852">
        <v>1</v>
      </c>
      <c r="AV13" s="852">
        <v>1</v>
      </c>
      <c r="AW13" s="852"/>
      <c r="AX13" s="852">
        <v>1</v>
      </c>
      <c r="AY13" s="852">
        <v>1</v>
      </c>
      <c r="AZ13" s="852">
        <v>1</v>
      </c>
      <c r="BA13" s="1339">
        <f t="shared" si="5"/>
        <v>100</v>
      </c>
      <c r="BB13" s="1339">
        <f t="shared" si="6"/>
        <v>100</v>
      </c>
      <c r="BC13" s="968">
        <v>1</v>
      </c>
      <c r="BD13" s="968">
        <v>1</v>
      </c>
      <c r="BE13" s="968">
        <v>1</v>
      </c>
      <c r="BF13" s="968">
        <v>1</v>
      </c>
      <c r="BG13" s="968">
        <v>1</v>
      </c>
      <c r="BH13" s="968">
        <v>1</v>
      </c>
      <c r="BI13" s="968">
        <v>1</v>
      </c>
      <c r="BJ13" s="968">
        <v>1</v>
      </c>
      <c r="BK13" s="968">
        <v>1</v>
      </c>
      <c r="BL13" s="968">
        <v>1</v>
      </c>
      <c r="BM13" s="968"/>
      <c r="BN13" s="968">
        <v>1</v>
      </c>
      <c r="BO13" s="968">
        <v>1</v>
      </c>
      <c r="BP13" s="968">
        <v>1</v>
      </c>
      <c r="BQ13" s="1337"/>
      <c r="BR13" s="1333">
        <v>13</v>
      </c>
      <c r="BS13" s="1334">
        <f t="shared" si="4"/>
        <v>0</v>
      </c>
      <c r="BT13" s="817"/>
      <c r="BW13" s="478"/>
      <c r="CE13" s="1332"/>
    </row>
    <row r="14" spans="1:83" s="574" customFormat="1" ht="36" customHeight="1">
      <c r="A14" s="837"/>
      <c r="B14" s="1472" t="s">
        <v>636</v>
      </c>
      <c r="C14" s="857" t="s">
        <v>26</v>
      </c>
      <c r="D14" s="1516">
        <f>13/14*100</f>
        <v>92.857142857142861</v>
      </c>
      <c r="E14" s="1516">
        <f>14/14*100</f>
        <v>100</v>
      </c>
      <c r="F14" s="1516">
        <f>12*100/13</f>
        <v>92.307692307692307</v>
      </c>
      <c r="G14" s="1516">
        <f>12/13*100</f>
        <v>92.307692307692307</v>
      </c>
      <c r="H14" s="1516">
        <v>100</v>
      </c>
      <c r="I14" s="1516">
        <f>1/14*100</f>
        <v>7.1428571428571423</v>
      </c>
      <c r="J14" s="1516">
        <f t="shared" ref="J14:V14" si="9">1/14*100</f>
        <v>7.1428571428571423</v>
      </c>
      <c r="K14" s="1516">
        <f t="shared" si="9"/>
        <v>7.1428571428571423</v>
      </c>
      <c r="L14" s="1516">
        <f t="shared" si="9"/>
        <v>7.1428571428571423</v>
      </c>
      <c r="M14" s="1516">
        <f t="shared" si="9"/>
        <v>7.1428571428571423</v>
      </c>
      <c r="N14" s="1516">
        <f t="shared" si="9"/>
        <v>7.1428571428571423</v>
      </c>
      <c r="O14" s="1516"/>
      <c r="P14" s="1516">
        <f t="shared" si="9"/>
        <v>7.1428571428571423</v>
      </c>
      <c r="Q14" s="1516">
        <f t="shared" si="9"/>
        <v>7.1428571428571423</v>
      </c>
      <c r="R14" s="1516">
        <f t="shared" si="9"/>
        <v>7.1428571428571423</v>
      </c>
      <c r="S14" s="1516">
        <f t="shared" si="9"/>
        <v>7.1428571428571423</v>
      </c>
      <c r="T14" s="1516">
        <f t="shared" si="9"/>
        <v>7.1428571428571423</v>
      </c>
      <c r="U14" s="1516">
        <f t="shared" si="9"/>
        <v>7.1428571428571423</v>
      </c>
      <c r="V14" s="1516">
        <f t="shared" si="9"/>
        <v>7.1428571428571423</v>
      </c>
      <c r="W14" s="1516">
        <f>SUM(X14:AK14)</f>
        <v>99.999999999999957</v>
      </c>
      <c r="X14" s="1516">
        <f>1/14*100</f>
        <v>7.1428571428571423</v>
      </c>
      <c r="Y14" s="1516">
        <f t="shared" ref="Y14:AK14" si="10">1/14*100</f>
        <v>7.1428571428571423</v>
      </c>
      <c r="Z14" s="1516">
        <f t="shared" si="10"/>
        <v>7.1428571428571423</v>
      </c>
      <c r="AA14" s="1516">
        <f t="shared" si="10"/>
        <v>7.1428571428571423</v>
      </c>
      <c r="AB14" s="1516">
        <f t="shared" si="10"/>
        <v>7.1428571428571423</v>
      </c>
      <c r="AC14" s="1516">
        <f t="shared" si="10"/>
        <v>7.1428571428571423</v>
      </c>
      <c r="AD14" s="891">
        <f t="shared" si="10"/>
        <v>7.1428571428571423</v>
      </c>
      <c r="AE14" s="891">
        <f t="shared" si="10"/>
        <v>7.1428571428571423</v>
      </c>
      <c r="AF14" s="891">
        <f t="shared" si="10"/>
        <v>7.1428571428571423</v>
      </c>
      <c r="AG14" s="891">
        <f t="shared" si="10"/>
        <v>7.1428571428571423</v>
      </c>
      <c r="AH14" s="891">
        <f t="shared" si="10"/>
        <v>7.1428571428571423</v>
      </c>
      <c r="AI14" s="891">
        <f t="shared" si="10"/>
        <v>7.1428571428571423</v>
      </c>
      <c r="AJ14" s="891">
        <f t="shared" si="10"/>
        <v>7.1428571428571423</v>
      </c>
      <c r="AK14" s="891">
        <f t="shared" si="10"/>
        <v>7.1428571428571423</v>
      </c>
      <c r="AL14" s="1689">
        <v>100</v>
      </c>
      <c r="AM14" s="1110">
        <f>1/14*100</f>
        <v>7.1428571428571423</v>
      </c>
      <c r="AN14" s="1110">
        <f t="shared" ref="AN14:AZ14" si="11">1/14*100</f>
        <v>7.1428571428571423</v>
      </c>
      <c r="AO14" s="1110">
        <f t="shared" si="11"/>
        <v>7.1428571428571423</v>
      </c>
      <c r="AP14" s="1110">
        <f t="shared" si="11"/>
        <v>7.1428571428571423</v>
      </c>
      <c r="AQ14" s="1110">
        <f t="shared" si="11"/>
        <v>7.1428571428571423</v>
      </c>
      <c r="AR14" s="1110">
        <f t="shared" si="11"/>
        <v>7.1428571428571423</v>
      </c>
      <c r="AS14" s="1110">
        <f t="shared" si="11"/>
        <v>7.1428571428571423</v>
      </c>
      <c r="AT14" s="1110">
        <f t="shared" si="11"/>
        <v>7.1428571428571423</v>
      </c>
      <c r="AU14" s="1110">
        <f t="shared" si="11"/>
        <v>7.1428571428571423</v>
      </c>
      <c r="AV14" s="1110">
        <f t="shared" si="11"/>
        <v>7.1428571428571423</v>
      </c>
      <c r="AW14" s="1110">
        <f t="shared" si="11"/>
        <v>7.1428571428571423</v>
      </c>
      <c r="AX14" s="1110">
        <f t="shared" si="11"/>
        <v>7.1428571428571423</v>
      </c>
      <c r="AY14" s="1110">
        <f t="shared" si="11"/>
        <v>7.1428571428571423</v>
      </c>
      <c r="AZ14" s="1110">
        <f t="shared" si="11"/>
        <v>7.1428571428571423</v>
      </c>
      <c r="BA14" s="1339">
        <f t="shared" si="5"/>
        <v>108.33333333333334</v>
      </c>
      <c r="BB14" s="1339">
        <f t="shared" si="6"/>
        <v>100.00000000000004</v>
      </c>
      <c r="BC14" s="968">
        <v>100</v>
      </c>
      <c r="BD14" s="968">
        <v>100</v>
      </c>
      <c r="BE14" s="968">
        <v>100</v>
      </c>
      <c r="BF14" s="968">
        <v>100</v>
      </c>
      <c r="BG14" s="968">
        <v>100</v>
      </c>
      <c r="BH14" s="968">
        <v>100</v>
      </c>
      <c r="BI14" s="968">
        <v>100</v>
      </c>
      <c r="BJ14" s="968">
        <v>100</v>
      </c>
      <c r="BK14" s="968">
        <v>100</v>
      </c>
      <c r="BL14" s="968">
        <v>100</v>
      </c>
      <c r="BM14" s="968">
        <v>100</v>
      </c>
      <c r="BN14" s="968">
        <v>100</v>
      </c>
      <c r="BO14" s="968">
        <v>100</v>
      </c>
      <c r="BP14" s="968">
        <v>100</v>
      </c>
      <c r="BQ14" s="1337"/>
      <c r="BR14" s="1333">
        <v>100</v>
      </c>
      <c r="BS14" s="1334">
        <f t="shared" si="4"/>
        <v>0</v>
      </c>
      <c r="BT14" s="817"/>
      <c r="BW14" s="478"/>
      <c r="CD14" s="478"/>
      <c r="CE14" s="1332"/>
    </row>
    <row r="15" spans="1:83" ht="21.95" customHeight="1">
      <c r="A15" s="1782">
        <v>2</v>
      </c>
      <c r="B15" s="1472" t="s">
        <v>350</v>
      </c>
      <c r="C15" s="857" t="s">
        <v>139</v>
      </c>
      <c r="D15" s="1452">
        <v>4</v>
      </c>
      <c r="E15" s="1452">
        <f>SUM(BC15:BP15)</f>
        <v>4</v>
      </c>
      <c r="F15" s="1452">
        <v>5</v>
      </c>
      <c r="G15" s="1452">
        <v>5</v>
      </c>
      <c r="H15" s="1452">
        <v>4</v>
      </c>
      <c r="I15" s="1452">
        <v>4</v>
      </c>
      <c r="J15" s="1452"/>
      <c r="K15" s="1452"/>
      <c r="L15" s="1452"/>
      <c r="M15" s="1452"/>
      <c r="N15" s="1452"/>
      <c r="O15" s="1452"/>
      <c r="P15" s="1452"/>
      <c r="Q15" s="1452"/>
      <c r="R15" s="1452"/>
      <c r="S15" s="1452"/>
      <c r="T15" s="1452"/>
      <c r="U15" s="1452"/>
      <c r="V15" s="1452"/>
      <c r="W15" s="1452">
        <v>6</v>
      </c>
      <c r="X15" s="1514">
        <v>6</v>
      </c>
      <c r="Y15" s="1514"/>
      <c r="Z15" s="1514"/>
      <c r="AA15" s="1514"/>
      <c r="AB15" s="1514"/>
      <c r="AC15" s="1514"/>
      <c r="AD15" s="1135"/>
      <c r="AE15" s="1135"/>
      <c r="AF15" s="1135"/>
      <c r="AG15" s="1135"/>
      <c r="AH15" s="1135"/>
      <c r="AI15" s="1135"/>
      <c r="AJ15" s="1135"/>
      <c r="AK15" s="1135"/>
      <c r="AL15" s="903">
        <v>6</v>
      </c>
      <c r="AM15" s="1132"/>
      <c r="AN15" s="1132"/>
      <c r="AO15" s="1132"/>
      <c r="AP15" s="1132"/>
      <c r="AQ15" s="1132"/>
      <c r="AR15" s="1132"/>
      <c r="AS15" s="1135"/>
      <c r="AT15" s="1135"/>
      <c r="AU15" s="1135"/>
      <c r="AV15" s="1135"/>
      <c r="AW15" s="1135"/>
      <c r="AX15" s="1135"/>
      <c r="AY15" s="1135"/>
      <c r="AZ15" s="1135"/>
      <c r="BA15" s="1339">
        <f t="shared" si="5"/>
        <v>120</v>
      </c>
      <c r="BB15" s="1339">
        <f t="shared" si="6"/>
        <v>100</v>
      </c>
      <c r="BC15" s="968">
        <v>4</v>
      </c>
      <c r="BD15" s="968"/>
      <c r="BE15" s="968"/>
      <c r="BF15" s="968"/>
      <c r="BG15" s="968"/>
      <c r="BH15" s="968"/>
      <c r="BI15" s="968"/>
      <c r="BJ15" s="968"/>
      <c r="BK15" s="968"/>
      <c r="BL15" s="968"/>
      <c r="BM15" s="968"/>
      <c r="BN15" s="968"/>
      <c r="BO15" s="968"/>
      <c r="BP15" s="968"/>
      <c r="BQ15" s="1337"/>
      <c r="BR15" s="1952"/>
      <c r="BS15" s="1334"/>
      <c r="BT15" s="817"/>
      <c r="BW15" s="478"/>
      <c r="CE15" s="1788"/>
    </row>
    <row r="16" spans="1:83" ht="21.95" hidden="1" customHeight="1">
      <c r="A16" s="837">
        <v>3</v>
      </c>
      <c r="B16" s="1472" t="s">
        <v>351</v>
      </c>
      <c r="C16" s="857" t="s">
        <v>352</v>
      </c>
      <c r="D16" s="1512"/>
      <c r="E16" s="1512"/>
      <c r="F16" s="1512"/>
      <c r="G16" s="1512"/>
      <c r="H16" s="1512"/>
      <c r="I16" s="1512"/>
      <c r="J16" s="1512"/>
      <c r="K16" s="1512"/>
      <c r="L16" s="1512"/>
      <c r="M16" s="1512"/>
      <c r="N16" s="1512"/>
      <c r="O16" s="1512"/>
      <c r="P16" s="1512"/>
      <c r="Q16" s="1512"/>
      <c r="R16" s="1512"/>
      <c r="S16" s="1512"/>
      <c r="T16" s="1512"/>
      <c r="U16" s="1512"/>
      <c r="V16" s="1512"/>
      <c r="W16" s="1512"/>
      <c r="X16" s="857"/>
      <c r="Y16" s="857"/>
      <c r="Z16" s="857"/>
      <c r="AA16" s="857"/>
      <c r="AB16" s="857"/>
      <c r="AC16" s="857"/>
      <c r="AD16" s="914"/>
      <c r="AE16" s="914"/>
      <c r="AF16" s="914"/>
      <c r="AG16" s="914"/>
      <c r="AH16" s="914"/>
      <c r="AI16" s="914"/>
      <c r="AJ16" s="914"/>
      <c r="AK16" s="914"/>
      <c r="AL16" s="1224"/>
      <c r="AM16" s="1680"/>
      <c r="AN16" s="1680"/>
      <c r="AO16" s="1680"/>
      <c r="AP16" s="1680"/>
      <c r="AQ16" s="1680"/>
      <c r="AR16" s="1680"/>
      <c r="AS16" s="914"/>
      <c r="AT16" s="914"/>
      <c r="AU16" s="914"/>
      <c r="AV16" s="914"/>
      <c r="AW16" s="914"/>
      <c r="AX16" s="914"/>
      <c r="AY16" s="914"/>
      <c r="AZ16" s="914"/>
      <c r="BA16" s="1339" t="e">
        <f t="shared" si="5"/>
        <v>#DIV/0!</v>
      </c>
      <c r="BB16" s="1339" t="e">
        <f t="shared" si="6"/>
        <v>#DIV/0!</v>
      </c>
      <c r="BC16" s="1313"/>
      <c r="BD16" s="1313"/>
      <c r="BE16" s="1313"/>
      <c r="BF16" s="1313"/>
      <c r="BG16" s="1313"/>
      <c r="BH16" s="1313"/>
      <c r="BI16" s="1313"/>
      <c r="BJ16" s="1313"/>
      <c r="BK16" s="1313"/>
      <c r="BL16" s="1313"/>
      <c r="BM16" s="1313"/>
      <c r="BN16" s="1313"/>
      <c r="BO16" s="1313"/>
      <c r="BP16" s="1313"/>
      <c r="BQ16" s="1337"/>
      <c r="BR16" s="1333"/>
      <c r="BS16" s="1334">
        <f t="shared" ref="BS16:BS23" si="12">W16-BR16</f>
        <v>0</v>
      </c>
      <c r="BT16" s="817"/>
      <c r="BW16" s="572"/>
    </row>
    <row r="17" spans="1:83" ht="21.95" hidden="1" customHeight="1">
      <c r="A17" s="837"/>
      <c r="B17" s="1472" t="s">
        <v>353</v>
      </c>
      <c r="C17" s="857" t="s">
        <v>352</v>
      </c>
      <c r="D17" s="1512"/>
      <c r="E17" s="1512"/>
      <c r="F17" s="1512"/>
      <c r="G17" s="1512"/>
      <c r="H17" s="1512"/>
      <c r="I17" s="1512"/>
      <c r="J17" s="1512"/>
      <c r="K17" s="1512"/>
      <c r="L17" s="1512"/>
      <c r="M17" s="1512"/>
      <c r="N17" s="1512"/>
      <c r="O17" s="1512"/>
      <c r="P17" s="1512"/>
      <c r="Q17" s="1512"/>
      <c r="R17" s="1512"/>
      <c r="S17" s="1512"/>
      <c r="T17" s="1512"/>
      <c r="U17" s="1512"/>
      <c r="V17" s="1512"/>
      <c r="W17" s="1512"/>
      <c r="X17" s="857"/>
      <c r="Y17" s="857"/>
      <c r="Z17" s="857"/>
      <c r="AA17" s="857"/>
      <c r="AB17" s="857"/>
      <c r="AC17" s="857"/>
      <c r="AD17" s="914"/>
      <c r="AE17" s="914"/>
      <c r="AF17" s="914"/>
      <c r="AG17" s="914"/>
      <c r="AH17" s="914"/>
      <c r="AI17" s="914"/>
      <c r="AJ17" s="914"/>
      <c r="AK17" s="914"/>
      <c r="AL17" s="1224"/>
      <c r="AM17" s="1680"/>
      <c r="AN17" s="1680"/>
      <c r="AO17" s="1680"/>
      <c r="AP17" s="1680"/>
      <c r="AQ17" s="1680"/>
      <c r="AR17" s="1680"/>
      <c r="AS17" s="914"/>
      <c r="AT17" s="914"/>
      <c r="AU17" s="914"/>
      <c r="AV17" s="914"/>
      <c r="AW17" s="914"/>
      <c r="AX17" s="914"/>
      <c r="AY17" s="914"/>
      <c r="AZ17" s="914"/>
      <c r="BA17" s="1339" t="e">
        <f t="shared" si="5"/>
        <v>#DIV/0!</v>
      </c>
      <c r="BB17" s="1339" t="e">
        <f t="shared" si="6"/>
        <v>#DIV/0!</v>
      </c>
      <c r="BC17" s="1313"/>
      <c r="BD17" s="1313"/>
      <c r="BE17" s="1313"/>
      <c r="BF17" s="1313"/>
      <c r="BG17" s="1313"/>
      <c r="BH17" s="1313"/>
      <c r="BI17" s="1313"/>
      <c r="BJ17" s="1313"/>
      <c r="BK17" s="1313"/>
      <c r="BL17" s="1313"/>
      <c r="BM17" s="1313"/>
      <c r="BN17" s="1313"/>
      <c r="BO17" s="1313"/>
      <c r="BP17" s="1313"/>
      <c r="BQ17" s="1337"/>
      <c r="BR17" s="1333"/>
      <c r="BS17" s="1334">
        <f t="shared" si="12"/>
        <v>0</v>
      </c>
      <c r="BT17" s="817"/>
      <c r="BW17" s="572"/>
    </row>
    <row r="18" spans="1:83" ht="21.95" customHeight="1">
      <c r="A18" s="837">
        <v>3</v>
      </c>
      <c r="B18" s="1472" t="s">
        <v>989</v>
      </c>
      <c r="C18" s="857" t="s">
        <v>352</v>
      </c>
      <c r="D18" s="1452">
        <v>150</v>
      </c>
      <c r="E18" s="1452">
        <f>SUM(BC18:BP18)</f>
        <v>150</v>
      </c>
      <c r="F18" s="1452">
        <v>150</v>
      </c>
      <c r="G18" s="1452">
        <f>+G19+G20</f>
        <v>150</v>
      </c>
      <c r="H18" s="1452">
        <f>SUM(I18:V18)</f>
        <v>150</v>
      </c>
      <c r="I18" s="1514">
        <v>120</v>
      </c>
      <c r="J18" s="1514"/>
      <c r="K18" s="1514"/>
      <c r="L18" s="1514"/>
      <c r="M18" s="1514">
        <v>15</v>
      </c>
      <c r="N18" s="1514"/>
      <c r="O18" s="1514"/>
      <c r="P18" s="1514"/>
      <c r="Q18" s="1514"/>
      <c r="R18" s="1514"/>
      <c r="S18" s="1514">
        <v>15</v>
      </c>
      <c r="T18" s="1514"/>
      <c r="U18" s="1514"/>
      <c r="V18" s="1514"/>
      <c r="W18" s="1452">
        <f>SUM(X18:AK18)</f>
        <v>150</v>
      </c>
      <c r="X18" s="1514">
        <v>120</v>
      </c>
      <c r="Y18" s="1514"/>
      <c r="Z18" s="1514"/>
      <c r="AA18" s="1514"/>
      <c r="AB18" s="1514">
        <v>15</v>
      </c>
      <c r="AC18" s="1514"/>
      <c r="AD18" s="1135"/>
      <c r="AE18" s="1135"/>
      <c r="AF18" s="1135"/>
      <c r="AG18" s="1135"/>
      <c r="AH18" s="1135">
        <v>15</v>
      </c>
      <c r="AI18" s="1135"/>
      <c r="AJ18" s="1135"/>
      <c r="AK18" s="1135"/>
      <c r="AL18" s="903">
        <v>150</v>
      </c>
      <c r="AM18" s="1132"/>
      <c r="AN18" s="1132"/>
      <c r="AO18" s="1132"/>
      <c r="AP18" s="1132"/>
      <c r="AQ18" s="1132"/>
      <c r="AR18" s="1132"/>
      <c r="AS18" s="1135"/>
      <c r="AT18" s="1135"/>
      <c r="AU18" s="1135"/>
      <c r="AV18" s="1135"/>
      <c r="AW18" s="1135"/>
      <c r="AX18" s="1135"/>
      <c r="AY18" s="1135"/>
      <c r="AZ18" s="1135"/>
      <c r="BA18" s="1339">
        <f t="shared" si="5"/>
        <v>100</v>
      </c>
      <c r="BB18" s="1339">
        <f t="shared" si="6"/>
        <v>100</v>
      </c>
      <c r="BC18" s="1313">
        <f>BC19+BC20</f>
        <v>120</v>
      </c>
      <c r="BD18" s="1313"/>
      <c r="BE18" s="1313"/>
      <c r="BF18" s="1313"/>
      <c r="BG18" s="1313">
        <f t="shared" ref="BG18" si="13">BG19+BG20</f>
        <v>15</v>
      </c>
      <c r="BH18" s="1313"/>
      <c r="BI18" s="1313"/>
      <c r="BJ18" s="1313"/>
      <c r="BK18" s="1313"/>
      <c r="BL18" s="1313"/>
      <c r="BM18" s="1313">
        <f t="shared" ref="BM18" si="14">BM19+BM20</f>
        <v>15</v>
      </c>
      <c r="BN18" s="1313"/>
      <c r="BO18" s="1313"/>
      <c r="BP18" s="1313"/>
      <c r="BQ18" s="1337"/>
      <c r="BR18" s="1333">
        <v>150</v>
      </c>
      <c r="BS18" s="1334">
        <f t="shared" si="12"/>
        <v>0</v>
      </c>
      <c r="BT18" s="817"/>
      <c r="BW18" s="478"/>
    </row>
    <row r="19" spans="1:83" s="574" customFormat="1" ht="36" customHeight="1">
      <c r="A19" s="1782"/>
      <c r="B19" s="858" t="s">
        <v>990</v>
      </c>
      <c r="C19" s="857" t="s">
        <v>352</v>
      </c>
      <c r="D19" s="1452">
        <v>120</v>
      </c>
      <c r="E19" s="1452">
        <f>SUM(BC19:BP19)</f>
        <v>120</v>
      </c>
      <c r="F19" s="1452">
        <v>120</v>
      </c>
      <c r="G19" s="1452">
        <v>120</v>
      </c>
      <c r="H19" s="1452">
        <f>SUM(I19:V19)</f>
        <v>120</v>
      </c>
      <c r="I19" s="1514">
        <v>120</v>
      </c>
      <c r="J19" s="1514"/>
      <c r="K19" s="1514"/>
      <c r="L19" s="1514"/>
      <c r="M19" s="1514"/>
      <c r="N19" s="1514"/>
      <c r="O19" s="1514"/>
      <c r="P19" s="1514"/>
      <c r="Q19" s="1514"/>
      <c r="R19" s="1514"/>
      <c r="S19" s="1514"/>
      <c r="T19" s="1514"/>
      <c r="U19" s="1514"/>
      <c r="V19" s="1514"/>
      <c r="W19" s="1452">
        <f>SUM(X19:AK19)</f>
        <v>120</v>
      </c>
      <c r="X19" s="1514">
        <v>120</v>
      </c>
      <c r="Y19" s="1514"/>
      <c r="Z19" s="1514"/>
      <c r="AA19" s="1514"/>
      <c r="AB19" s="1514"/>
      <c r="AC19" s="1514"/>
      <c r="AD19" s="1135"/>
      <c r="AE19" s="1135"/>
      <c r="AF19" s="1135"/>
      <c r="AG19" s="1135"/>
      <c r="AH19" s="1135"/>
      <c r="AI19" s="1135"/>
      <c r="AJ19" s="1135"/>
      <c r="AK19" s="1135"/>
      <c r="AL19" s="903">
        <v>120</v>
      </c>
      <c r="AM19" s="1132"/>
      <c r="AN19" s="1132"/>
      <c r="AO19" s="1132"/>
      <c r="AP19" s="1132"/>
      <c r="AQ19" s="1132"/>
      <c r="AR19" s="1132"/>
      <c r="AS19" s="1135"/>
      <c r="AT19" s="1135"/>
      <c r="AU19" s="1135"/>
      <c r="AV19" s="1135"/>
      <c r="AW19" s="1135"/>
      <c r="AX19" s="1135"/>
      <c r="AY19" s="1135"/>
      <c r="AZ19" s="1135"/>
      <c r="BA19" s="1339">
        <f t="shared" si="5"/>
        <v>100</v>
      </c>
      <c r="BB19" s="1339">
        <f t="shared" si="6"/>
        <v>100</v>
      </c>
      <c r="BC19" s="1313">
        <v>120</v>
      </c>
      <c r="BD19" s="1313"/>
      <c r="BE19" s="1313"/>
      <c r="BF19" s="1313"/>
      <c r="BG19" s="1313"/>
      <c r="BH19" s="1313"/>
      <c r="BI19" s="1313"/>
      <c r="BJ19" s="1313"/>
      <c r="BK19" s="1313"/>
      <c r="BL19" s="1313"/>
      <c r="BM19" s="1313"/>
      <c r="BN19" s="1313"/>
      <c r="BO19" s="1313"/>
      <c r="BP19" s="1313"/>
      <c r="BQ19" s="1337"/>
      <c r="BR19" s="1333">
        <v>120</v>
      </c>
      <c r="BS19" s="1334">
        <f t="shared" si="12"/>
        <v>0</v>
      </c>
      <c r="BT19" s="817"/>
      <c r="BW19" s="478"/>
      <c r="CE19" s="1332"/>
    </row>
    <row r="20" spans="1:83" s="574" customFormat="1" ht="36" customHeight="1">
      <c r="A20" s="1782"/>
      <c r="B20" s="858" t="s">
        <v>991</v>
      </c>
      <c r="C20" s="857" t="s">
        <v>352</v>
      </c>
      <c r="D20" s="1512">
        <v>30</v>
      </c>
      <c r="E20" s="1512">
        <f>SUM(BC20:BP20)</f>
        <v>30</v>
      </c>
      <c r="F20" s="1512">
        <v>30</v>
      </c>
      <c r="G20" s="1512">
        <v>30</v>
      </c>
      <c r="H20" s="1452">
        <f>SUM(I20:V20)</f>
        <v>30</v>
      </c>
      <c r="I20" s="857"/>
      <c r="J20" s="857"/>
      <c r="K20" s="857"/>
      <c r="L20" s="857"/>
      <c r="M20" s="1512">
        <v>15</v>
      </c>
      <c r="N20" s="857"/>
      <c r="O20" s="857"/>
      <c r="P20" s="857"/>
      <c r="Q20" s="857"/>
      <c r="R20" s="857"/>
      <c r="S20" s="1512">
        <v>15</v>
      </c>
      <c r="T20" s="857"/>
      <c r="U20" s="857"/>
      <c r="V20" s="857"/>
      <c r="W20" s="1452">
        <f>SUM(X20:AK20)</f>
        <v>30</v>
      </c>
      <c r="X20" s="857"/>
      <c r="Y20" s="857"/>
      <c r="Z20" s="857"/>
      <c r="AA20" s="857"/>
      <c r="AB20" s="1512">
        <v>15</v>
      </c>
      <c r="AC20" s="857"/>
      <c r="AD20" s="914"/>
      <c r="AE20" s="914"/>
      <c r="AF20" s="914"/>
      <c r="AG20" s="914"/>
      <c r="AH20" s="1313">
        <v>15</v>
      </c>
      <c r="AI20" s="914"/>
      <c r="AJ20" s="914"/>
      <c r="AK20" s="914"/>
      <c r="AL20" s="903">
        <v>30</v>
      </c>
      <c r="AM20" s="1782"/>
      <c r="AN20" s="1782"/>
      <c r="AO20" s="1782"/>
      <c r="AP20" s="1782"/>
      <c r="AQ20" s="1224"/>
      <c r="AR20" s="1782"/>
      <c r="AS20" s="914"/>
      <c r="AT20" s="914"/>
      <c r="AU20" s="914"/>
      <c r="AV20" s="914"/>
      <c r="AW20" s="1313"/>
      <c r="AX20" s="914"/>
      <c r="AY20" s="914"/>
      <c r="AZ20" s="914"/>
      <c r="BA20" s="1339">
        <f t="shared" si="5"/>
        <v>100</v>
      </c>
      <c r="BB20" s="1339">
        <f t="shared" si="6"/>
        <v>100</v>
      </c>
      <c r="BC20" s="1313"/>
      <c r="BD20" s="1313"/>
      <c r="BE20" s="1313"/>
      <c r="BF20" s="1313"/>
      <c r="BG20" s="1313">
        <v>15</v>
      </c>
      <c r="BH20" s="1313"/>
      <c r="BI20" s="1313"/>
      <c r="BJ20" s="1313"/>
      <c r="BK20" s="1313"/>
      <c r="BL20" s="1313"/>
      <c r="BM20" s="1313">
        <v>15</v>
      </c>
      <c r="BN20" s="1313"/>
      <c r="BO20" s="1313"/>
      <c r="BP20" s="1313"/>
      <c r="BQ20" s="1337"/>
      <c r="BR20" s="1333">
        <v>30</v>
      </c>
      <c r="BS20" s="1334">
        <f t="shared" si="12"/>
        <v>0</v>
      </c>
      <c r="BT20" s="817"/>
      <c r="BW20" s="478"/>
      <c r="CE20" s="1332"/>
    </row>
    <row r="21" spans="1:83" ht="36" customHeight="1">
      <c r="A21" s="837">
        <v>4</v>
      </c>
      <c r="B21" s="1472" t="s">
        <v>354</v>
      </c>
      <c r="C21" s="857" t="s">
        <v>352</v>
      </c>
      <c r="D21" s="1517">
        <v>31.25</v>
      </c>
      <c r="E21" s="1517">
        <f>E18/4.9476</f>
        <v>30.317729808391945</v>
      </c>
      <c r="F21" s="1517">
        <f t="shared" ref="F21" si="15">F18/4.9476</f>
        <v>30.317729808391945</v>
      </c>
      <c r="G21" s="1518">
        <f>G18/4.9476</f>
        <v>30.317729808391945</v>
      </c>
      <c r="H21" s="1519">
        <f>H18/'B8. DS-GD&amp;TE '!H9*10000</f>
        <v>30.317729808391949</v>
      </c>
      <c r="I21" s="1520"/>
      <c r="J21" s="1520"/>
      <c r="K21" s="1520"/>
      <c r="L21" s="1520"/>
      <c r="M21" s="1520"/>
      <c r="N21" s="1520"/>
      <c r="O21" s="1520"/>
      <c r="P21" s="1520"/>
      <c r="Q21" s="1520"/>
      <c r="R21" s="1520"/>
      <c r="S21" s="1520"/>
      <c r="T21" s="1520"/>
      <c r="U21" s="1520"/>
      <c r="V21" s="1520"/>
      <c r="W21" s="1519">
        <f>W18/'B8. DS-GD&amp;TE '!W9*10000</f>
        <v>29.946097025354362</v>
      </c>
      <c r="X21" s="1520"/>
      <c r="Y21" s="1520"/>
      <c r="Z21" s="1520"/>
      <c r="AA21" s="1520"/>
      <c r="AB21" s="1520"/>
      <c r="AC21" s="1520"/>
      <c r="AD21" s="1314"/>
      <c r="AE21" s="1314"/>
      <c r="AF21" s="1314"/>
      <c r="AG21" s="1314"/>
      <c r="AH21" s="1314"/>
      <c r="AI21" s="1314"/>
      <c r="AJ21" s="1314"/>
      <c r="AK21" s="1314"/>
      <c r="AL21" s="1690">
        <f>AL18/50090*10000</f>
        <v>29.946097025354362</v>
      </c>
      <c r="AM21" s="1691"/>
      <c r="AN21" s="1691"/>
      <c r="AO21" s="1691"/>
      <c r="AP21" s="1691"/>
      <c r="AQ21" s="1691"/>
      <c r="AR21" s="1691"/>
      <c r="AS21" s="1314"/>
      <c r="AT21" s="1314"/>
      <c r="AU21" s="1314"/>
      <c r="AV21" s="1314"/>
      <c r="AW21" s="1314"/>
      <c r="AX21" s="1314"/>
      <c r="AY21" s="1314"/>
      <c r="AZ21" s="1314"/>
      <c r="BA21" s="1339">
        <f t="shared" si="5"/>
        <v>98.774206428428826</v>
      </c>
      <c r="BB21" s="1339">
        <f t="shared" si="6"/>
        <v>100</v>
      </c>
      <c r="BC21" s="968"/>
      <c r="BD21" s="968"/>
      <c r="BE21" s="968"/>
      <c r="BF21" s="968"/>
      <c r="BG21" s="968"/>
      <c r="BH21" s="968"/>
      <c r="BI21" s="968"/>
      <c r="BJ21" s="968"/>
      <c r="BK21" s="968"/>
      <c r="BL21" s="968"/>
      <c r="BM21" s="968"/>
      <c r="BN21" s="968"/>
      <c r="BO21" s="968"/>
      <c r="BP21" s="968"/>
      <c r="BQ21" s="1337"/>
      <c r="BR21" s="1343">
        <v>29.95</v>
      </c>
      <c r="BS21" s="1334">
        <f t="shared" si="12"/>
        <v>-3.9029746456371583E-3</v>
      </c>
      <c r="BT21" s="817"/>
      <c r="BV21" s="478"/>
      <c r="BW21" s="572"/>
    </row>
    <row r="22" spans="1:83" s="573" customFormat="1" ht="24" hidden="1" customHeight="1">
      <c r="A22" s="846"/>
      <c r="B22" s="971" t="s">
        <v>355</v>
      </c>
      <c r="C22" s="970" t="s">
        <v>356</v>
      </c>
      <c r="D22" s="1452"/>
      <c r="E22" s="1452"/>
      <c r="F22" s="1452"/>
      <c r="G22" s="1452"/>
      <c r="H22" s="1452"/>
      <c r="I22" s="1452"/>
      <c r="J22" s="1452"/>
      <c r="K22" s="1452"/>
      <c r="L22" s="1452"/>
      <c r="M22" s="1452"/>
      <c r="N22" s="1452"/>
      <c r="O22" s="1452"/>
      <c r="P22" s="1452"/>
      <c r="Q22" s="1452"/>
      <c r="R22" s="1452"/>
      <c r="S22" s="1452"/>
      <c r="T22" s="1452"/>
      <c r="U22" s="1452"/>
      <c r="V22" s="1452"/>
      <c r="W22" s="1452"/>
      <c r="X22" s="1514"/>
      <c r="Y22" s="1514"/>
      <c r="Z22" s="1514"/>
      <c r="AA22" s="1514"/>
      <c r="AB22" s="1514"/>
      <c r="AC22" s="1514"/>
      <c r="AD22" s="1135"/>
      <c r="AE22" s="1135"/>
      <c r="AF22" s="1135"/>
      <c r="AG22" s="1135"/>
      <c r="AH22" s="1135"/>
      <c r="AI22" s="1135"/>
      <c r="AJ22" s="1135"/>
      <c r="AK22" s="1135"/>
      <c r="AL22" s="1452"/>
      <c r="AM22" s="1514"/>
      <c r="AN22" s="1514"/>
      <c r="AO22" s="1514"/>
      <c r="AP22" s="1514"/>
      <c r="AQ22" s="1514"/>
      <c r="AR22" s="1514"/>
      <c r="AS22" s="1135"/>
      <c r="AT22" s="1135"/>
      <c r="AU22" s="1135"/>
      <c r="AV22" s="1135"/>
      <c r="AW22" s="1135"/>
      <c r="AX22" s="1135"/>
      <c r="AY22" s="1135"/>
      <c r="AZ22" s="1135"/>
      <c r="BA22" s="1339" t="e">
        <f t="shared" si="5"/>
        <v>#DIV/0!</v>
      </c>
      <c r="BB22" s="1339" t="e">
        <f t="shared" si="6"/>
        <v>#DIV/0!</v>
      </c>
      <c r="BC22" s="968"/>
      <c r="BD22" s="968"/>
      <c r="BE22" s="968"/>
      <c r="BF22" s="968"/>
      <c r="BG22" s="968"/>
      <c r="BH22" s="968"/>
      <c r="BI22" s="968"/>
      <c r="BJ22" s="968"/>
      <c r="BK22" s="968"/>
      <c r="BL22" s="968"/>
      <c r="BM22" s="968"/>
      <c r="BN22" s="968"/>
      <c r="BO22" s="968"/>
      <c r="BP22" s="968"/>
      <c r="BQ22" s="1324"/>
      <c r="BR22" s="1344"/>
      <c r="BS22" s="1334">
        <f t="shared" si="12"/>
        <v>0</v>
      </c>
      <c r="BT22" s="1341"/>
      <c r="BV22" s="572"/>
      <c r="BW22" s="572"/>
      <c r="CE22" s="575"/>
    </row>
    <row r="23" spans="1:83" s="573" customFormat="1" ht="24.6" hidden="1" customHeight="1">
      <c r="A23" s="846"/>
      <c r="B23" s="971" t="s">
        <v>657</v>
      </c>
      <c r="C23" s="970" t="s">
        <v>356</v>
      </c>
      <c r="D23" s="1452"/>
      <c r="E23" s="1452"/>
      <c r="F23" s="1452"/>
      <c r="G23" s="1452"/>
      <c r="H23" s="1452"/>
      <c r="I23" s="1452"/>
      <c r="J23" s="1452"/>
      <c r="K23" s="1452"/>
      <c r="L23" s="1452"/>
      <c r="M23" s="1452"/>
      <c r="N23" s="1452"/>
      <c r="O23" s="1452"/>
      <c r="P23" s="1452"/>
      <c r="Q23" s="1452"/>
      <c r="R23" s="1452"/>
      <c r="S23" s="1452"/>
      <c r="T23" s="1452"/>
      <c r="U23" s="1452"/>
      <c r="V23" s="1452"/>
      <c r="W23" s="1452"/>
      <c r="X23" s="1514"/>
      <c r="Y23" s="1514"/>
      <c r="Z23" s="1514"/>
      <c r="AA23" s="1514"/>
      <c r="AB23" s="1514"/>
      <c r="AC23" s="1514"/>
      <c r="AD23" s="1135"/>
      <c r="AE23" s="1135"/>
      <c r="AF23" s="1135"/>
      <c r="AG23" s="1135"/>
      <c r="AH23" s="1135"/>
      <c r="AI23" s="1135"/>
      <c r="AJ23" s="1135"/>
      <c r="AK23" s="1135"/>
      <c r="AL23" s="1452"/>
      <c r="AM23" s="1514"/>
      <c r="AN23" s="1514"/>
      <c r="AO23" s="1514"/>
      <c r="AP23" s="1514"/>
      <c r="AQ23" s="1514"/>
      <c r="AR23" s="1514"/>
      <c r="AS23" s="1135"/>
      <c r="AT23" s="1135"/>
      <c r="AU23" s="1135"/>
      <c r="AV23" s="1135"/>
      <c r="AW23" s="1135"/>
      <c r="AX23" s="1135"/>
      <c r="AY23" s="1135"/>
      <c r="AZ23" s="1135"/>
      <c r="BA23" s="1339" t="e">
        <f t="shared" si="5"/>
        <v>#DIV/0!</v>
      </c>
      <c r="BB23" s="1339" t="e">
        <f t="shared" si="6"/>
        <v>#DIV/0!</v>
      </c>
      <c r="BC23" s="968"/>
      <c r="BD23" s="968"/>
      <c r="BE23" s="968"/>
      <c r="BF23" s="968"/>
      <c r="BG23" s="968"/>
      <c r="BH23" s="968"/>
      <c r="BI23" s="968"/>
      <c r="BJ23" s="968"/>
      <c r="BK23" s="968"/>
      <c r="BL23" s="968"/>
      <c r="BM23" s="968"/>
      <c r="BN23" s="968"/>
      <c r="BO23" s="968"/>
      <c r="BP23" s="968"/>
      <c r="BQ23" s="1324"/>
      <c r="BR23" s="1344"/>
      <c r="BS23" s="1334">
        <f t="shared" si="12"/>
        <v>0</v>
      </c>
      <c r="BT23" s="1341"/>
      <c r="BW23" s="572"/>
      <c r="CE23" s="575"/>
    </row>
    <row r="24" spans="1:83" ht="21.95" customHeight="1">
      <c r="A24" s="834" t="s">
        <v>100</v>
      </c>
      <c r="B24" s="1018" t="s">
        <v>357</v>
      </c>
      <c r="C24" s="1017"/>
      <c r="D24" s="1452"/>
      <c r="E24" s="1452"/>
      <c r="F24" s="1452"/>
      <c r="G24" s="1452"/>
      <c r="H24" s="1452"/>
      <c r="I24" s="1452"/>
      <c r="J24" s="1452"/>
      <c r="K24" s="1452"/>
      <c r="L24" s="1452"/>
      <c r="M24" s="1452"/>
      <c r="N24" s="1452"/>
      <c r="O24" s="1452"/>
      <c r="P24" s="1452"/>
      <c r="Q24" s="1452"/>
      <c r="R24" s="1452"/>
      <c r="S24" s="1452"/>
      <c r="T24" s="1452"/>
      <c r="U24" s="1452"/>
      <c r="V24" s="1452"/>
      <c r="W24" s="1452"/>
      <c r="X24" s="1514"/>
      <c r="Y24" s="1514"/>
      <c r="Z24" s="1514"/>
      <c r="AA24" s="1514"/>
      <c r="AB24" s="1514"/>
      <c r="AC24" s="1514"/>
      <c r="AD24" s="1135"/>
      <c r="AE24" s="1135"/>
      <c r="AF24" s="1135"/>
      <c r="AG24" s="1135"/>
      <c r="AH24" s="1135"/>
      <c r="AI24" s="1135"/>
      <c r="AJ24" s="1135"/>
      <c r="AK24" s="1135"/>
      <c r="AL24" s="1452"/>
      <c r="AM24" s="1514"/>
      <c r="AN24" s="1514"/>
      <c r="AO24" s="1514"/>
      <c r="AP24" s="1514"/>
      <c r="AQ24" s="1514"/>
      <c r="AR24" s="1514"/>
      <c r="AS24" s="1135"/>
      <c r="AT24" s="1135"/>
      <c r="AU24" s="1135"/>
      <c r="AV24" s="1135"/>
      <c r="AW24" s="1135"/>
      <c r="AX24" s="1135"/>
      <c r="AY24" s="1135"/>
      <c r="AZ24" s="1135"/>
      <c r="BA24" s="1339"/>
      <c r="BB24" s="1339"/>
      <c r="BC24" s="968"/>
      <c r="BD24" s="968"/>
      <c r="BE24" s="968"/>
      <c r="BF24" s="968"/>
      <c r="BG24" s="968"/>
      <c r="BH24" s="968"/>
      <c r="BI24" s="968"/>
      <c r="BJ24" s="968"/>
      <c r="BK24" s="968"/>
      <c r="BL24" s="968"/>
      <c r="BM24" s="968"/>
      <c r="BN24" s="968"/>
      <c r="BO24" s="968"/>
      <c r="BP24" s="968"/>
      <c r="BQ24" s="1337"/>
      <c r="BR24" s="1333"/>
      <c r="BS24" s="1334"/>
      <c r="BT24" s="817"/>
      <c r="BW24" s="572"/>
    </row>
    <row r="25" spans="1:83" ht="21.95" customHeight="1">
      <c r="A25" s="837">
        <v>1</v>
      </c>
      <c r="B25" s="1472" t="s">
        <v>358</v>
      </c>
      <c r="C25" s="857" t="s">
        <v>49</v>
      </c>
      <c r="D25" s="1452">
        <v>219</v>
      </c>
      <c r="E25" s="1452">
        <f>SUM(BC25:BP25)</f>
        <v>243</v>
      </c>
      <c r="F25" s="1452">
        <v>215</v>
      </c>
      <c r="G25" s="1521">
        <v>214</v>
      </c>
      <c r="H25" s="1522">
        <f>SUM(I25:V25)</f>
        <v>250</v>
      </c>
      <c r="I25" s="1452">
        <v>163</v>
      </c>
      <c r="J25" s="1512">
        <v>6</v>
      </c>
      <c r="K25" s="1512">
        <v>6</v>
      </c>
      <c r="L25" s="1512">
        <v>6</v>
      </c>
      <c r="M25" s="1512">
        <v>11</v>
      </c>
      <c r="N25" s="1512">
        <v>6</v>
      </c>
      <c r="O25" s="1512">
        <v>6</v>
      </c>
      <c r="P25" s="1512">
        <v>6</v>
      </c>
      <c r="Q25" s="1512">
        <v>6</v>
      </c>
      <c r="R25" s="1512">
        <v>6</v>
      </c>
      <c r="S25" s="1512">
        <v>10</v>
      </c>
      <c r="T25" s="1512">
        <v>6</v>
      </c>
      <c r="U25" s="1512">
        <v>6</v>
      </c>
      <c r="V25" s="1512">
        <v>6</v>
      </c>
      <c r="W25" s="1522">
        <f>SUM(X25:AK25)</f>
        <v>250</v>
      </c>
      <c r="X25" s="1452">
        <v>163</v>
      </c>
      <c r="Y25" s="1512">
        <v>6</v>
      </c>
      <c r="Z25" s="1512">
        <v>6</v>
      </c>
      <c r="AA25" s="1512">
        <v>6</v>
      </c>
      <c r="AB25" s="1512">
        <v>11</v>
      </c>
      <c r="AC25" s="1512">
        <v>6</v>
      </c>
      <c r="AD25" s="1313">
        <v>6</v>
      </c>
      <c r="AE25" s="1313">
        <v>6</v>
      </c>
      <c r="AF25" s="1313">
        <v>6</v>
      </c>
      <c r="AG25" s="1313">
        <v>6</v>
      </c>
      <c r="AH25" s="1313">
        <v>10</v>
      </c>
      <c r="AI25" s="1313">
        <v>6</v>
      </c>
      <c r="AJ25" s="1313">
        <v>6</v>
      </c>
      <c r="AK25" s="1313">
        <v>6</v>
      </c>
      <c r="AL25" s="1692">
        <f>SUM(AM25:AZ25)</f>
        <v>239</v>
      </c>
      <c r="AM25" s="1693">
        <v>151</v>
      </c>
      <c r="AN25" s="1694">
        <v>6</v>
      </c>
      <c r="AO25" s="1694">
        <v>6</v>
      </c>
      <c r="AP25" s="1694">
        <v>6</v>
      </c>
      <c r="AQ25" s="1694">
        <v>12</v>
      </c>
      <c r="AR25" s="1694">
        <v>6</v>
      </c>
      <c r="AS25" s="1694">
        <v>6</v>
      </c>
      <c r="AT25" s="1694">
        <v>6</v>
      </c>
      <c r="AU25" s="1694">
        <v>6</v>
      </c>
      <c r="AV25" s="1694">
        <v>6</v>
      </c>
      <c r="AW25" s="1694">
        <v>10</v>
      </c>
      <c r="AX25" s="1694">
        <v>6</v>
      </c>
      <c r="AY25" s="1694">
        <v>6</v>
      </c>
      <c r="AZ25" s="1694">
        <v>6</v>
      </c>
      <c r="BA25" s="1339">
        <f t="shared" si="5"/>
        <v>111.16279069767442</v>
      </c>
      <c r="BB25" s="1339">
        <f t="shared" si="6"/>
        <v>95.6</v>
      </c>
      <c r="BC25" s="890">
        <v>147</v>
      </c>
      <c r="BD25" s="890">
        <v>6</v>
      </c>
      <c r="BE25" s="890">
        <v>6</v>
      </c>
      <c r="BF25" s="890">
        <v>6</v>
      </c>
      <c r="BG25" s="890">
        <v>14</v>
      </c>
      <c r="BH25" s="890">
        <v>6</v>
      </c>
      <c r="BI25" s="890">
        <v>6</v>
      </c>
      <c r="BJ25" s="890">
        <v>6</v>
      </c>
      <c r="BK25" s="890">
        <v>6</v>
      </c>
      <c r="BL25" s="890">
        <v>6</v>
      </c>
      <c r="BM25" s="890">
        <v>15</v>
      </c>
      <c r="BN25" s="890">
        <v>6</v>
      </c>
      <c r="BO25" s="890">
        <v>6</v>
      </c>
      <c r="BP25" s="890">
        <v>7</v>
      </c>
      <c r="BQ25" s="1337"/>
      <c r="BR25" s="1333">
        <v>250</v>
      </c>
      <c r="BS25" s="1334">
        <f t="shared" ref="BS25:BS36" si="16">W25-BR25</f>
        <v>0</v>
      </c>
      <c r="BT25" s="817"/>
      <c r="BW25" s="572"/>
    </row>
    <row r="26" spans="1:83" ht="21.95" customHeight="1">
      <c r="A26" s="837"/>
      <c r="B26" s="1472" t="s">
        <v>359</v>
      </c>
      <c r="C26" s="857"/>
      <c r="D26" s="1523"/>
      <c r="E26" s="1523"/>
      <c r="F26" s="1523"/>
      <c r="G26" s="1523"/>
      <c r="H26" s="1523"/>
      <c r="I26" s="1523"/>
      <c r="J26" s="1523"/>
      <c r="K26" s="1523"/>
      <c r="L26" s="1523"/>
      <c r="M26" s="1523"/>
      <c r="N26" s="1523"/>
      <c r="O26" s="1523"/>
      <c r="P26" s="1523"/>
      <c r="Q26" s="1523"/>
      <c r="R26" s="1523"/>
      <c r="S26" s="1523"/>
      <c r="T26" s="1523"/>
      <c r="U26" s="1523"/>
      <c r="V26" s="1523"/>
      <c r="W26" s="1523"/>
      <c r="X26" s="888"/>
      <c r="Y26" s="888"/>
      <c r="Z26" s="888"/>
      <c r="AA26" s="888"/>
      <c r="AB26" s="888"/>
      <c r="AC26" s="888"/>
      <c r="AD26" s="1316"/>
      <c r="AE26" s="1316"/>
      <c r="AF26" s="1316"/>
      <c r="AG26" s="1316"/>
      <c r="AH26" s="1316"/>
      <c r="AI26" s="1316"/>
      <c r="AJ26" s="1316"/>
      <c r="AK26" s="1316"/>
      <c r="AL26" s="1053"/>
      <c r="AM26" s="1695"/>
      <c r="AN26" s="1695"/>
      <c r="AO26" s="1695"/>
      <c r="AP26" s="1695"/>
      <c r="AQ26" s="1695"/>
      <c r="AR26" s="1695"/>
      <c r="AS26" s="1695"/>
      <c r="AT26" s="1695"/>
      <c r="AU26" s="1695"/>
      <c r="AV26" s="1695"/>
      <c r="AW26" s="1695"/>
      <c r="AX26" s="1695"/>
      <c r="AY26" s="1695"/>
      <c r="AZ26" s="1695"/>
      <c r="BA26" s="1339"/>
      <c r="BB26" s="1339"/>
      <c r="BC26" s="1317"/>
      <c r="BD26" s="1317"/>
      <c r="BE26" s="1317"/>
      <c r="BF26" s="1317"/>
      <c r="BG26" s="1317"/>
      <c r="BH26" s="1317"/>
      <c r="BI26" s="1317"/>
      <c r="BJ26" s="1317"/>
      <c r="BK26" s="1317"/>
      <c r="BL26" s="1317"/>
      <c r="BM26" s="1317"/>
      <c r="BN26" s="1317"/>
      <c r="BO26" s="1317"/>
      <c r="BP26" s="1317"/>
      <c r="BQ26" s="1337"/>
      <c r="BR26" s="1333"/>
      <c r="BS26" s="1334">
        <f t="shared" si="16"/>
        <v>0</v>
      </c>
      <c r="BT26" s="817"/>
      <c r="BW26" s="572"/>
    </row>
    <row r="27" spans="1:83" ht="21.95" customHeight="1">
      <c r="A27" s="837" t="s">
        <v>360</v>
      </c>
      <c r="B27" s="1472" t="s">
        <v>361</v>
      </c>
      <c r="C27" s="857" t="s">
        <v>49</v>
      </c>
      <c r="D27" s="1524">
        <v>53</v>
      </c>
      <c r="E27" s="1524">
        <f>SUM(BC27:BP27)</f>
        <v>49</v>
      </c>
      <c r="F27" s="1525">
        <v>51</v>
      </c>
      <c r="G27" s="1525">
        <v>50</v>
      </c>
      <c r="H27" s="1522">
        <f>SUM(I27:V27)</f>
        <v>54</v>
      </c>
      <c r="I27" s="1526">
        <v>43</v>
      </c>
      <c r="J27" s="1522">
        <v>1</v>
      </c>
      <c r="K27" s="1526">
        <v>1</v>
      </c>
      <c r="L27" s="1522">
        <v>1</v>
      </c>
      <c r="M27" s="1526">
        <v>1</v>
      </c>
      <c r="N27" s="1522">
        <v>1</v>
      </c>
      <c r="O27" s="1526">
        <v>1</v>
      </c>
      <c r="P27" s="1522">
        <v>1</v>
      </c>
      <c r="Q27" s="1526">
        <v>1</v>
      </c>
      <c r="R27" s="1522">
        <v>1</v>
      </c>
      <c r="S27" s="1526">
        <v>1</v>
      </c>
      <c r="T27" s="1522"/>
      <c r="U27" s="1526">
        <v>0</v>
      </c>
      <c r="V27" s="1522">
        <v>1</v>
      </c>
      <c r="W27" s="1522">
        <f>SUM(X27:AK27)</f>
        <v>56</v>
      </c>
      <c r="X27" s="1526">
        <v>42</v>
      </c>
      <c r="Y27" s="1526">
        <v>1</v>
      </c>
      <c r="Z27" s="1526">
        <v>1</v>
      </c>
      <c r="AA27" s="1526">
        <v>1</v>
      </c>
      <c r="AB27" s="1526">
        <v>3</v>
      </c>
      <c r="AC27" s="1526">
        <v>1</v>
      </c>
      <c r="AD27" s="966">
        <v>2</v>
      </c>
      <c r="AE27" s="966">
        <v>1</v>
      </c>
      <c r="AF27" s="966">
        <v>1</v>
      </c>
      <c r="AG27" s="966">
        <v>1</v>
      </c>
      <c r="AH27" s="966">
        <v>1</v>
      </c>
      <c r="AI27" s="966"/>
      <c r="AJ27" s="966"/>
      <c r="AK27" s="966">
        <v>1</v>
      </c>
      <c r="AL27" s="1692">
        <f>SUM(AM27:AZ27)</f>
        <v>55</v>
      </c>
      <c r="AM27" s="1696">
        <v>44</v>
      </c>
      <c r="AN27" s="1696">
        <v>1</v>
      </c>
      <c r="AO27" s="1696">
        <v>1</v>
      </c>
      <c r="AP27" s="1696">
        <v>1</v>
      </c>
      <c r="AQ27" s="1696">
        <v>1</v>
      </c>
      <c r="AR27" s="1696">
        <v>1</v>
      </c>
      <c r="AS27" s="1696">
        <v>1</v>
      </c>
      <c r="AT27" s="1696">
        <v>1</v>
      </c>
      <c r="AU27" s="1696">
        <v>1</v>
      </c>
      <c r="AV27" s="1696">
        <v>1</v>
      </c>
      <c r="AW27" s="1696">
        <v>1</v>
      </c>
      <c r="AX27" s="1696"/>
      <c r="AY27" s="1696">
        <v>0</v>
      </c>
      <c r="AZ27" s="1696">
        <v>1</v>
      </c>
      <c r="BA27" s="1339">
        <f t="shared" ref="BA27:BA45" si="17">AL27/F27%</f>
        <v>107.84313725490196</v>
      </c>
      <c r="BB27" s="1339">
        <f t="shared" ref="BB27:BB45" si="18">AL27/W27%</f>
        <v>98.214285714285708</v>
      </c>
      <c r="BC27" s="1317">
        <v>36</v>
      </c>
      <c r="BD27" s="1317">
        <v>1</v>
      </c>
      <c r="BE27" s="1317">
        <v>1</v>
      </c>
      <c r="BF27" s="1317">
        <v>1</v>
      </c>
      <c r="BG27" s="1317">
        <v>1</v>
      </c>
      <c r="BH27" s="1317">
        <v>1</v>
      </c>
      <c r="BI27" s="1317">
        <v>1</v>
      </c>
      <c r="BJ27" s="1317">
        <v>1</v>
      </c>
      <c r="BK27" s="1317">
        <v>1</v>
      </c>
      <c r="BL27" s="1317">
        <v>1</v>
      </c>
      <c r="BM27" s="1317">
        <v>1</v>
      </c>
      <c r="BN27" s="1317">
        <v>1</v>
      </c>
      <c r="BO27" s="1317">
        <v>1</v>
      </c>
      <c r="BP27" s="1317">
        <v>1</v>
      </c>
      <c r="BQ27" s="1337"/>
      <c r="BR27" s="1333">
        <v>56</v>
      </c>
      <c r="BS27" s="1334">
        <f t="shared" si="16"/>
        <v>0</v>
      </c>
      <c r="BT27" s="817"/>
      <c r="BW27" s="572"/>
    </row>
    <row r="28" spans="1:83" s="574" customFormat="1" ht="16.5">
      <c r="A28" s="1782"/>
      <c r="B28" s="1472" t="s">
        <v>362</v>
      </c>
      <c r="C28" s="857" t="s">
        <v>837</v>
      </c>
      <c r="D28" s="1532">
        <v>11.041666666666668</v>
      </c>
      <c r="E28" s="1532">
        <v>9.9</v>
      </c>
      <c r="F28" s="1532">
        <f>F27/4.9156</f>
        <v>10.375132232077467</v>
      </c>
      <c r="G28" s="1532">
        <f>G27/4.93</f>
        <v>10.141987829614605</v>
      </c>
      <c r="H28" s="1532">
        <f>H27/'B8. DS-GD&amp;TE '!H9*10000</f>
        <v>10.914382731021101</v>
      </c>
      <c r="I28" s="1532"/>
      <c r="J28" s="1532"/>
      <c r="K28" s="1532"/>
      <c r="L28" s="1532"/>
      <c r="M28" s="1532"/>
      <c r="N28" s="1532"/>
      <c r="O28" s="1532"/>
      <c r="P28" s="1532"/>
      <c r="Q28" s="1532"/>
      <c r="R28" s="1532"/>
      <c r="S28" s="1532"/>
      <c r="T28" s="1532"/>
      <c r="U28" s="1532"/>
      <c r="V28" s="1532"/>
      <c r="W28" s="1531">
        <f>W27/'B8. DS-GD&amp;TE '!W9*10000</f>
        <v>11.179876222798962</v>
      </c>
      <c r="X28" s="884"/>
      <c r="Y28" s="884"/>
      <c r="Z28" s="884"/>
      <c r="AA28" s="884"/>
      <c r="AB28" s="884"/>
      <c r="AC28" s="884"/>
      <c r="AD28" s="1953"/>
      <c r="AE28" s="1953"/>
      <c r="AF28" s="1953"/>
      <c r="AG28" s="1953"/>
      <c r="AH28" s="1953"/>
      <c r="AI28" s="1953"/>
      <c r="AJ28" s="1953"/>
      <c r="AK28" s="1953"/>
      <c r="AL28" s="1698">
        <f>AL27/50090*10000</f>
        <v>10.980235575963265</v>
      </c>
      <c r="AM28" s="1697"/>
      <c r="AN28" s="1697"/>
      <c r="AO28" s="1697"/>
      <c r="AP28" s="1697"/>
      <c r="AQ28" s="1697"/>
      <c r="AR28" s="1697"/>
      <c r="AS28" s="1697"/>
      <c r="AT28" s="1697"/>
      <c r="AU28" s="1697"/>
      <c r="AV28" s="1697"/>
      <c r="AW28" s="1697"/>
      <c r="AX28" s="1697"/>
      <c r="AY28" s="1697"/>
      <c r="AZ28" s="1697"/>
      <c r="BA28" s="1339">
        <f t="shared" si="17"/>
        <v>105.83224705334318</v>
      </c>
      <c r="BB28" s="1339">
        <f t="shared" si="18"/>
        <v>98.214285714285694</v>
      </c>
      <c r="BC28" s="1315"/>
      <c r="BD28" s="1315"/>
      <c r="BE28" s="1315"/>
      <c r="BF28" s="1315"/>
      <c r="BG28" s="1315"/>
      <c r="BH28" s="1315"/>
      <c r="BI28" s="1315"/>
      <c r="BJ28" s="1315"/>
      <c r="BK28" s="1315"/>
      <c r="BL28" s="1315"/>
      <c r="BM28" s="1315"/>
      <c r="BN28" s="1315"/>
      <c r="BO28" s="1315"/>
      <c r="BP28" s="1315"/>
      <c r="BQ28" s="1337"/>
      <c r="BR28" s="1343">
        <v>11.18</v>
      </c>
      <c r="BS28" s="1334">
        <f t="shared" si="16"/>
        <v>-1.2377720103806666E-4</v>
      </c>
      <c r="BT28" s="817"/>
      <c r="BV28" s="478"/>
      <c r="BW28" s="478"/>
      <c r="CE28" s="1332"/>
    </row>
    <row r="29" spans="1:83" ht="21.95" customHeight="1">
      <c r="A29" s="837" t="s">
        <v>363</v>
      </c>
      <c r="B29" s="1472" t="s">
        <v>364</v>
      </c>
      <c r="C29" s="857" t="s">
        <v>49</v>
      </c>
      <c r="D29" s="1452">
        <v>9</v>
      </c>
      <c r="E29" s="1452">
        <v>7</v>
      </c>
      <c r="F29" s="1452">
        <v>7</v>
      </c>
      <c r="G29" s="1452">
        <v>7</v>
      </c>
      <c r="H29" s="1452">
        <v>10</v>
      </c>
      <c r="I29" s="1452">
        <v>9</v>
      </c>
      <c r="J29" s="1452"/>
      <c r="K29" s="1452"/>
      <c r="L29" s="1452"/>
      <c r="M29" s="1452"/>
      <c r="N29" s="1452"/>
      <c r="O29" s="1452"/>
      <c r="P29" s="1452"/>
      <c r="Q29" s="1452"/>
      <c r="R29" s="1452"/>
      <c r="S29" s="1452">
        <v>1</v>
      </c>
      <c r="T29" s="1452"/>
      <c r="U29" s="1452"/>
      <c r="V29" s="1452"/>
      <c r="W29" s="1522">
        <f t="shared" ref="W29" si="19">SUM(X29:AK29)</f>
        <v>10</v>
      </c>
      <c r="X29" s="1452">
        <v>9</v>
      </c>
      <c r="Y29" s="1452"/>
      <c r="Z29" s="1452"/>
      <c r="AA29" s="1452"/>
      <c r="AB29" s="1452"/>
      <c r="AC29" s="1452"/>
      <c r="AD29" s="968"/>
      <c r="AE29" s="968"/>
      <c r="AF29" s="968"/>
      <c r="AG29" s="968"/>
      <c r="AH29" s="968">
        <v>1</v>
      </c>
      <c r="AI29" s="968"/>
      <c r="AJ29" s="968"/>
      <c r="AK29" s="968"/>
      <c r="AL29" s="1692">
        <v>17</v>
      </c>
      <c r="AM29" s="1696"/>
      <c r="AN29" s="1696"/>
      <c r="AO29" s="1696"/>
      <c r="AP29" s="1696"/>
      <c r="AQ29" s="1696"/>
      <c r="AR29" s="1696"/>
      <c r="AS29" s="1696"/>
      <c r="AT29" s="1696"/>
      <c r="AU29" s="1696"/>
      <c r="AV29" s="1696"/>
      <c r="AW29" s="1696"/>
      <c r="AX29" s="1696"/>
      <c r="AY29" s="1696"/>
      <c r="AZ29" s="1696"/>
      <c r="BA29" s="1339">
        <f t="shared" si="17"/>
        <v>242.85714285714283</v>
      </c>
      <c r="BB29" s="1339">
        <f t="shared" si="18"/>
        <v>170</v>
      </c>
      <c r="BC29" s="1315">
        <v>6</v>
      </c>
      <c r="BD29" s="1315"/>
      <c r="BE29" s="1315"/>
      <c r="BF29" s="1315"/>
      <c r="BG29" s="1315"/>
      <c r="BH29" s="1315"/>
      <c r="BI29" s="1315"/>
      <c r="BJ29" s="1315"/>
      <c r="BK29" s="1315"/>
      <c r="BL29" s="1315"/>
      <c r="BM29" s="1315">
        <v>1</v>
      </c>
      <c r="BN29" s="1315"/>
      <c r="BO29" s="1315"/>
      <c r="BP29" s="1315"/>
      <c r="BQ29" s="1337"/>
      <c r="BR29" s="1333">
        <v>10</v>
      </c>
      <c r="BS29" s="1334">
        <f t="shared" si="16"/>
        <v>0</v>
      </c>
      <c r="BT29" s="817"/>
      <c r="BV29" s="478"/>
      <c r="BW29" s="572"/>
    </row>
    <row r="30" spans="1:83" s="574" customFormat="1" ht="25.5" customHeight="1">
      <c r="A30" s="1782"/>
      <c r="B30" s="1472" t="s">
        <v>365</v>
      </c>
      <c r="C30" s="857" t="s">
        <v>837</v>
      </c>
      <c r="D30" s="1532">
        <v>1.63</v>
      </c>
      <c r="E30" s="1532">
        <f>E29/4.94</f>
        <v>1.4170040485829958</v>
      </c>
      <c r="F30" s="1532">
        <f>F29/4.94</f>
        <v>1.4170040485829958</v>
      </c>
      <c r="G30" s="1532">
        <f>G29/4.93</f>
        <v>1.4198782961460448</v>
      </c>
      <c r="H30" s="1532">
        <f>H29/'B8. DS-GD&amp;TE '!H9*10000</f>
        <v>2.0211819872261296</v>
      </c>
      <c r="I30" s="1532"/>
      <c r="J30" s="1532"/>
      <c r="K30" s="1532"/>
      <c r="L30" s="1532"/>
      <c r="M30" s="1532"/>
      <c r="N30" s="1532"/>
      <c r="O30" s="1532"/>
      <c r="P30" s="1532"/>
      <c r="Q30" s="1532"/>
      <c r="R30" s="1532"/>
      <c r="S30" s="1532"/>
      <c r="T30" s="1532"/>
      <c r="U30" s="1532"/>
      <c r="V30" s="1532"/>
      <c r="W30" s="1532">
        <f>W29/'B8. DS-GD&amp;TE '!W9*10000</f>
        <v>1.9964064683569573</v>
      </c>
      <c r="X30" s="884"/>
      <c r="Y30" s="884"/>
      <c r="Z30" s="884"/>
      <c r="AA30" s="884"/>
      <c r="AB30" s="884"/>
      <c r="AC30" s="884"/>
      <c r="AD30" s="1953"/>
      <c r="AE30" s="1953"/>
      <c r="AF30" s="1953"/>
      <c r="AG30" s="1953"/>
      <c r="AH30" s="1953"/>
      <c r="AI30" s="1953"/>
      <c r="AJ30" s="1953"/>
      <c r="AK30" s="1953"/>
      <c r="AL30" s="1938">
        <f>AL29/50090*10000</f>
        <v>3.393890996206828</v>
      </c>
      <c r="AM30" s="1697"/>
      <c r="AN30" s="1697"/>
      <c r="AO30" s="1697"/>
      <c r="AP30" s="1697"/>
      <c r="AQ30" s="1697"/>
      <c r="AR30" s="1697"/>
      <c r="AS30" s="1697"/>
      <c r="AT30" s="1697"/>
      <c r="AU30" s="1697"/>
      <c r="AV30" s="1697"/>
      <c r="AW30" s="1697"/>
      <c r="AX30" s="1697"/>
      <c r="AY30" s="1697"/>
      <c r="AZ30" s="1697"/>
      <c r="BA30" s="1339">
        <f t="shared" si="17"/>
        <v>239.51173601802475</v>
      </c>
      <c r="BB30" s="1339">
        <f t="shared" si="18"/>
        <v>170.00000000000003</v>
      </c>
      <c r="BC30" s="1315"/>
      <c r="BD30" s="1315"/>
      <c r="BE30" s="1315"/>
      <c r="BF30" s="1315"/>
      <c r="BG30" s="1315"/>
      <c r="BH30" s="1315"/>
      <c r="BI30" s="1315"/>
      <c r="BJ30" s="1315"/>
      <c r="BK30" s="1315"/>
      <c r="BL30" s="1315"/>
      <c r="BM30" s="1315"/>
      <c r="BN30" s="1315"/>
      <c r="BO30" s="1315"/>
      <c r="BP30" s="1315"/>
      <c r="BQ30" s="1337"/>
      <c r="BR30" s="1343">
        <v>2</v>
      </c>
      <c r="BS30" s="1334">
        <f t="shared" si="16"/>
        <v>-3.5935316430426578E-3</v>
      </c>
      <c r="BT30" s="817"/>
      <c r="BV30" s="478"/>
      <c r="BW30" s="478"/>
      <c r="CE30" s="480"/>
    </row>
    <row r="31" spans="1:83" ht="39" hidden="1" customHeight="1">
      <c r="A31" s="837">
        <v>2</v>
      </c>
      <c r="B31" s="1472" t="s">
        <v>366</v>
      </c>
      <c r="C31" s="857" t="s">
        <v>26</v>
      </c>
      <c r="D31" s="1527"/>
      <c r="E31" s="969"/>
      <c r="F31" s="969"/>
      <c r="G31" s="969"/>
      <c r="H31" s="969">
        <v>12</v>
      </c>
      <c r="I31" s="969">
        <v>1</v>
      </c>
      <c r="J31" s="969">
        <v>1</v>
      </c>
      <c r="K31" s="969">
        <v>1</v>
      </c>
      <c r="L31" s="969">
        <v>1</v>
      </c>
      <c r="M31" s="969">
        <v>1</v>
      </c>
      <c r="N31" s="969">
        <v>1</v>
      </c>
      <c r="O31" s="969">
        <v>1</v>
      </c>
      <c r="P31" s="969">
        <v>1</v>
      </c>
      <c r="Q31" s="969">
        <v>1</v>
      </c>
      <c r="R31" s="969">
        <v>1</v>
      </c>
      <c r="S31" s="969">
        <v>1</v>
      </c>
      <c r="T31" s="969"/>
      <c r="U31" s="969">
        <v>0</v>
      </c>
      <c r="V31" s="969"/>
      <c r="W31" s="969"/>
      <c r="X31" s="969"/>
      <c r="Y31" s="969"/>
      <c r="Z31" s="969"/>
      <c r="AA31" s="969"/>
      <c r="AB31" s="969"/>
      <c r="AC31" s="969"/>
      <c r="AD31" s="905"/>
      <c r="AE31" s="905"/>
      <c r="AF31" s="905"/>
      <c r="AG31" s="905"/>
      <c r="AH31" s="905"/>
      <c r="AI31" s="905"/>
      <c r="AJ31" s="905"/>
      <c r="AK31" s="905"/>
      <c r="AL31" s="904"/>
      <c r="AM31" s="1696">
        <v>1</v>
      </c>
      <c r="AN31" s="1696">
        <v>1</v>
      </c>
      <c r="AO31" s="1696">
        <v>1</v>
      </c>
      <c r="AP31" s="1696">
        <v>1</v>
      </c>
      <c r="AQ31" s="1696">
        <v>1</v>
      </c>
      <c r="AR31" s="1696">
        <v>1</v>
      </c>
      <c r="AS31" s="1696">
        <v>1</v>
      </c>
      <c r="AT31" s="1696">
        <v>1</v>
      </c>
      <c r="AU31" s="1696">
        <v>1</v>
      </c>
      <c r="AV31" s="1696">
        <v>1</v>
      </c>
      <c r="AW31" s="1696">
        <v>1</v>
      </c>
      <c r="AX31" s="1696"/>
      <c r="AY31" s="1696">
        <v>0</v>
      </c>
      <c r="AZ31" s="1696">
        <v>1</v>
      </c>
      <c r="BA31" s="1339" t="e">
        <f t="shared" si="17"/>
        <v>#DIV/0!</v>
      </c>
      <c r="BB31" s="1339" t="e">
        <f t="shared" si="18"/>
        <v>#DIV/0!</v>
      </c>
      <c r="BC31" s="905"/>
      <c r="BD31" s="905"/>
      <c r="BE31" s="905"/>
      <c r="BF31" s="905"/>
      <c r="BG31" s="905"/>
      <c r="BH31" s="905"/>
      <c r="BI31" s="905"/>
      <c r="BJ31" s="905"/>
      <c r="BK31" s="905"/>
      <c r="BL31" s="905"/>
      <c r="BM31" s="905"/>
      <c r="BN31" s="905"/>
      <c r="BO31" s="905"/>
      <c r="BP31" s="905"/>
      <c r="BQ31" s="1337"/>
      <c r="BR31" s="1333"/>
      <c r="BS31" s="1334">
        <f t="shared" si="16"/>
        <v>0</v>
      </c>
      <c r="BT31" s="817"/>
      <c r="BW31" s="572"/>
    </row>
    <row r="32" spans="1:83" ht="36" customHeight="1">
      <c r="A32" s="837">
        <v>2</v>
      </c>
      <c r="B32" s="1472" t="s">
        <v>367</v>
      </c>
      <c r="C32" s="857" t="s">
        <v>26</v>
      </c>
      <c r="D32" s="1528">
        <v>71.428571428571431</v>
      </c>
      <c r="E32" s="1528">
        <f>9*100/13</f>
        <v>69.230769230769226</v>
      </c>
      <c r="F32" s="1529">
        <f>13*100/14</f>
        <v>92.857142857142861</v>
      </c>
      <c r="G32" s="1529">
        <f>12/13*100</f>
        <v>92.307692307692307</v>
      </c>
      <c r="H32" s="1529">
        <f>12/14*100</f>
        <v>85.714285714285708</v>
      </c>
      <c r="I32" s="1530">
        <f>1/14*100</f>
        <v>7.1428571428571423</v>
      </c>
      <c r="J32" s="1530">
        <f t="shared" ref="J32:V32" si="20">1/14*100</f>
        <v>7.1428571428571423</v>
      </c>
      <c r="K32" s="1530">
        <f t="shared" si="20"/>
        <v>7.1428571428571423</v>
      </c>
      <c r="L32" s="1530">
        <f t="shared" si="20"/>
        <v>7.1428571428571423</v>
      </c>
      <c r="M32" s="1530">
        <f t="shared" si="20"/>
        <v>7.1428571428571423</v>
      </c>
      <c r="N32" s="1530">
        <f t="shared" si="20"/>
        <v>7.1428571428571423</v>
      </c>
      <c r="O32" s="1530">
        <f t="shared" si="20"/>
        <v>7.1428571428571423</v>
      </c>
      <c r="P32" s="1530">
        <f t="shared" si="20"/>
        <v>7.1428571428571423</v>
      </c>
      <c r="Q32" s="1530">
        <f t="shared" si="20"/>
        <v>7.1428571428571423</v>
      </c>
      <c r="R32" s="1530">
        <f t="shared" si="20"/>
        <v>7.1428571428571423</v>
      </c>
      <c r="S32" s="1530">
        <f t="shared" si="20"/>
        <v>7.1428571428571423</v>
      </c>
      <c r="T32" s="1530">
        <v>0</v>
      </c>
      <c r="U32" s="1530">
        <v>0</v>
      </c>
      <c r="V32" s="1530">
        <f t="shared" si="20"/>
        <v>7.1428571428571423</v>
      </c>
      <c r="W32" s="1531">
        <f>13/14*100</f>
        <v>92.857142857142861</v>
      </c>
      <c r="X32" s="1530">
        <f>1/14*100</f>
        <v>7.1428571428571423</v>
      </c>
      <c r="Y32" s="1530">
        <f t="shared" ref="Y32:AK32" si="21">1/14*100</f>
        <v>7.1428571428571423</v>
      </c>
      <c r="Z32" s="1530">
        <f t="shared" si="21"/>
        <v>7.1428571428571423</v>
      </c>
      <c r="AA32" s="1530">
        <f t="shared" si="21"/>
        <v>7.1428571428571423</v>
      </c>
      <c r="AB32" s="1530">
        <f t="shared" si="21"/>
        <v>7.1428571428571423</v>
      </c>
      <c r="AC32" s="1530">
        <f t="shared" si="21"/>
        <v>7.1428571428571423</v>
      </c>
      <c r="AD32" s="906">
        <f t="shared" si="21"/>
        <v>7.1428571428571423</v>
      </c>
      <c r="AE32" s="906">
        <f t="shared" si="21"/>
        <v>7.1428571428571423</v>
      </c>
      <c r="AF32" s="906">
        <f t="shared" si="21"/>
        <v>7.1428571428571423</v>
      </c>
      <c r="AG32" s="906">
        <f t="shared" si="21"/>
        <v>7.1428571428571423</v>
      </c>
      <c r="AH32" s="906">
        <f t="shared" si="21"/>
        <v>7.1428571428571423</v>
      </c>
      <c r="AI32" s="906">
        <v>7.1</v>
      </c>
      <c r="AJ32" s="906"/>
      <c r="AK32" s="906">
        <f t="shared" si="21"/>
        <v>7.1428571428571423</v>
      </c>
      <c r="AL32" s="1698">
        <f>12/14*100</f>
        <v>85.714285714285708</v>
      </c>
      <c r="AM32" s="1699"/>
      <c r="AN32" s="1699"/>
      <c r="AO32" s="1699"/>
      <c r="AP32" s="1699"/>
      <c r="AQ32" s="1699"/>
      <c r="AR32" s="1699"/>
      <c r="AS32" s="1699"/>
      <c r="AT32" s="1699"/>
      <c r="AU32" s="1699"/>
      <c r="AV32" s="1699"/>
      <c r="AW32" s="1699"/>
      <c r="AX32" s="1699"/>
      <c r="AY32" s="1699"/>
      <c r="AZ32" s="1699"/>
      <c r="BA32" s="1339">
        <f t="shared" si="17"/>
        <v>92.307692307692292</v>
      </c>
      <c r="BB32" s="1339">
        <f t="shared" si="18"/>
        <v>92.307692307692292</v>
      </c>
      <c r="BC32" s="1315"/>
      <c r="BD32" s="1318"/>
      <c r="BE32" s="1318"/>
      <c r="BF32" s="1318"/>
      <c r="BG32" s="1318"/>
      <c r="BH32" s="1318"/>
      <c r="BI32" s="1318"/>
      <c r="BJ32" s="1318"/>
      <c r="BK32" s="1318"/>
      <c r="BL32" s="1318"/>
      <c r="BM32" s="1318"/>
      <c r="BN32" s="1315"/>
      <c r="BO32" s="1318"/>
      <c r="BP32" s="1315"/>
      <c r="BQ32" s="1337"/>
      <c r="BR32" s="1345">
        <v>85.7</v>
      </c>
      <c r="BS32" s="1334">
        <f t="shared" si="16"/>
        <v>7.1571428571428584</v>
      </c>
      <c r="BT32" s="817"/>
      <c r="BV32" s="478"/>
      <c r="BW32" s="572"/>
    </row>
    <row r="33" spans="1:83" ht="32.450000000000003" hidden="1" customHeight="1">
      <c r="A33" s="837">
        <v>3</v>
      </c>
      <c r="B33" s="1472" t="s">
        <v>368</v>
      </c>
      <c r="C33" s="857" t="s">
        <v>26</v>
      </c>
      <c r="D33" s="1532"/>
      <c r="E33" s="969"/>
      <c r="F33" s="969"/>
      <c r="G33" s="969"/>
      <c r="H33" s="969"/>
      <c r="I33" s="969"/>
      <c r="J33" s="969"/>
      <c r="K33" s="969"/>
      <c r="L33" s="969"/>
      <c r="M33" s="969"/>
      <c r="N33" s="969"/>
      <c r="O33" s="969"/>
      <c r="P33" s="969"/>
      <c r="Q33" s="969"/>
      <c r="R33" s="969"/>
      <c r="S33" s="969"/>
      <c r="T33" s="969"/>
      <c r="U33" s="969"/>
      <c r="V33" s="969"/>
      <c r="W33" s="969"/>
      <c r="X33" s="1533"/>
      <c r="Y33" s="1533"/>
      <c r="Z33" s="1533"/>
      <c r="AA33" s="1533"/>
      <c r="AB33" s="1533"/>
      <c r="AC33" s="1533"/>
      <c r="AD33" s="1319"/>
      <c r="AE33" s="1319"/>
      <c r="AF33" s="1319"/>
      <c r="AG33" s="1319"/>
      <c r="AH33" s="1319"/>
      <c r="AI33" s="1319"/>
      <c r="AJ33" s="1319"/>
      <c r="AK33" s="1319"/>
      <c r="AL33" s="904"/>
      <c r="AM33" s="1696"/>
      <c r="AN33" s="1696"/>
      <c r="AO33" s="1696"/>
      <c r="AP33" s="1696"/>
      <c r="AQ33" s="1696"/>
      <c r="AR33" s="1696"/>
      <c r="AS33" s="1696"/>
      <c r="AT33" s="1696"/>
      <c r="AU33" s="1696"/>
      <c r="AV33" s="1696"/>
      <c r="AW33" s="1696"/>
      <c r="AX33" s="1696"/>
      <c r="AY33" s="1696"/>
      <c r="AZ33" s="1696"/>
      <c r="BA33" s="1339" t="e">
        <f t="shared" si="17"/>
        <v>#DIV/0!</v>
      </c>
      <c r="BB33" s="1339" t="e">
        <f t="shared" si="18"/>
        <v>#DIV/0!</v>
      </c>
      <c r="BC33" s="905"/>
      <c r="BD33" s="905"/>
      <c r="BE33" s="905"/>
      <c r="BF33" s="905"/>
      <c r="BG33" s="905"/>
      <c r="BH33" s="905"/>
      <c r="BI33" s="905"/>
      <c r="BJ33" s="905"/>
      <c r="BK33" s="905"/>
      <c r="BL33" s="905"/>
      <c r="BM33" s="905"/>
      <c r="BN33" s="905"/>
      <c r="BO33" s="905"/>
      <c r="BP33" s="905"/>
      <c r="BQ33" s="1337"/>
      <c r="BR33" s="1333"/>
      <c r="BS33" s="1334">
        <f t="shared" si="16"/>
        <v>0</v>
      </c>
      <c r="BT33" s="817"/>
      <c r="BV33" s="478"/>
      <c r="BW33" s="572"/>
    </row>
    <row r="34" spans="1:83" ht="36" customHeight="1">
      <c r="A34" s="837">
        <v>3</v>
      </c>
      <c r="B34" s="1472" t="s">
        <v>369</v>
      </c>
      <c r="C34" s="857" t="s">
        <v>26</v>
      </c>
      <c r="D34" s="1534">
        <f>D36/D35*100</f>
        <v>86.138613861386133</v>
      </c>
      <c r="E34" s="1534">
        <f>E36/E35*100</f>
        <v>89.10891089108911</v>
      </c>
      <c r="F34" s="1534">
        <f>88*100/101</f>
        <v>87.128712871287135</v>
      </c>
      <c r="G34" s="1534">
        <f>G36/G35*100</f>
        <v>87.128712871287135</v>
      </c>
      <c r="H34" s="1534">
        <f>H36/H35*100</f>
        <v>89.10891089108911</v>
      </c>
      <c r="I34" s="1534"/>
      <c r="J34" s="1535"/>
      <c r="K34" s="1535"/>
      <c r="L34" s="1535"/>
      <c r="M34" s="1535"/>
      <c r="N34" s="1535"/>
      <c r="O34" s="1535"/>
      <c r="P34" s="1535"/>
      <c r="Q34" s="1535"/>
      <c r="R34" s="1535"/>
      <c r="S34" s="1535"/>
      <c r="T34" s="1535"/>
      <c r="U34" s="1535"/>
      <c r="V34" s="1535"/>
      <c r="W34" s="1531">
        <f>W36/W35*100</f>
        <v>94.059405940594047</v>
      </c>
      <c r="X34" s="1536"/>
      <c r="Y34" s="1537"/>
      <c r="Z34" s="1537"/>
      <c r="AA34" s="1537"/>
      <c r="AB34" s="1537"/>
      <c r="AC34" s="1537"/>
      <c r="AD34" s="1320"/>
      <c r="AE34" s="1320"/>
      <c r="AF34" s="1320"/>
      <c r="AG34" s="1320"/>
      <c r="AH34" s="1320"/>
      <c r="AI34" s="1320"/>
      <c r="AJ34" s="1320"/>
      <c r="AK34" s="1320"/>
      <c r="AL34" s="1739">
        <f>AL36/AL35*100</f>
        <v>88.118811881188122</v>
      </c>
      <c r="AM34" s="1700"/>
      <c r="AN34" s="1700"/>
      <c r="AO34" s="1700"/>
      <c r="AP34" s="1700"/>
      <c r="AQ34" s="1700"/>
      <c r="AR34" s="1700"/>
      <c r="AS34" s="1700"/>
      <c r="AT34" s="1700"/>
      <c r="AU34" s="1700"/>
      <c r="AV34" s="1700"/>
      <c r="AW34" s="1700"/>
      <c r="AX34" s="1700"/>
      <c r="AY34" s="1700"/>
      <c r="AZ34" s="1700"/>
      <c r="BA34" s="1339">
        <f t="shared" si="17"/>
        <v>101.13636363636363</v>
      </c>
      <c r="BB34" s="1339">
        <f t="shared" si="18"/>
        <v>93.684210526315809</v>
      </c>
      <c r="BC34" s="1321"/>
      <c r="BD34" s="1321"/>
      <c r="BE34" s="1321"/>
      <c r="BF34" s="1321"/>
      <c r="BG34" s="1321"/>
      <c r="BH34" s="1321"/>
      <c r="BI34" s="1321"/>
      <c r="BJ34" s="1321"/>
      <c r="BK34" s="1321"/>
      <c r="BL34" s="1321"/>
      <c r="BM34" s="1321"/>
      <c r="BN34" s="1321"/>
      <c r="BO34" s="1321"/>
      <c r="BP34" s="1321"/>
      <c r="BQ34" s="1337"/>
      <c r="BR34" s="1343">
        <v>94.1</v>
      </c>
      <c r="BS34" s="1334">
        <f t="shared" si="16"/>
        <v>-4.0594059405947291E-2</v>
      </c>
      <c r="BT34" s="1346"/>
      <c r="BV34" s="478"/>
      <c r="BW34" s="572"/>
      <c r="BX34" s="353"/>
      <c r="CE34" s="1347"/>
    </row>
    <row r="35" spans="1:83" ht="36" customHeight="1">
      <c r="A35" s="1782"/>
      <c r="B35" s="1472" t="s">
        <v>992</v>
      </c>
      <c r="C35" s="857" t="s">
        <v>480</v>
      </c>
      <c r="D35" s="1452">
        <v>101</v>
      </c>
      <c r="E35" s="1452">
        <v>101</v>
      </c>
      <c r="F35" s="1452">
        <v>101</v>
      </c>
      <c r="G35" s="1452">
        <v>101</v>
      </c>
      <c r="H35" s="1452">
        <v>101</v>
      </c>
      <c r="I35" s="1452"/>
      <c r="J35" s="1452"/>
      <c r="K35" s="1452"/>
      <c r="L35" s="1452"/>
      <c r="M35" s="1452"/>
      <c r="N35" s="1452"/>
      <c r="O35" s="1452"/>
      <c r="P35" s="1452"/>
      <c r="Q35" s="1452"/>
      <c r="R35" s="1452"/>
      <c r="S35" s="1452"/>
      <c r="T35" s="1452"/>
      <c r="U35" s="1452"/>
      <c r="V35" s="1452"/>
      <c r="W35" s="1452">
        <v>101</v>
      </c>
      <c r="X35" s="1514"/>
      <c r="Y35" s="1514"/>
      <c r="Z35" s="1514"/>
      <c r="AA35" s="1514"/>
      <c r="AB35" s="1514"/>
      <c r="AC35" s="1514"/>
      <c r="AD35" s="1135"/>
      <c r="AE35" s="1135"/>
      <c r="AF35" s="1135"/>
      <c r="AG35" s="1135"/>
      <c r="AH35" s="1135"/>
      <c r="AI35" s="1135"/>
      <c r="AJ35" s="1135"/>
      <c r="AK35" s="1135"/>
      <c r="AL35" s="890">
        <v>101</v>
      </c>
      <c r="AM35" s="1696"/>
      <c r="AN35" s="968"/>
      <c r="AO35" s="968"/>
      <c r="AP35" s="968"/>
      <c r="AQ35" s="968"/>
      <c r="AR35" s="968"/>
      <c r="AS35" s="968"/>
      <c r="AT35" s="968"/>
      <c r="AU35" s="968"/>
      <c r="AV35" s="968"/>
      <c r="AW35" s="968"/>
      <c r="AX35" s="968"/>
      <c r="AY35" s="968"/>
      <c r="AZ35" s="968"/>
      <c r="BA35" s="1339">
        <f t="shared" si="17"/>
        <v>100</v>
      </c>
      <c r="BB35" s="1339">
        <f t="shared" si="18"/>
        <v>100</v>
      </c>
      <c r="BC35" s="1321"/>
      <c r="BD35" s="1321"/>
      <c r="BE35" s="1321"/>
      <c r="BF35" s="1321"/>
      <c r="BG35" s="1321"/>
      <c r="BH35" s="1321"/>
      <c r="BI35" s="1321"/>
      <c r="BJ35" s="1321"/>
      <c r="BK35" s="1321"/>
      <c r="BL35" s="1321"/>
      <c r="BM35" s="1321"/>
      <c r="BN35" s="1321"/>
      <c r="BO35" s="1321"/>
      <c r="BP35" s="1321"/>
      <c r="BQ35" s="1337"/>
      <c r="BR35" s="1952">
        <v>101</v>
      </c>
      <c r="BS35" s="1334">
        <f t="shared" si="16"/>
        <v>0</v>
      </c>
      <c r="BT35" s="1346"/>
      <c r="BV35" s="478"/>
      <c r="BW35" s="478"/>
      <c r="BX35" s="353"/>
      <c r="CE35" s="1347"/>
    </row>
    <row r="36" spans="1:83" ht="36" customHeight="1">
      <c r="A36" s="1782"/>
      <c r="B36" s="1472" t="s">
        <v>815</v>
      </c>
      <c r="C36" s="857" t="s">
        <v>480</v>
      </c>
      <c r="D36" s="1452">
        <v>87</v>
      </c>
      <c r="E36" s="1452">
        <v>90</v>
      </c>
      <c r="F36" s="1452">
        <v>88</v>
      </c>
      <c r="G36" s="1452">
        <v>88</v>
      </c>
      <c r="H36" s="1452">
        <v>90</v>
      </c>
      <c r="I36" s="1513"/>
      <c r="J36" s="1513">
        <v>7</v>
      </c>
      <c r="K36" s="1513">
        <v>6</v>
      </c>
      <c r="L36" s="1452"/>
      <c r="M36" s="1513">
        <v>7</v>
      </c>
      <c r="N36" s="1513">
        <v>5</v>
      </c>
      <c r="O36" s="1513">
        <v>11</v>
      </c>
      <c r="P36" s="1513">
        <v>6</v>
      </c>
      <c r="Q36" s="1513">
        <v>7</v>
      </c>
      <c r="R36" s="1513">
        <v>4</v>
      </c>
      <c r="S36" s="1513">
        <v>8</v>
      </c>
      <c r="T36" s="1513">
        <v>9</v>
      </c>
      <c r="U36" s="1513">
        <v>8</v>
      </c>
      <c r="V36" s="1513">
        <v>9</v>
      </c>
      <c r="W36" s="1452">
        <f>SUM(X36:AK36)</f>
        <v>95</v>
      </c>
      <c r="X36" s="1536"/>
      <c r="Y36" s="1537">
        <v>7</v>
      </c>
      <c r="Z36" s="1537">
        <v>6</v>
      </c>
      <c r="AA36" s="1537">
        <v>3</v>
      </c>
      <c r="AB36" s="1537">
        <v>7</v>
      </c>
      <c r="AC36" s="1537">
        <v>5</v>
      </c>
      <c r="AD36" s="1320">
        <v>12</v>
      </c>
      <c r="AE36" s="1320">
        <v>8</v>
      </c>
      <c r="AF36" s="1320">
        <v>7</v>
      </c>
      <c r="AG36" s="1320">
        <v>4</v>
      </c>
      <c r="AH36" s="1320">
        <v>8</v>
      </c>
      <c r="AI36" s="1320">
        <v>9</v>
      </c>
      <c r="AJ36" s="1320">
        <v>8</v>
      </c>
      <c r="AK36" s="1320">
        <v>11</v>
      </c>
      <c r="AL36" s="890">
        <v>89</v>
      </c>
      <c r="AM36" s="1696"/>
      <c r="AN36" s="968"/>
      <c r="AO36" s="968"/>
      <c r="AP36" s="968"/>
      <c r="AQ36" s="968"/>
      <c r="AR36" s="968"/>
      <c r="AS36" s="968"/>
      <c r="AT36" s="968"/>
      <c r="AU36" s="968"/>
      <c r="AV36" s="968"/>
      <c r="AW36" s="968"/>
      <c r="AX36" s="968"/>
      <c r="AY36" s="968"/>
      <c r="AZ36" s="968"/>
      <c r="BA36" s="1339">
        <f t="shared" si="17"/>
        <v>101.13636363636364</v>
      </c>
      <c r="BB36" s="1339">
        <f t="shared" si="18"/>
        <v>93.684210526315795</v>
      </c>
      <c r="BC36" s="1321"/>
      <c r="BD36" s="1321"/>
      <c r="BE36" s="1321"/>
      <c r="BF36" s="1321"/>
      <c r="BG36" s="1321"/>
      <c r="BH36" s="1321"/>
      <c r="BI36" s="1321"/>
      <c r="BJ36" s="1321"/>
      <c r="BK36" s="1321"/>
      <c r="BL36" s="1321"/>
      <c r="BM36" s="1321"/>
      <c r="BN36" s="1321"/>
      <c r="BO36" s="1321"/>
      <c r="BP36" s="1321"/>
      <c r="BQ36" s="1337"/>
      <c r="BR36" s="1952">
        <v>95</v>
      </c>
      <c r="BS36" s="1334">
        <f t="shared" si="16"/>
        <v>0</v>
      </c>
      <c r="BT36" s="1346"/>
      <c r="BV36" s="478"/>
      <c r="BW36" s="478"/>
      <c r="BX36" s="353"/>
      <c r="CE36" s="1347"/>
    </row>
    <row r="37" spans="1:83" ht="21.95" customHeight="1">
      <c r="A37" s="834" t="s">
        <v>118</v>
      </c>
      <c r="B37" s="1018" t="s">
        <v>370</v>
      </c>
      <c r="C37" s="857"/>
      <c r="D37" s="1538"/>
      <c r="E37" s="1539"/>
      <c r="F37" s="1539"/>
      <c r="G37" s="1539"/>
      <c r="H37" s="1539"/>
      <c r="I37" s="1539"/>
      <c r="J37" s="1539"/>
      <c r="K37" s="1539"/>
      <c r="L37" s="1539"/>
      <c r="M37" s="1539"/>
      <c r="N37" s="1539"/>
      <c r="O37" s="1539"/>
      <c r="P37" s="1539"/>
      <c r="Q37" s="1539"/>
      <c r="R37" s="1539"/>
      <c r="S37" s="1539"/>
      <c r="T37" s="1539"/>
      <c r="U37" s="1539"/>
      <c r="V37" s="1539"/>
      <c r="W37" s="1539"/>
      <c r="X37" s="1540"/>
      <c r="Y37" s="1540"/>
      <c r="Z37" s="1540"/>
      <c r="AA37" s="1540"/>
      <c r="AB37" s="1540"/>
      <c r="AC37" s="1540"/>
      <c r="AD37" s="1323"/>
      <c r="AE37" s="1323"/>
      <c r="AF37" s="1323"/>
      <c r="AG37" s="1323"/>
      <c r="AH37" s="1323"/>
      <c r="AI37" s="1323"/>
      <c r="AJ37" s="1323"/>
      <c r="AK37" s="1323"/>
      <c r="AL37" s="1539"/>
      <c r="AM37" s="1540"/>
      <c r="AN37" s="1540"/>
      <c r="AO37" s="1540"/>
      <c r="AP37" s="1540"/>
      <c r="AQ37" s="1540"/>
      <c r="AR37" s="1540"/>
      <c r="AS37" s="1323"/>
      <c r="AT37" s="1323"/>
      <c r="AU37" s="1323"/>
      <c r="AV37" s="1323"/>
      <c r="AW37" s="1323"/>
      <c r="AX37" s="1323"/>
      <c r="AY37" s="1323"/>
      <c r="AZ37" s="1323"/>
      <c r="BA37" s="1339"/>
      <c r="BB37" s="1339"/>
      <c r="BC37" s="1321"/>
      <c r="BD37" s="1321"/>
      <c r="BE37" s="1321"/>
      <c r="BF37" s="1321"/>
      <c r="BG37" s="1321"/>
      <c r="BH37" s="1321"/>
      <c r="BI37" s="1321"/>
      <c r="BJ37" s="1321"/>
      <c r="BK37" s="1321"/>
      <c r="BL37" s="1321"/>
      <c r="BM37" s="1321"/>
      <c r="BN37" s="1321"/>
      <c r="BO37" s="1321"/>
      <c r="BP37" s="1321"/>
      <c r="BQ37" s="1337"/>
      <c r="BR37" s="1333"/>
      <c r="BS37" s="1334"/>
      <c r="BT37" s="817"/>
      <c r="BW37" s="572"/>
    </row>
    <row r="38" spans="1:83" ht="36" customHeight="1">
      <c r="A38" s="837">
        <v>1</v>
      </c>
      <c r="B38" s="1472" t="s">
        <v>371</v>
      </c>
      <c r="C38" s="857" t="s">
        <v>33</v>
      </c>
      <c r="D38" s="1452">
        <v>11</v>
      </c>
      <c r="E38" s="1452">
        <f>SUM(BC38:BP38)</f>
        <v>11</v>
      </c>
      <c r="F38" s="1452">
        <v>11</v>
      </c>
      <c r="G38" s="1452">
        <v>11</v>
      </c>
      <c r="H38" s="1452">
        <v>11</v>
      </c>
      <c r="I38" s="1541">
        <v>1</v>
      </c>
      <c r="J38" s="1541">
        <v>1</v>
      </c>
      <c r="K38" s="1541">
        <v>1</v>
      </c>
      <c r="L38" s="1541">
        <v>1</v>
      </c>
      <c r="M38" s="1541">
        <v>1</v>
      </c>
      <c r="N38" s="1541">
        <v>1</v>
      </c>
      <c r="O38" s="1541">
        <v>1</v>
      </c>
      <c r="P38" s="1541"/>
      <c r="Q38" s="1541">
        <v>1</v>
      </c>
      <c r="R38" s="1541"/>
      <c r="S38" s="1541">
        <v>1</v>
      </c>
      <c r="T38" s="1541">
        <v>1</v>
      </c>
      <c r="U38" s="1541">
        <v>1</v>
      </c>
      <c r="V38" s="1541"/>
      <c r="W38" s="1452">
        <f>SUM(X38:AK38)</f>
        <v>11</v>
      </c>
      <c r="X38" s="1542">
        <v>1</v>
      </c>
      <c r="Y38" s="1542">
        <v>1</v>
      </c>
      <c r="Z38" s="1542">
        <v>1</v>
      </c>
      <c r="AA38" s="1542">
        <v>1</v>
      </c>
      <c r="AB38" s="1542">
        <v>1</v>
      </c>
      <c r="AC38" s="1542">
        <v>1</v>
      </c>
      <c r="AD38" s="1348">
        <v>1</v>
      </c>
      <c r="AE38" s="1348"/>
      <c r="AF38" s="1348">
        <v>1</v>
      </c>
      <c r="AG38" s="1348"/>
      <c r="AH38" s="1348">
        <v>1</v>
      </c>
      <c r="AI38" s="1348">
        <v>1</v>
      </c>
      <c r="AJ38" s="1348">
        <v>1</v>
      </c>
      <c r="AK38" s="1348"/>
      <c r="AL38" s="903">
        <f>SUM(AM38:AZ38)</f>
        <v>11</v>
      </c>
      <c r="AM38" s="1701">
        <v>1</v>
      </c>
      <c r="AN38" s="1702">
        <v>1</v>
      </c>
      <c r="AO38" s="1702">
        <v>1</v>
      </c>
      <c r="AP38" s="1702">
        <v>1</v>
      </c>
      <c r="AQ38" s="1702">
        <v>1</v>
      </c>
      <c r="AR38" s="1702">
        <v>1</v>
      </c>
      <c r="AS38" s="1702">
        <v>1</v>
      </c>
      <c r="AT38" s="1702"/>
      <c r="AU38" s="1702">
        <v>1</v>
      </c>
      <c r="AV38" s="1702"/>
      <c r="AW38" s="1702">
        <v>1</v>
      </c>
      <c r="AX38" s="1702">
        <v>1</v>
      </c>
      <c r="AY38" s="1702">
        <v>1</v>
      </c>
      <c r="AZ38" s="1702"/>
      <c r="BA38" s="1339">
        <f t="shared" si="17"/>
        <v>100</v>
      </c>
      <c r="BB38" s="1339">
        <f t="shared" si="18"/>
        <v>100</v>
      </c>
      <c r="BC38" s="968">
        <v>1</v>
      </c>
      <c r="BD38" s="968">
        <v>1</v>
      </c>
      <c r="BE38" s="968">
        <v>1</v>
      </c>
      <c r="BF38" s="968">
        <v>1</v>
      </c>
      <c r="BG38" s="968">
        <v>1</v>
      </c>
      <c r="BH38" s="968">
        <v>1</v>
      </c>
      <c r="BI38" s="968">
        <v>1</v>
      </c>
      <c r="BJ38" s="968"/>
      <c r="BK38" s="968">
        <v>1</v>
      </c>
      <c r="BL38" s="968"/>
      <c r="BM38" s="968">
        <v>1</v>
      </c>
      <c r="BN38" s="968">
        <v>1</v>
      </c>
      <c r="BO38" s="968">
        <v>1</v>
      </c>
      <c r="BP38" s="968"/>
      <c r="BQ38" s="1337"/>
      <c r="BR38" s="1333">
        <v>11</v>
      </c>
      <c r="BS38" s="1334">
        <f>W38-BR38</f>
        <v>0</v>
      </c>
      <c r="BT38" s="817"/>
      <c r="BW38" s="572"/>
    </row>
    <row r="39" spans="1:83" s="574" customFormat="1" ht="36" customHeight="1">
      <c r="A39" s="1782"/>
      <c r="B39" s="1472" t="s">
        <v>372</v>
      </c>
      <c r="C39" s="857" t="s">
        <v>33</v>
      </c>
      <c r="D39" s="1452">
        <v>1</v>
      </c>
      <c r="E39" s="1452">
        <f>SUM(BC39:BP39)</f>
        <v>0</v>
      </c>
      <c r="F39" s="1452">
        <v>0</v>
      </c>
      <c r="G39" s="1452">
        <v>0</v>
      </c>
      <c r="H39" s="1452">
        <v>0</v>
      </c>
      <c r="I39" s="1452"/>
      <c r="J39" s="1452"/>
      <c r="K39" s="1452"/>
      <c r="L39" s="1452"/>
      <c r="M39" s="1452"/>
      <c r="N39" s="1452"/>
      <c r="O39" s="1452"/>
      <c r="P39" s="1452"/>
      <c r="Q39" s="1452"/>
      <c r="R39" s="1452"/>
      <c r="S39" s="1452"/>
      <c r="T39" s="1452"/>
      <c r="U39" s="1452"/>
      <c r="V39" s="1452"/>
      <c r="W39" s="1452">
        <f>SUM(X39:AK39)</f>
        <v>0</v>
      </c>
      <c r="X39" s="1514"/>
      <c r="Y39" s="1514"/>
      <c r="Z39" s="1514"/>
      <c r="AA39" s="1514"/>
      <c r="AB39" s="1514"/>
      <c r="AC39" s="1514"/>
      <c r="AD39" s="1135"/>
      <c r="AE39" s="1135"/>
      <c r="AF39" s="1135"/>
      <c r="AG39" s="1135"/>
      <c r="AH39" s="1135"/>
      <c r="AI39" s="1135"/>
      <c r="AJ39" s="1135"/>
      <c r="AK39" s="1135"/>
      <c r="AL39" s="903">
        <v>0</v>
      </c>
      <c r="AM39" s="1132"/>
      <c r="AN39" s="1132"/>
      <c r="AO39" s="1132"/>
      <c r="AP39" s="1132"/>
      <c r="AQ39" s="1132"/>
      <c r="AR39" s="1132"/>
      <c r="AS39" s="1135"/>
      <c r="AT39" s="1135"/>
      <c r="AU39" s="1135"/>
      <c r="AV39" s="1135"/>
      <c r="AW39" s="1135"/>
      <c r="AX39" s="1135"/>
      <c r="AY39" s="1135"/>
      <c r="AZ39" s="1135"/>
      <c r="BA39" s="1339"/>
      <c r="BB39" s="1339"/>
      <c r="BC39" s="905"/>
      <c r="BD39" s="905"/>
      <c r="BE39" s="905"/>
      <c r="BF39" s="905"/>
      <c r="BG39" s="905"/>
      <c r="BH39" s="905"/>
      <c r="BI39" s="905"/>
      <c r="BJ39" s="905"/>
      <c r="BK39" s="905"/>
      <c r="BL39" s="905"/>
      <c r="BM39" s="905"/>
      <c r="BN39" s="905"/>
      <c r="BO39" s="905"/>
      <c r="BP39" s="905"/>
      <c r="BQ39" s="1337"/>
      <c r="BR39" s="1333">
        <v>0</v>
      </c>
      <c r="BS39" s="1334">
        <f>W39-BR39</f>
        <v>0</v>
      </c>
      <c r="BT39" s="817"/>
      <c r="BW39" s="478"/>
      <c r="CE39" s="1332"/>
    </row>
    <row r="40" spans="1:83" s="574" customFormat="1" ht="36" customHeight="1">
      <c r="A40" s="1337"/>
      <c r="B40" s="1472" t="s">
        <v>373</v>
      </c>
      <c r="C40" s="857" t="s">
        <v>26</v>
      </c>
      <c r="D40" s="1954">
        <v>78.571428571428541</v>
      </c>
      <c r="E40" s="1530">
        <v>78.571428571428569</v>
      </c>
      <c r="F40" s="1530">
        <f>11/14*100</f>
        <v>78.571428571428569</v>
      </c>
      <c r="G40" s="1530">
        <f>11/14*100</f>
        <v>78.571428571428569</v>
      </c>
      <c r="H40" s="1530">
        <f>H38/14*100</f>
        <v>78.571428571428569</v>
      </c>
      <c r="I40" s="1530">
        <f>I38/14*100</f>
        <v>7.1428571428571423</v>
      </c>
      <c r="J40" s="1530">
        <f t="shared" ref="J40:O40" si="22">J38/14*100</f>
        <v>7.1428571428571423</v>
      </c>
      <c r="K40" s="1530">
        <f t="shared" si="22"/>
        <v>7.1428571428571423</v>
      </c>
      <c r="L40" s="1530">
        <f t="shared" si="22"/>
        <v>7.1428571428571423</v>
      </c>
      <c r="M40" s="1530">
        <f t="shared" si="22"/>
        <v>7.1428571428571423</v>
      </c>
      <c r="N40" s="1530">
        <f t="shared" si="22"/>
        <v>7.1428571428571423</v>
      </c>
      <c r="O40" s="1530">
        <f t="shared" si="22"/>
        <v>7.1428571428571423</v>
      </c>
      <c r="P40" s="1530"/>
      <c r="Q40" s="1530">
        <v>7.1428571428571432</v>
      </c>
      <c r="R40" s="1530"/>
      <c r="S40" s="1530">
        <v>7.1428571428571432</v>
      </c>
      <c r="T40" s="1530">
        <v>7.1428571428571432</v>
      </c>
      <c r="U40" s="1530">
        <v>7.1428571428571432</v>
      </c>
      <c r="V40" s="1955"/>
      <c r="W40" s="1516">
        <f>11/14*100</f>
        <v>78.571428571428569</v>
      </c>
      <c r="X40" s="1547">
        <f>1/14*100</f>
        <v>7.1428571428571423</v>
      </c>
      <c r="Y40" s="1547">
        <f t="shared" ref="Y40:AJ40" si="23">1/14*100</f>
        <v>7.1428571428571423</v>
      </c>
      <c r="Z40" s="1547">
        <f t="shared" si="23"/>
        <v>7.1428571428571423</v>
      </c>
      <c r="AA40" s="1547">
        <f t="shared" si="23"/>
        <v>7.1428571428571423</v>
      </c>
      <c r="AB40" s="1547">
        <f t="shared" si="23"/>
        <v>7.1428571428571423</v>
      </c>
      <c r="AC40" s="1547">
        <f t="shared" si="23"/>
        <v>7.1428571428571423</v>
      </c>
      <c r="AD40" s="1311">
        <f t="shared" si="23"/>
        <v>7.1428571428571423</v>
      </c>
      <c r="AE40" s="1311"/>
      <c r="AF40" s="1311">
        <f t="shared" si="23"/>
        <v>7.1428571428571423</v>
      </c>
      <c r="AG40" s="1311"/>
      <c r="AH40" s="1311">
        <f t="shared" si="23"/>
        <v>7.1428571428571423</v>
      </c>
      <c r="AI40" s="1311">
        <f t="shared" si="23"/>
        <v>7.1428571428571423</v>
      </c>
      <c r="AJ40" s="1311">
        <f t="shared" si="23"/>
        <v>7.1428571428571423</v>
      </c>
      <c r="AK40" s="1311"/>
      <c r="AL40" s="1110">
        <f>11/14*100</f>
        <v>78.571428571428569</v>
      </c>
      <c r="AM40" s="1704">
        <f>1/14*100</f>
        <v>7.1428571428571423</v>
      </c>
      <c r="AN40" s="1704">
        <f t="shared" ref="AN40:AY40" si="24">1/14*100</f>
        <v>7.1428571428571423</v>
      </c>
      <c r="AO40" s="1704">
        <f t="shared" si="24"/>
        <v>7.1428571428571423</v>
      </c>
      <c r="AP40" s="1704">
        <f t="shared" si="24"/>
        <v>7.1428571428571423</v>
      </c>
      <c r="AQ40" s="1704">
        <f t="shared" si="24"/>
        <v>7.1428571428571423</v>
      </c>
      <c r="AR40" s="1704">
        <f t="shared" si="24"/>
        <v>7.1428571428571423</v>
      </c>
      <c r="AS40" s="1704">
        <f t="shared" si="24"/>
        <v>7.1428571428571423</v>
      </c>
      <c r="AT40" s="1704"/>
      <c r="AU40" s="1704">
        <f t="shared" si="24"/>
        <v>7.1428571428571423</v>
      </c>
      <c r="AV40" s="1704"/>
      <c r="AW40" s="1704">
        <f t="shared" si="24"/>
        <v>7.1428571428571423</v>
      </c>
      <c r="AX40" s="1704">
        <f t="shared" si="24"/>
        <v>7.1428571428571423</v>
      </c>
      <c r="AY40" s="1704">
        <f t="shared" si="24"/>
        <v>7.1428571428571423</v>
      </c>
      <c r="AZ40" s="1704"/>
      <c r="BA40" s="1339">
        <f t="shared" si="17"/>
        <v>100</v>
      </c>
      <c r="BB40" s="1339">
        <f t="shared" si="18"/>
        <v>100</v>
      </c>
      <c r="BC40" s="905"/>
      <c r="BD40" s="905"/>
      <c r="BE40" s="905"/>
      <c r="BF40" s="905"/>
      <c r="BG40" s="905"/>
      <c r="BH40" s="905"/>
      <c r="BI40" s="905"/>
      <c r="BJ40" s="905"/>
      <c r="BK40" s="905"/>
      <c r="BL40" s="905"/>
      <c r="BM40" s="905"/>
      <c r="BN40" s="905"/>
      <c r="BO40" s="905"/>
      <c r="BP40" s="905"/>
      <c r="BQ40" s="1337"/>
      <c r="BR40" s="1956">
        <v>78.599999999999994</v>
      </c>
      <c r="BS40" s="1334">
        <f>W40-BR40</f>
        <v>-2.8571428571424917E-2</v>
      </c>
      <c r="BT40" s="817"/>
      <c r="BV40" s="478"/>
      <c r="BW40" s="478"/>
      <c r="CE40" s="1957"/>
    </row>
    <row r="41" spans="1:83" ht="36" customHeight="1">
      <c r="A41" s="837">
        <v>2</v>
      </c>
      <c r="B41" s="1949" t="s">
        <v>946</v>
      </c>
      <c r="C41" s="1544" t="s">
        <v>945</v>
      </c>
      <c r="D41" s="1545">
        <v>30.558482613277135</v>
      </c>
      <c r="E41" s="1546">
        <v>38.5</v>
      </c>
      <c r="F41" s="1546">
        <v>57.395143487858718</v>
      </c>
      <c r="G41" s="1546" t="s">
        <v>872</v>
      </c>
      <c r="H41" s="1546">
        <v>38.680318543799771</v>
      </c>
      <c r="I41" s="1547">
        <v>0</v>
      </c>
      <c r="J41" s="1547">
        <v>0</v>
      </c>
      <c r="K41" s="1546">
        <v>25.641025641025639</v>
      </c>
      <c r="L41" s="1547">
        <v>32.258064516129032</v>
      </c>
      <c r="M41" s="1547">
        <v>26.666666666666668</v>
      </c>
      <c r="N41" s="1546">
        <v>29.411764705882351</v>
      </c>
      <c r="O41" s="1547">
        <v>27.777777777777775</v>
      </c>
      <c r="P41" s="1547">
        <v>28.985507246376812</v>
      </c>
      <c r="Q41" s="1546">
        <v>47.619047619047613</v>
      </c>
      <c r="R41" s="1547">
        <v>40.816326530612244</v>
      </c>
      <c r="S41" s="1547">
        <v>25.641025641025639</v>
      </c>
      <c r="T41" s="1546">
        <v>34.482758620689651</v>
      </c>
      <c r="U41" s="1547">
        <v>0</v>
      </c>
      <c r="V41" s="1547">
        <v>81.632653061224488</v>
      </c>
      <c r="W41" s="1546">
        <v>34</v>
      </c>
      <c r="X41" s="1547">
        <v>0</v>
      </c>
      <c r="Y41" s="1547">
        <v>0</v>
      </c>
      <c r="Z41" s="1547">
        <v>14.705882352941176</v>
      </c>
      <c r="AA41" s="1547">
        <v>25</v>
      </c>
      <c r="AB41" s="1547">
        <v>20</v>
      </c>
      <c r="AC41" s="1547">
        <v>20</v>
      </c>
      <c r="AD41" s="1311">
        <v>30.76923076923077</v>
      </c>
      <c r="AE41" s="1311">
        <v>40</v>
      </c>
      <c r="AF41" s="1312">
        <v>53.333333333333336</v>
      </c>
      <c r="AG41" s="1311">
        <v>57.142857142857139</v>
      </c>
      <c r="AH41" s="1312">
        <v>23.809523809523807</v>
      </c>
      <c r="AI41" s="1311">
        <v>40</v>
      </c>
      <c r="AJ41" s="1311">
        <v>0</v>
      </c>
      <c r="AK41" s="1311">
        <v>90.090090090090087</v>
      </c>
      <c r="AL41" s="1703">
        <f>17/312*1000</f>
        <v>54.487179487179489</v>
      </c>
      <c r="AM41" s="1704"/>
      <c r="AN41" s="1704"/>
      <c r="AO41" s="1704"/>
      <c r="AP41" s="1704"/>
      <c r="AQ41" s="1704"/>
      <c r="AR41" s="1704">
        <f>2/12*1000</f>
        <v>166.66666666666666</v>
      </c>
      <c r="AS41" s="1311">
        <f>2/35*1000</f>
        <v>57.142857142857139</v>
      </c>
      <c r="AT41" s="1311">
        <f>1/27*1000</f>
        <v>37.037037037037038</v>
      </c>
      <c r="AU41" s="1312">
        <f>1/27*1000</f>
        <v>37.037037037037038</v>
      </c>
      <c r="AV41" s="1311"/>
      <c r="AW41" s="1312"/>
      <c r="AX41" s="1311"/>
      <c r="AY41" s="1311"/>
      <c r="AZ41" s="1311">
        <f>10/83*1000</f>
        <v>120.48192771084338</v>
      </c>
      <c r="BA41" s="1339">
        <f t="shared" si="17"/>
        <v>94.93343195266273</v>
      </c>
      <c r="BB41" s="1339">
        <f t="shared" si="18"/>
        <v>160.25641025641025</v>
      </c>
      <c r="BC41" s="905"/>
      <c r="BD41" s="905"/>
      <c r="BE41" s="905"/>
      <c r="BF41" s="905"/>
      <c r="BG41" s="905"/>
      <c r="BH41" s="905"/>
      <c r="BI41" s="905"/>
      <c r="BJ41" s="905"/>
      <c r="BK41" s="905"/>
      <c r="BL41" s="905"/>
      <c r="BM41" s="905"/>
      <c r="BN41" s="905"/>
      <c r="BO41" s="905"/>
      <c r="BP41" s="906"/>
      <c r="BQ41" s="1337"/>
      <c r="BR41" s="1343">
        <v>33.979999999999997</v>
      </c>
      <c r="BS41" s="1334">
        <f>W41-BR41</f>
        <v>2.0000000000003126E-2</v>
      </c>
      <c r="BT41" s="817"/>
      <c r="BV41" s="478"/>
      <c r="BW41" s="572"/>
      <c r="CE41" s="480"/>
    </row>
    <row r="42" spans="1:83" ht="36" customHeight="1">
      <c r="A42" s="837">
        <v>3</v>
      </c>
      <c r="B42" s="1949" t="s">
        <v>947</v>
      </c>
      <c r="C42" s="1544" t="s">
        <v>945</v>
      </c>
      <c r="D42" s="1545">
        <v>33.719704952581665</v>
      </c>
      <c r="E42" s="1546">
        <v>45.5</v>
      </c>
      <c r="F42" s="1546">
        <v>68.432671081677711</v>
      </c>
      <c r="G42" s="1546" t="s">
        <v>873</v>
      </c>
      <c r="H42" s="1546">
        <v>46.643913538111491</v>
      </c>
      <c r="I42" s="1547">
        <v>0</v>
      </c>
      <c r="J42" s="1547">
        <v>0</v>
      </c>
      <c r="K42" s="1546">
        <v>51.282051282051277</v>
      </c>
      <c r="L42" s="1547">
        <v>32.258064516129032</v>
      </c>
      <c r="M42" s="1547">
        <v>26.666666666666668</v>
      </c>
      <c r="N42" s="1546">
        <v>29.411764705882351</v>
      </c>
      <c r="O42" s="1547">
        <v>41.666666666666664</v>
      </c>
      <c r="P42" s="1547">
        <v>57.971014492753625</v>
      </c>
      <c r="Q42" s="1546">
        <v>47.619047619047613</v>
      </c>
      <c r="R42" s="1547">
        <v>40.816326530612244</v>
      </c>
      <c r="S42" s="1547">
        <v>25.641025641025639</v>
      </c>
      <c r="T42" s="1546">
        <v>34.482758620689651</v>
      </c>
      <c r="U42" s="1547">
        <v>30.303030303030305</v>
      </c>
      <c r="V42" s="1547">
        <v>91.83673469387756</v>
      </c>
      <c r="W42" s="1546">
        <v>36.049999999999997</v>
      </c>
      <c r="X42" s="1547">
        <v>0</v>
      </c>
      <c r="Y42" s="1547">
        <v>0</v>
      </c>
      <c r="Z42" s="1547">
        <v>29.411764705882351</v>
      </c>
      <c r="AA42" s="1547">
        <v>25</v>
      </c>
      <c r="AB42" s="1547">
        <v>20</v>
      </c>
      <c r="AC42" s="1547">
        <v>20</v>
      </c>
      <c r="AD42" s="1311">
        <v>30.76923076923077</v>
      </c>
      <c r="AE42" s="1311">
        <v>40</v>
      </c>
      <c r="AF42" s="1312">
        <v>66.666666666666671</v>
      </c>
      <c r="AG42" s="1311">
        <v>57.142857142857139</v>
      </c>
      <c r="AH42" s="1312">
        <v>23.809523809523807</v>
      </c>
      <c r="AI42" s="1311">
        <v>40</v>
      </c>
      <c r="AJ42" s="1311">
        <v>0</v>
      </c>
      <c r="AK42" s="1311">
        <v>90.090090090090087</v>
      </c>
      <c r="AL42" s="1703">
        <f>22/312*1000</f>
        <v>70.512820512820511</v>
      </c>
      <c r="AM42" s="1704"/>
      <c r="AN42" s="1704"/>
      <c r="AO42" s="1704"/>
      <c r="AP42" s="1705">
        <f>1/8*1000</f>
        <v>125</v>
      </c>
      <c r="AQ42" s="1704">
        <f>1/15*1000</f>
        <v>66.666666666666671</v>
      </c>
      <c r="AR42" s="1704">
        <f>3/12*1000</f>
        <v>250</v>
      </c>
      <c r="AS42" s="1311">
        <f>2/35*1000</f>
        <v>57.142857142857139</v>
      </c>
      <c r="AT42" s="1311">
        <f>2/27*1000</f>
        <v>74.074074074074076</v>
      </c>
      <c r="AU42" s="1312">
        <f>1/27*1000</f>
        <v>37.037037037037038</v>
      </c>
      <c r="AV42" s="1311">
        <f>1/17*1000</f>
        <v>58.823529411764703</v>
      </c>
      <c r="AW42" s="1312"/>
      <c r="AX42" s="1311"/>
      <c r="AY42" s="1311"/>
      <c r="AZ42" s="1311">
        <f>11/83*1000</f>
        <v>132.53012048192772</v>
      </c>
      <c r="BA42" s="1339">
        <f t="shared" si="17"/>
        <v>103.03970223325061</v>
      </c>
      <c r="BB42" s="1339">
        <f t="shared" si="18"/>
        <v>195.59728297592375</v>
      </c>
      <c r="BC42" s="905"/>
      <c r="BD42" s="905"/>
      <c r="BE42" s="905"/>
      <c r="BF42" s="905"/>
      <c r="BG42" s="905"/>
      <c r="BH42" s="905"/>
      <c r="BI42" s="905"/>
      <c r="BJ42" s="905"/>
      <c r="BK42" s="905"/>
      <c r="BL42" s="905"/>
      <c r="BM42" s="905"/>
      <c r="BN42" s="905"/>
      <c r="BO42" s="905"/>
      <c r="BP42" s="906"/>
      <c r="BQ42" s="1337"/>
      <c r="BR42" s="1343">
        <v>36.24</v>
      </c>
      <c r="BS42" s="1334">
        <f>W42-BR42</f>
        <v>-0.19000000000000483</v>
      </c>
      <c r="BT42" s="817"/>
      <c r="BV42" s="478"/>
      <c r="BW42" s="572"/>
      <c r="CE42" s="576"/>
    </row>
    <row r="43" spans="1:83" ht="36" customHeight="1">
      <c r="A43" s="837">
        <v>4</v>
      </c>
      <c r="B43" s="1949" t="s">
        <v>644</v>
      </c>
      <c r="C43" s="1533"/>
      <c r="D43" s="1538"/>
      <c r="E43" s="1539"/>
      <c r="F43" s="1539"/>
      <c r="G43" s="1539"/>
      <c r="H43" s="1539"/>
      <c r="I43" s="1539"/>
      <c r="J43" s="1539"/>
      <c r="K43" s="1539"/>
      <c r="L43" s="1539"/>
      <c r="M43" s="1539"/>
      <c r="N43" s="1539"/>
      <c r="O43" s="1539"/>
      <c r="P43" s="1539"/>
      <c r="Q43" s="1539"/>
      <c r="R43" s="1539"/>
      <c r="S43" s="1539"/>
      <c r="T43" s="1539"/>
      <c r="U43" s="1539"/>
      <c r="V43" s="1539"/>
      <c r="W43" s="1539"/>
      <c r="X43" s="1540"/>
      <c r="Y43" s="1540"/>
      <c r="Z43" s="1540"/>
      <c r="AA43" s="1540"/>
      <c r="AB43" s="1540"/>
      <c r="AC43" s="1540"/>
      <c r="AD43" s="1323"/>
      <c r="AE43" s="1323"/>
      <c r="AF43" s="1323"/>
      <c r="AG43" s="1323"/>
      <c r="AH43" s="1323"/>
      <c r="AI43" s="1323"/>
      <c r="AJ43" s="1323"/>
      <c r="AK43" s="1323"/>
      <c r="AL43" s="1706"/>
      <c r="AM43" s="1707"/>
      <c r="AN43" s="1707"/>
      <c r="AO43" s="1707"/>
      <c r="AP43" s="1707"/>
      <c r="AQ43" s="1707"/>
      <c r="AR43" s="1707"/>
      <c r="AS43" s="1323"/>
      <c r="AT43" s="1323"/>
      <c r="AU43" s="1323"/>
      <c r="AV43" s="1323"/>
      <c r="AW43" s="1323"/>
      <c r="AX43" s="1323"/>
      <c r="AY43" s="1323"/>
      <c r="AZ43" s="1323"/>
      <c r="BA43" s="1339"/>
      <c r="BB43" s="1339"/>
      <c r="BC43" s="1321"/>
      <c r="BD43" s="1321"/>
      <c r="BE43" s="1321"/>
      <c r="BF43" s="1321"/>
      <c r="BG43" s="1321"/>
      <c r="BH43" s="1321"/>
      <c r="BI43" s="1321"/>
      <c r="BJ43" s="1321"/>
      <c r="BK43" s="1321"/>
      <c r="BL43" s="1321"/>
      <c r="BM43" s="1321"/>
      <c r="BN43" s="1321"/>
      <c r="BO43" s="1321"/>
      <c r="BP43" s="1321"/>
      <c r="BQ43" s="1337"/>
      <c r="BR43" s="1343"/>
      <c r="BS43" s="1334"/>
      <c r="BT43" s="817"/>
      <c r="BV43" s="579"/>
      <c r="BW43" s="580"/>
    </row>
    <row r="44" spans="1:83" s="1971" customFormat="1" ht="36" customHeight="1">
      <c r="A44" s="914"/>
      <c r="B44" s="1958" t="s">
        <v>816</v>
      </c>
      <c r="C44" s="1564" t="s">
        <v>21</v>
      </c>
      <c r="D44" s="1543">
        <v>18.103571428571431</v>
      </c>
      <c r="E44" s="1590">
        <v>18</v>
      </c>
      <c r="F44" s="1539">
        <v>17.760000000000002</v>
      </c>
      <c r="G44" s="1555">
        <v>17.47</v>
      </c>
      <c r="H44" s="1959">
        <v>17.47108097327483</v>
      </c>
      <c r="I44" s="1960">
        <v>13.147410358565736</v>
      </c>
      <c r="J44" s="1960">
        <v>13.793103448275861</v>
      </c>
      <c r="K44" s="1960">
        <v>19.047619047619047</v>
      </c>
      <c r="L44" s="1960">
        <v>18.947368421052634</v>
      </c>
      <c r="M44" s="1961">
        <v>15.775401069518717</v>
      </c>
      <c r="N44" s="1960">
        <v>16.847826086956523</v>
      </c>
      <c r="O44" s="1962">
        <v>20</v>
      </c>
      <c r="P44" s="1960">
        <v>20.258620689655171</v>
      </c>
      <c r="Q44" s="1960">
        <v>19.75</v>
      </c>
      <c r="R44" s="1960">
        <v>19.072164948453608</v>
      </c>
      <c r="S44" s="1960">
        <v>14.485981308411214</v>
      </c>
      <c r="T44" s="1963">
        <v>14.396887159533073</v>
      </c>
      <c r="U44" s="1960">
        <v>15.593220338983052</v>
      </c>
      <c r="V44" s="1960">
        <v>19.621513944223107</v>
      </c>
      <c r="W44" s="1590" t="s">
        <v>884</v>
      </c>
      <c r="X44" s="1964" t="s">
        <v>885</v>
      </c>
      <c r="Y44" s="1964" t="s">
        <v>886</v>
      </c>
      <c r="Z44" s="1964" t="s">
        <v>887</v>
      </c>
      <c r="AA44" s="1964" t="s">
        <v>888</v>
      </c>
      <c r="AB44" s="1964" t="s">
        <v>889</v>
      </c>
      <c r="AC44" s="1964" t="s">
        <v>890</v>
      </c>
      <c r="AD44" s="1965" t="s">
        <v>891</v>
      </c>
      <c r="AE44" s="1965" t="s">
        <v>892</v>
      </c>
      <c r="AF44" s="1965" t="s">
        <v>893</v>
      </c>
      <c r="AG44" s="1965" t="s">
        <v>888</v>
      </c>
      <c r="AH44" s="1965" t="s">
        <v>894</v>
      </c>
      <c r="AI44" s="1965" t="s">
        <v>895</v>
      </c>
      <c r="AJ44" s="1965" t="s">
        <v>896</v>
      </c>
      <c r="AK44" s="1965" t="s">
        <v>897</v>
      </c>
      <c r="AL44" s="1708">
        <f>876/5014*100</f>
        <v>17.47108097327483</v>
      </c>
      <c r="AM44" s="1709">
        <f>66/502*100</f>
        <v>13.147410358565736</v>
      </c>
      <c r="AN44" s="1709">
        <f>48/348*100</f>
        <v>13.793103448275861</v>
      </c>
      <c r="AO44" s="1709">
        <f>52/273*100</f>
        <v>19.047619047619047</v>
      </c>
      <c r="AP44" s="1709">
        <f>36/190*100</f>
        <v>18.947368421052634</v>
      </c>
      <c r="AQ44" s="1710">
        <f>59/374*100</f>
        <v>15.775401069518717</v>
      </c>
      <c r="AR44" s="1709">
        <f>31/184*100</f>
        <v>16.847826086956523</v>
      </c>
      <c r="AS44" s="1711">
        <f>63/315*100</f>
        <v>20</v>
      </c>
      <c r="AT44" s="1709">
        <f>94/464*100</f>
        <v>20.258620689655171</v>
      </c>
      <c r="AU44" s="1709">
        <f>79/400*100</f>
        <v>19.75</v>
      </c>
      <c r="AV44" s="1709">
        <f>37/194*100</f>
        <v>19.072164948453608</v>
      </c>
      <c r="AW44" s="1709">
        <f>31/214*100</f>
        <v>14.485981308411214</v>
      </c>
      <c r="AX44" s="1712">
        <f>37/257*100</f>
        <v>14.396887159533073</v>
      </c>
      <c r="AY44" s="1709">
        <f>46/295*100</f>
        <v>15.593220338983052</v>
      </c>
      <c r="AZ44" s="1709">
        <f>197/1004*100</f>
        <v>19.621513944223107</v>
      </c>
      <c r="BA44" s="1339">
        <f t="shared" si="17"/>
        <v>98.37320367834927</v>
      </c>
      <c r="BB44" s="1339">
        <f t="shared" si="18"/>
        <v>100.40851134065996</v>
      </c>
      <c r="BC44" s="1966">
        <v>13.88</v>
      </c>
      <c r="BD44" s="1966">
        <v>14.2</v>
      </c>
      <c r="BE44" s="1966">
        <v>19.47</v>
      </c>
      <c r="BF44" s="1966">
        <v>19.399999999999999</v>
      </c>
      <c r="BG44" s="1966">
        <v>16.510000000000002</v>
      </c>
      <c r="BH44" s="1966">
        <v>17.34</v>
      </c>
      <c r="BI44" s="1966">
        <v>20.25</v>
      </c>
      <c r="BJ44" s="1966">
        <v>20.89</v>
      </c>
      <c r="BK44" s="1966">
        <v>20.100000000000001</v>
      </c>
      <c r="BL44" s="1966">
        <v>19.71</v>
      </c>
      <c r="BM44" s="1966">
        <v>14.96</v>
      </c>
      <c r="BN44" s="1966">
        <v>15.12</v>
      </c>
      <c r="BO44" s="1966">
        <v>16.37</v>
      </c>
      <c r="BP44" s="1966">
        <v>19.84</v>
      </c>
      <c r="BQ44" s="1967"/>
      <c r="BR44" s="1968">
        <v>17.399999999999999</v>
      </c>
      <c r="BS44" s="1334">
        <f>W44-BR44</f>
        <v>0</v>
      </c>
      <c r="BT44" s="1969"/>
      <c r="BU44" s="1970"/>
      <c r="BV44" s="1970"/>
      <c r="BW44" s="1970"/>
      <c r="CE44" s="1972"/>
    </row>
    <row r="45" spans="1:83" s="1971" customFormat="1" ht="36" customHeight="1">
      <c r="A45" s="914"/>
      <c r="B45" s="1958" t="s">
        <v>817</v>
      </c>
      <c r="C45" s="1564" t="s">
        <v>21</v>
      </c>
      <c r="D45" s="1973">
        <v>24.082142857142863</v>
      </c>
      <c r="E45" s="1562">
        <v>23.3</v>
      </c>
      <c r="F45" s="1539">
        <v>23.15</v>
      </c>
      <c r="G45" s="1555">
        <v>23.08</v>
      </c>
      <c r="H45" s="1551">
        <v>23.075388911049064</v>
      </c>
      <c r="I45" s="1974">
        <v>11.752988047808765</v>
      </c>
      <c r="J45" s="1974">
        <v>9.1954022988505741</v>
      </c>
      <c r="K45" s="1974">
        <v>33.699633699633701</v>
      </c>
      <c r="L45" s="1974">
        <v>38.94736842105263</v>
      </c>
      <c r="M45" s="1974">
        <v>21.390374331550802</v>
      </c>
      <c r="N45" s="1974">
        <v>18.478260869565215</v>
      </c>
      <c r="O45" s="1974">
        <v>22.539682539682541</v>
      </c>
      <c r="P45" s="1974">
        <v>21.120689655172413</v>
      </c>
      <c r="Q45" s="1974">
        <v>42.5</v>
      </c>
      <c r="R45" s="1974">
        <v>18.556701030927837</v>
      </c>
      <c r="S45" s="1974">
        <v>22.897196261682243</v>
      </c>
      <c r="T45" s="1974">
        <v>26.848249027237355</v>
      </c>
      <c r="U45" s="1974">
        <v>26.440677966101696</v>
      </c>
      <c r="V45" s="1974">
        <v>21.414342629482071</v>
      </c>
      <c r="W45" s="1551" t="s">
        <v>898</v>
      </c>
      <c r="X45" s="1975" t="s">
        <v>899</v>
      </c>
      <c r="Y45" s="1975" t="s">
        <v>900</v>
      </c>
      <c r="Z45" s="1975" t="s">
        <v>901</v>
      </c>
      <c r="AA45" s="1975" t="s">
        <v>902</v>
      </c>
      <c r="AB45" s="1975" t="s">
        <v>903</v>
      </c>
      <c r="AC45" s="1975" t="s">
        <v>904</v>
      </c>
      <c r="AD45" s="1976" t="s">
        <v>905</v>
      </c>
      <c r="AE45" s="1976" t="s">
        <v>906</v>
      </c>
      <c r="AF45" s="1976" t="s">
        <v>907</v>
      </c>
      <c r="AG45" s="1976" t="s">
        <v>908</v>
      </c>
      <c r="AH45" s="1976" t="s">
        <v>909</v>
      </c>
      <c r="AI45" s="1976" t="s">
        <v>910</v>
      </c>
      <c r="AJ45" s="1976" t="s">
        <v>911</v>
      </c>
      <c r="AK45" s="1976" t="s">
        <v>912</v>
      </c>
      <c r="AL45" s="1708">
        <f>1157/5014*100</f>
        <v>23.075388911049064</v>
      </c>
      <c r="AM45" s="1709">
        <f>59/502*100</f>
        <v>11.752988047808765</v>
      </c>
      <c r="AN45" s="1709">
        <f>32/348*100</f>
        <v>9.1954022988505741</v>
      </c>
      <c r="AO45" s="1709">
        <f>92/273*100</f>
        <v>33.699633699633701</v>
      </c>
      <c r="AP45" s="1709">
        <f>74/190*100</f>
        <v>38.94736842105263</v>
      </c>
      <c r="AQ45" s="1709">
        <f>80/374*100</f>
        <v>21.390374331550802</v>
      </c>
      <c r="AR45" s="1709">
        <f>34/184*100</f>
        <v>18.478260869565215</v>
      </c>
      <c r="AS45" s="1713">
        <f>71/315*100</f>
        <v>22.539682539682541</v>
      </c>
      <c r="AT45" s="1709">
        <f>98/464*100</f>
        <v>21.120689655172413</v>
      </c>
      <c r="AU45" s="1709">
        <f>170/400*100</f>
        <v>42.5</v>
      </c>
      <c r="AV45" s="1709">
        <f>36/194*100</f>
        <v>18.556701030927837</v>
      </c>
      <c r="AW45" s="1709">
        <f>49/214*100</f>
        <v>22.897196261682243</v>
      </c>
      <c r="AX45" s="1714">
        <f>69/257*100</f>
        <v>26.848249027237355</v>
      </c>
      <c r="AY45" s="1709">
        <f>78/295*100</f>
        <v>26.440677966101696</v>
      </c>
      <c r="AZ45" s="1709">
        <f>215/1004*100</f>
        <v>21.414342629482071</v>
      </c>
      <c r="BA45" s="1339">
        <f t="shared" si="17"/>
        <v>99.677705879261623</v>
      </c>
      <c r="BB45" s="1339">
        <f t="shared" si="18"/>
        <v>106.14254328909414</v>
      </c>
      <c r="BC45" s="1487">
        <v>12.07</v>
      </c>
      <c r="BD45" s="1487">
        <v>10.19</v>
      </c>
      <c r="BE45" s="1487">
        <v>32.340000000000003</v>
      </c>
      <c r="BF45" s="1487">
        <v>37.31</v>
      </c>
      <c r="BG45" s="1487">
        <v>22.17</v>
      </c>
      <c r="BH45" s="1487">
        <v>19.079999999999998</v>
      </c>
      <c r="BI45" s="1487">
        <v>23.1</v>
      </c>
      <c r="BJ45" s="1487">
        <v>21.94</v>
      </c>
      <c r="BK45" s="1487">
        <v>41.44</v>
      </c>
      <c r="BL45" s="1977">
        <v>19.23</v>
      </c>
      <c r="BM45" s="1487">
        <v>23.5</v>
      </c>
      <c r="BN45" s="1487">
        <v>26.36</v>
      </c>
      <c r="BO45" s="1487">
        <v>26.99</v>
      </c>
      <c r="BP45" s="1487">
        <v>21.34</v>
      </c>
      <c r="BQ45" s="1330"/>
      <c r="BR45" s="1968">
        <v>21.74</v>
      </c>
      <c r="BS45" s="1334">
        <f>W45-BR45</f>
        <v>0</v>
      </c>
      <c r="BT45" s="1969"/>
      <c r="BU45" s="1978"/>
      <c r="BV45" s="1970"/>
      <c r="BW45" s="1970"/>
      <c r="CE45" s="1972"/>
    </row>
    <row r="46" spans="1:83" ht="53.1" customHeight="1">
      <c r="A46" s="837">
        <v>5</v>
      </c>
      <c r="B46" s="1949" t="s">
        <v>374</v>
      </c>
      <c r="C46" s="857" t="s">
        <v>377</v>
      </c>
      <c r="D46" s="1548">
        <v>0</v>
      </c>
      <c r="E46" s="1539">
        <v>130</v>
      </c>
      <c r="F46" s="1549">
        <f>1/416*100000</f>
        <v>240.38461538461539</v>
      </c>
      <c r="G46" s="1550">
        <v>153.6</v>
      </c>
      <c r="H46" s="1551">
        <v>113.63636363636363</v>
      </c>
      <c r="I46" s="1539"/>
      <c r="J46" s="1539"/>
      <c r="K46" s="1539"/>
      <c r="L46" s="1539"/>
      <c r="M46" s="1539"/>
      <c r="N46" s="1539"/>
      <c r="O46" s="1539"/>
      <c r="P46" s="1539"/>
      <c r="Q46" s="1539"/>
      <c r="R46" s="1539"/>
      <c r="S46" s="1539"/>
      <c r="T46" s="1539"/>
      <c r="U46" s="1539"/>
      <c r="V46" s="1539"/>
      <c r="W46" s="1552">
        <v>0</v>
      </c>
      <c r="X46" s="1553"/>
      <c r="Y46" s="1553"/>
      <c r="Z46" s="1553"/>
      <c r="AA46" s="1553"/>
      <c r="AB46" s="1553"/>
      <c r="AC46" s="1553"/>
      <c r="AD46" s="1325"/>
      <c r="AE46" s="1325"/>
      <c r="AF46" s="1325"/>
      <c r="AG46" s="1325"/>
      <c r="AH46" s="1325"/>
      <c r="AI46" s="1325"/>
      <c r="AJ46" s="1325"/>
      <c r="AK46" s="1325"/>
      <c r="AL46" s="1715">
        <f>1/316*100000</f>
        <v>316.45569620253161</v>
      </c>
      <c r="AM46" s="1716"/>
      <c r="AN46" s="1716"/>
      <c r="AO46" s="1716"/>
      <c r="AP46" s="1717"/>
      <c r="AQ46" s="1716"/>
      <c r="AR46" s="1716"/>
      <c r="AS46" s="1716"/>
      <c r="AT46" s="1716"/>
      <c r="AU46" s="1718"/>
      <c r="AV46" s="1716"/>
      <c r="AW46" s="1716"/>
      <c r="AX46" s="1716"/>
      <c r="AY46" s="1716"/>
      <c r="AZ46" s="1719"/>
      <c r="BA46" s="1339">
        <f t="shared" ref="BA46:BA49" si="25">AL46/F46%</f>
        <v>131.64556962025316</v>
      </c>
      <c r="BB46" s="1339"/>
      <c r="BC46" s="1321"/>
      <c r="BD46" s="1321"/>
      <c r="BE46" s="1321"/>
      <c r="BF46" s="1321"/>
      <c r="BG46" s="1321"/>
      <c r="BH46" s="1321"/>
      <c r="BI46" s="1321"/>
      <c r="BJ46" s="1321"/>
      <c r="BK46" s="1321"/>
      <c r="BL46" s="1321"/>
      <c r="BM46" s="1321"/>
      <c r="BN46" s="1321"/>
      <c r="BO46" s="1321"/>
      <c r="BP46" s="1321"/>
      <c r="BQ46" s="1337"/>
      <c r="BR46" s="1349">
        <v>0</v>
      </c>
      <c r="BS46" s="1334"/>
      <c r="BT46" s="817"/>
      <c r="BW46" s="572"/>
      <c r="CE46" s="480"/>
    </row>
    <row r="47" spans="1:83" ht="36" customHeight="1">
      <c r="A47" s="837">
        <v>6</v>
      </c>
      <c r="B47" s="1472" t="s">
        <v>948</v>
      </c>
      <c r="C47" s="857" t="s">
        <v>26</v>
      </c>
      <c r="D47" s="1554">
        <v>50.4</v>
      </c>
      <c r="E47" s="1539">
        <v>94.01</v>
      </c>
      <c r="F47" s="1539">
        <v>23.81</v>
      </c>
      <c r="G47" s="1555">
        <v>71.400000000000006</v>
      </c>
      <c r="H47" s="1552">
        <v>92.45076586433261</v>
      </c>
      <c r="I47" s="1556">
        <v>96.969696969696969</v>
      </c>
      <c r="J47" s="1552">
        <v>96.610169491525426</v>
      </c>
      <c r="K47" s="1556">
        <v>93.548387096774192</v>
      </c>
      <c r="L47" s="1552">
        <v>92.682926829268297</v>
      </c>
      <c r="M47" s="1556">
        <v>95.714285714285722</v>
      </c>
      <c r="N47" s="1552">
        <v>92.5</v>
      </c>
      <c r="O47" s="1556">
        <v>92</v>
      </c>
      <c r="P47" s="1552">
        <v>91.011235955056179</v>
      </c>
      <c r="Q47" s="1556">
        <v>92.307692307692307</v>
      </c>
      <c r="R47" s="1552">
        <v>92.307692307692307</v>
      </c>
      <c r="S47" s="1556">
        <v>93.548387096774192</v>
      </c>
      <c r="T47" s="1552">
        <v>95.833333333333343</v>
      </c>
      <c r="U47" s="1556">
        <v>93.478260869565219</v>
      </c>
      <c r="V47" s="1552">
        <v>87.058823529411768</v>
      </c>
      <c r="W47" s="1552">
        <v>93.313373253493012</v>
      </c>
      <c r="X47" s="1556">
        <v>96.296296296296291</v>
      </c>
      <c r="Y47" s="1556">
        <v>94.20289855072464</v>
      </c>
      <c r="Z47" s="1556">
        <v>95.384615384615387</v>
      </c>
      <c r="AA47" s="1556">
        <v>93.61702127659575</v>
      </c>
      <c r="AB47" s="1556">
        <v>95.714285714285722</v>
      </c>
      <c r="AC47" s="1556">
        <v>93.333333333333329</v>
      </c>
      <c r="AD47" s="1326">
        <v>93.670886075949369</v>
      </c>
      <c r="AE47" s="1326">
        <v>90.804597701149419</v>
      </c>
      <c r="AF47" s="1326">
        <v>94.186046511627907</v>
      </c>
      <c r="AG47" s="1326">
        <v>90.476190476190482</v>
      </c>
      <c r="AH47" s="1326">
        <v>94.230769230769226</v>
      </c>
      <c r="AI47" s="1326">
        <v>94.642857142857139</v>
      </c>
      <c r="AJ47" s="1326">
        <v>94.73684210526315</v>
      </c>
      <c r="AK47" s="1326">
        <v>89.759036144578303</v>
      </c>
      <c r="AL47" s="1720">
        <f>299/336*100</f>
        <v>88.988095238095227</v>
      </c>
      <c r="AM47" s="1721">
        <f>35/21*100</f>
        <v>166.66666666666669</v>
      </c>
      <c r="AN47" s="1721">
        <f>18/18*100</f>
        <v>100</v>
      </c>
      <c r="AO47" s="1722">
        <f>13/15*100</f>
        <v>86.666666666666671</v>
      </c>
      <c r="AP47" s="1723">
        <f>3/7*100</f>
        <v>42.857142857142854</v>
      </c>
      <c r="AQ47" s="1721">
        <f>20/18*100</f>
        <v>111.11111111111111</v>
      </c>
      <c r="AR47" s="1723">
        <f>16/18*100</f>
        <v>88.888888888888886</v>
      </c>
      <c r="AS47" s="1723">
        <f>19/28*100</f>
        <v>67.857142857142861</v>
      </c>
      <c r="AT47" s="1723">
        <f>23/32*100</f>
        <v>71.875</v>
      </c>
      <c r="AU47" s="1723">
        <f>18/27*100</f>
        <v>66.666666666666657</v>
      </c>
      <c r="AV47" s="1723">
        <f>17/28*100</f>
        <v>60.714285714285708</v>
      </c>
      <c r="AW47" s="1721">
        <f>19/9*100</f>
        <v>211.11111111111111</v>
      </c>
      <c r="AX47" s="1723">
        <f>11/14*100</f>
        <v>78.571428571428569</v>
      </c>
      <c r="AY47" s="1721">
        <f>37/25*100</f>
        <v>148</v>
      </c>
      <c r="AZ47" s="1723">
        <f>50/76*100</f>
        <v>65.789473684210535</v>
      </c>
      <c r="BA47" s="1339">
        <f t="shared" si="25"/>
        <v>373.742525149497</v>
      </c>
      <c r="BB47" s="1339">
        <f t="shared" ref="BB47:BB49" si="26">AL47/W47%</f>
        <v>95.364782276546975</v>
      </c>
      <c r="BC47" s="1321"/>
      <c r="BD47" s="1321"/>
      <c r="BE47" s="1321"/>
      <c r="BF47" s="1321"/>
      <c r="BG47" s="1321"/>
      <c r="BH47" s="1321"/>
      <c r="BI47" s="1321"/>
      <c r="BJ47" s="1321"/>
      <c r="BK47" s="1321"/>
      <c r="BL47" s="1321"/>
      <c r="BM47" s="1321"/>
      <c r="BN47" s="1321"/>
      <c r="BO47" s="1321"/>
      <c r="BP47" s="1321"/>
      <c r="BQ47" s="1337"/>
      <c r="BR47" s="1349">
        <v>93.31</v>
      </c>
      <c r="BS47" s="1334">
        <f>W47-BR47</f>
        <v>3.3732534930095426E-3</v>
      </c>
      <c r="BT47" s="817"/>
      <c r="BV47" s="579"/>
      <c r="BW47" s="580"/>
      <c r="CE47" s="576"/>
    </row>
    <row r="48" spans="1:83" ht="36" customHeight="1">
      <c r="A48" s="837">
        <v>7</v>
      </c>
      <c r="B48" s="1472" t="s">
        <v>747</v>
      </c>
      <c r="C48" s="857" t="s">
        <v>26</v>
      </c>
      <c r="D48" s="1534">
        <v>70.900000000000006</v>
      </c>
      <c r="E48" s="1539">
        <v>68.400000000000006</v>
      </c>
      <c r="F48" s="1539">
        <v>73.3</v>
      </c>
      <c r="G48" s="1557">
        <f>489/650*100</f>
        <v>75.230769230769241</v>
      </c>
      <c r="H48" s="1558">
        <f>603/880*100</f>
        <v>68.522727272727266</v>
      </c>
      <c r="I48" s="1559">
        <f>44/46*100</f>
        <v>95.652173913043484</v>
      </c>
      <c r="J48" s="1558">
        <f>54/58*100</f>
        <v>93.103448275862064</v>
      </c>
      <c r="K48" s="1559">
        <f>23/39*100</f>
        <v>58.974358974358978</v>
      </c>
      <c r="L48" s="1558">
        <f>24/31*100</f>
        <v>77.41935483870968</v>
      </c>
      <c r="M48" s="1559">
        <f>65/73*100</f>
        <v>89.041095890410958</v>
      </c>
      <c r="N48" s="1558">
        <f>25/34*100</f>
        <v>73.529411764705884</v>
      </c>
      <c r="O48" s="1559">
        <f>50/71*100</f>
        <v>70.422535211267601</v>
      </c>
      <c r="P48" s="1558">
        <f>65/69*100</f>
        <v>94.20289855072464</v>
      </c>
      <c r="Q48" s="1559">
        <f>43/84*100</f>
        <v>51.19047619047619</v>
      </c>
      <c r="R48" s="1558">
        <f>24/49*100</f>
        <v>48.979591836734691</v>
      </c>
      <c r="S48" s="1559">
        <f>30/39*100</f>
        <v>76.923076923076934</v>
      </c>
      <c r="T48" s="1558">
        <f>53/58*100</f>
        <v>91.379310344827587</v>
      </c>
      <c r="U48" s="1559">
        <f>30/33*100</f>
        <v>90.909090909090907</v>
      </c>
      <c r="V48" s="1558">
        <f>73/195*100</f>
        <v>37.435897435897438</v>
      </c>
      <c r="W48" s="1590">
        <v>69.473684210526315</v>
      </c>
      <c r="X48" s="1559">
        <v>94.318181818181827</v>
      </c>
      <c r="Y48" s="1559">
        <v>89.552238805970148</v>
      </c>
      <c r="Z48" s="1559">
        <v>66.17647058823529</v>
      </c>
      <c r="AA48" s="1559">
        <v>60.416666666666664</v>
      </c>
      <c r="AB48" s="1559">
        <v>94.230769230769226</v>
      </c>
      <c r="AC48" s="1559">
        <v>68</v>
      </c>
      <c r="AD48" s="1327">
        <v>60.810810810810814</v>
      </c>
      <c r="AE48" s="1327">
        <v>66.265060240963862</v>
      </c>
      <c r="AF48" s="1327">
        <v>64.835164835164832</v>
      </c>
      <c r="AG48" s="1327">
        <v>62.5</v>
      </c>
      <c r="AH48" s="1327">
        <v>68.75</v>
      </c>
      <c r="AI48" s="1327">
        <v>71.698113207547166</v>
      </c>
      <c r="AJ48" s="1327">
        <v>72.916666666666657</v>
      </c>
      <c r="AK48" s="1327">
        <v>50</v>
      </c>
      <c r="AL48" s="1724">
        <f>254/312*100</f>
        <v>81.410256410256409</v>
      </c>
      <c r="AM48" s="1725">
        <f>17/19*100</f>
        <v>89.473684210526315</v>
      </c>
      <c r="AN48" s="1726">
        <f>18/18*100</f>
        <v>100</v>
      </c>
      <c r="AO48" s="1725">
        <f>13/15*100</f>
        <v>86.666666666666671</v>
      </c>
      <c r="AP48" s="1727">
        <f>7/8*100</f>
        <v>87.5</v>
      </c>
      <c r="AQ48" s="1725">
        <f>13/15*100</f>
        <v>86.666666666666671</v>
      </c>
      <c r="AR48" s="1725">
        <f>8/12*100</f>
        <v>66.666666666666657</v>
      </c>
      <c r="AS48" s="1725">
        <f>28/35*100</f>
        <v>80</v>
      </c>
      <c r="AT48" s="1725">
        <f>24/27*100</f>
        <v>88.888888888888886</v>
      </c>
      <c r="AU48" s="1726">
        <f>27/27*100</f>
        <v>100</v>
      </c>
      <c r="AV48" s="1725">
        <f>10/17*100</f>
        <v>58.82352941176471</v>
      </c>
      <c r="AW48" s="1725">
        <f>8/9*100</f>
        <v>88.888888888888886</v>
      </c>
      <c r="AX48" s="1726">
        <f>11/11*100</f>
        <v>100</v>
      </c>
      <c r="AY48" s="1724">
        <f>13/16*100</f>
        <v>81.25</v>
      </c>
      <c r="AZ48" s="1728">
        <f>57/83*100</f>
        <v>68.674698795180717</v>
      </c>
      <c r="BA48" s="1339">
        <f t="shared" si="25"/>
        <v>111.06446986392416</v>
      </c>
      <c r="BB48" s="1339">
        <f t="shared" si="26"/>
        <v>117.18142968142969</v>
      </c>
      <c r="BC48" s="1321"/>
      <c r="BD48" s="1321"/>
      <c r="BE48" s="1321"/>
      <c r="BF48" s="1321"/>
      <c r="BG48" s="1321"/>
      <c r="BH48" s="1321"/>
      <c r="BI48" s="1321"/>
      <c r="BJ48" s="1321"/>
      <c r="BK48" s="1321"/>
      <c r="BL48" s="1321"/>
      <c r="BM48" s="1321"/>
      <c r="BN48" s="1321"/>
      <c r="BO48" s="1321"/>
      <c r="BP48" s="1321"/>
      <c r="BQ48" s="1337"/>
      <c r="BR48" s="1343">
        <v>69.5</v>
      </c>
      <c r="BS48" s="1334">
        <f>W48-BR48</f>
        <v>-2.6315789473684958E-2</v>
      </c>
      <c r="BT48" s="817"/>
      <c r="BV48" s="579"/>
      <c r="BW48" s="580"/>
      <c r="CE48" s="480"/>
    </row>
    <row r="49" spans="1:84" ht="36" customHeight="1">
      <c r="A49" s="837">
        <v>8</v>
      </c>
      <c r="B49" s="1472" t="s">
        <v>819</v>
      </c>
      <c r="C49" s="857" t="s">
        <v>26</v>
      </c>
      <c r="D49" s="1534">
        <v>69.863013698630141</v>
      </c>
      <c r="E49" s="1560">
        <v>73.7</v>
      </c>
      <c r="F49" s="1560">
        <v>77.400000000000006</v>
      </c>
      <c r="G49" s="1557">
        <f>531/700*100</f>
        <v>75.857142857142861</v>
      </c>
      <c r="H49" s="1552">
        <f>678/880*100</f>
        <v>77.045454545454547</v>
      </c>
      <c r="I49" s="1556">
        <f>46/46*100</f>
        <v>100</v>
      </c>
      <c r="J49" s="1552">
        <f>57/58*100</f>
        <v>98.275862068965509</v>
      </c>
      <c r="K49" s="1556">
        <f>35/39*100</f>
        <v>89.743589743589752</v>
      </c>
      <c r="L49" s="1552">
        <f>18/31*100</f>
        <v>58.064516129032263</v>
      </c>
      <c r="M49" s="1556">
        <f>60/73*100</f>
        <v>82.191780821917803</v>
      </c>
      <c r="N49" s="1552">
        <f>32/34*100</f>
        <v>94.117647058823522</v>
      </c>
      <c r="O49" s="1556">
        <f>54/71*100</f>
        <v>76.056338028169009</v>
      </c>
      <c r="P49" s="1552">
        <f>57/69*100</f>
        <v>82.608695652173907</v>
      </c>
      <c r="Q49" s="1556">
        <f>65/84*100</f>
        <v>77.38095238095238</v>
      </c>
      <c r="R49" s="1552">
        <f>30/49*100</f>
        <v>61.224489795918366</v>
      </c>
      <c r="S49" s="1556">
        <f>30/39*100</f>
        <v>76.923076923076934</v>
      </c>
      <c r="T49" s="1552">
        <f>53/58*100</f>
        <v>91.379310344827587</v>
      </c>
      <c r="U49" s="1556">
        <f>33/33*100</f>
        <v>100</v>
      </c>
      <c r="V49" s="1552">
        <f>108/195*100</f>
        <v>55.384615384615387</v>
      </c>
      <c r="W49" s="1590">
        <v>77.16</v>
      </c>
      <c r="X49" s="1561">
        <v>96.590909090909093</v>
      </c>
      <c r="Y49" s="1561">
        <v>89.552238805970148</v>
      </c>
      <c r="Z49" s="1561">
        <v>80.882352941176478</v>
      </c>
      <c r="AA49" s="1561">
        <v>66.666666666666657</v>
      </c>
      <c r="AB49" s="1561">
        <v>96.15384615384616</v>
      </c>
      <c r="AC49" s="1561">
        <v>72</v>
      </c>
      <c r="AD49" s="1328">
        <v>70.270270270270274</v>
      </c>
      <c r="AE49" s="1328">
        <v>65.060240963855421</v>
      </c>
      <c r="AF49" s="1328">
        <v>71.428571428571431</v>
      </c>
      <c r="AG49" s="1328">
        <v>65</v>
      </c>
      <c r="AH49" s="1328">
        <v>83.333333333333343</v>
      </c>
      <c r="AI49" s="1328">
        <v>94.339622641509436</v>
      </c>
      <c r="AJ49" s="1328">
        <v>93.75</v>
      </c>
      <c r="AK49" s="1328">
        <v>59.285714285714285</v>
      </c>
      <c r="AL49" s="1724">
        <f>248/312*100</f>
        <v>79.487179487179489</v>
      </c>
      <c r="AM49" s="1488">
        <f>19/19*100</f>
        <v>100</v>
      </c>
      <c r="AN49" s="1488">
        <f>18/18*100</f>
        <v>100</v>
      </c>
      <c r="AO49" s="1488">
        <f>15/15*100</f>
        <v>100</v>
      </c>
      <c r="AP49" s="1488">
        <f>8/8*100</f>
        <v>100</v>
      </c>
      <c r="AQ49" s="1488">
        <f>15/15*100</f>
        <v>100</v>
      </c>
      <c r="AR49" s="1488">
        <f>12/12*100</f>
        <v>100</v>
      </c>
      <c r="AS49" s="1328">
        <f>26/35*100</f>
        <v>74.285714285714292</v>
      </c>
      <c r="AT49" s="1328">
        <f>23/27*100</f>
        <v>85.18518518518519</v>
      </c>
      <c r="AU49" s="1328">
        <f>26/27*100</f>
        <v>96.296296296296291</v>
      </c>
      <c r="AV49" s="1328">
        <f>6/17*100</f>
        <v>35.294117647058826</v>
      </c>
      <c r="AW49" s="1328">
        <f>8/9*100</f>
        <v>88.888888888888886</v>
      </c>
      <c r="AX49" s="1729">
        <f>11/11*100</f>
        <v>100</v>
      </c>
      <c r="AY49" s="1730">
        <f>15/16*100</f>
        <v>93.75</v>
      </c>
      <c r="AZ49" s="1328">
        <f>46/83*100</f>
        <v>55.421686746987952</v>
      </c>
      <c r="BA49" s="1339">
        <f t="shared" si="25"/>
        <v>102.69661432452131</v>
      </c>
      <c r="BB49" s="1339">
        <f t="shared" si="26"/>
        <v>103.01604391806571</v>
      </c>
      <c r="BC49" s="1321"/>
      <c r="BD49" s="1321"/>
      <c r="BE49" s="1321"/>
      <c r="BF49" s="1321"/>
      <c r="BG49" s="1321"/>
      <c r="BH49" s="1321"/>
      <c r="BI49" s="1321"/>
      <c r="BJ49" s="1321"/>
      <c r="BK49" s="1321"/>
      <c r="BL49" s="1321"/>
      <c r="BM49" s="1321"/>
      <c r="BN49" s="1321"/>
      <c r="BO49" s="1321"/>
      <c r="BP49" s="1321"/>
      <c r="BQ49" s="1337"/>
      <c r="BR49" s="1343">
        <v>77.2</v>
      </c>
      <c r="BS49" s="1334">
        <f>W49-BR49</f>
        <v>-4.0000000000006253E-2</v>
      </c>
      <c r="BT49" s="530"/>
      <c r="BU49" s="530"/>
      <c r="BV49" s="530"/>
      <c r="BW49" s="530"/>
      <c r="CE49" s="480"/>
    </row>
    <row r="50" spans="1:84" ht="21.95" customHeight="1">
      <c r="A50" s="837">
        <v>9</v>
      </c>
      <c r="B50" s="1472" t="s">
        <v>375</v>
      </c>
      <c r="C50" s="857"/>
      <c r="D50" s="1538"/>
      <c r="E50" s="1539"/>
      <c r="F50" s="1539"/>
      <c r="G50" s="1539"/>
      <c r="H50" s="1539"/>
      <c r="I50" s="1539"/>
      <c r="J50" s="1539"/>
      <c r="K50" s="1539"/>
      <c r="L50" s="1539"/>
      <c r="M50" s="1539"/>
      <c r="N50" s="1539"/>
      <c r="O50" s="1539"/>
      <c r="P50" s="1539"/>
      <c r="Q50" s="1539"/>
      <c r="R50" s="1539"/>
      <c r="S50" s="1539"/>
      <c r="T50" s="1539"/>
      <c r="U50" s="1539"/>
      <c r="V50" s="1539"/>
      <c r="W50" s="1539"/>
      <c r="X50" s="1540"/>
      <c r="Y50" s="1540"/>
      <c r="Z50" s="1540"/>
      <c r="AA50" s="1540"/>
      <c r="AB50" s="1540"/>
      <c r="AC50" s="1540"/>
      <c r="AD50" s="1323"/>
      <c r="AE50" s="1323"/>
      <c r="AF50" s="1323"/>
      <c r="AG50" s="1323"/>
      <c r="AH50" s="1323"/>
      <c r="AI50" s="1323"/>
      <c r="AJ50" s="1323"/>
      <c r="AK50" s="1323"/>
      <c r="AL50" s="1539"/>
      <c r="AM50" s="1540"/>
      <c r="AN50" s="1540"/>
      <c r="AO50" s="1540"/>
      <c r="AP50" s="1540"/>
      <c r="AQ50" s="1540"/>
      <c r="AR50" s="1540"/>
      <c r="AS50" s="1323"/>
      <c r="AT50" s="1323"/>
      <c r="AU50" s="1323"/>
      <c r="AV50" s="1323"/>
      <c r="AW50" s="1323"/>
      <c r="AX50" s="1323"/>
      <c r="AY50" s="1323"/>
      <c r="AZ50" s="1323"/>
      <c r="BA50" s="1339"/>
      <c r="BB50" s="1339"/>
      <c r="BC50" s="1321"/>
      <c r="BD50" s="1321"/>
      <c r="BE50" s="1321"/>
      <c r="BF50" s="1321"/>
      <c r="BG50" s="1321"/>
      <c r="BH50" s="1321"/>
      <c r="BI50" s="1321"/>
      <c r="BJ50" s="1321"/>
      <c r="BK50" s="1321"/>
      <c r="BL50" s="1321"/>
      <c r="BM50" s="1321"/>
      <c r="BN50" s="1321"/>
      <c r="BO50" s="1321"/>
      <c r="BP50" s="1321"/>
      <c r="BQ50" s="1337"/>
      <c r="BR50" s="1333"/>
      <c r="BS50" s="1334"/>
      <c r="BT50" s="817"/>
      <c r="BW50" s="572"/>
    </row>
    <row r="51" spans="1:84" s="573" customFormat="1" ht="21.95" hidden="1" customHeight="1">
      <c r="A51" s="846"/>
      <c r="B51" s="971" t="s">
        <v>376</v>
      </c>
      <c r="C51" s="970" t="s">
        <v>377</v>
      </c>
      <c r="D51" s="1538"/>
      <c r="E51" s="1539"/>
      <c r="F51" s="1539"/>
      <c r="G51" s="1539"/>
      <c r="H51" s="1539"/>
      <c r="I51" s="1539"/>
      <c r="J51" s="1539"/>
      <c r="K51" s="1539"/>
      <c r="L51" s="1539"/>
      <c r="M51" s="1539"/>
      <c r="N51" s="1539"/>
      <c r="O51" s="1539"/>
      <c r="P51" s="1539"/>
      <c r="Q51" s="1539"/>
      <c r="R51" s="1539"/>
      <c r="S51" s="1539"/>
      <c r="T51" s="1539"/>
      <c r="U51" s="1539"/>
      <c r="V51" s="1539"/>
      <c r="W51" s="1539"/>
      <c r="X51" s="1540"/>
      <c r="Y51" s="1540"/>
      <c r="Z51" s="1540"/>
      <c r="AA51" s="1540"/>
      <c r="AB51" s="1540"/>
      <c r="AC51" s="1540"/>
      <c r="AD51" s="1323"/>
      <c r="AE51" s="1323"/>
      <c r="AF51" s="1323"/>
      <c r="AG51" s="1323"/>
      <c r="AH51" s="1323"/>
      <c r="AI51" s="1323"/>
      <c r="AJ51" s="1323"/>
      <c r="AK51" s="1323"/>
      <c r="AL51" s="1539"/>
      <c r="AM51" s="1540"/>
      <c r="AN51" s="1540"/>
      <c r="AO51" s="1540"/>
      <c r="AP51" s="1540"/>
      <c r="AQ51" s="1540"/>
      <c r="AR51" s="1540"/>
      <c r="AS51" s="1323"/>
      <c r="AT51" s="1323"/>
      <c r="AU51" s="1323"/>
      <c r="AV51" s="1323"/>
      <c r="AW51" s="1323"/>
      <c r="AX51" s="1323"/>
      <c r="AY51" s="1323"/>
      <c r="AZ51" s="1323"/>
      <c r="BA51" s="1339" t="e">
        <f t="shared" ref="BA51:BA61" si="27">AL51/F51%</f>
        <v>#DIV/0!</v>
      </c>
      <c r="BB51" s="1339" t="e">
        <f t="shared" ref="BB51:BB61" si="28">AL51/W51%</f>
        <v>#DIV/0!</v>
      </c>
      <c r="BC51" s="1321"/>
      <c r="BD51" s="1321"/>
      <c r="BE51" s="1321"/>
      <c r="BF51" s="1321"/>
      <c r="BG51" s="1321"/>
      <c r="BH51" s="1321"/>
      <c r="BI51" s="1321"/>
      <c r="BJ51" s="1321"/>
      <c r="BK51" s="1321"/>
      <c r="BL51" s="1321"/>
      <c r="BM51" s="1321"/>
      <c r="BN51" s="1321"/>
      <c r="BO51" s="1321"/>
      <c r="BP51" s="1321"/>
      <c r="BQ51" s="1324"/>
      <c r="BR51" s="1342"/>
      <c r="BS51" s="1334">
        <f t="shared" ref="BS51:BS58" si="29">W51-BR51</f>
        <v>0</v>
      </c>
      <c r="BT51" s="1341"/>
      <c r="BW51" s="572"/>
      <c r="CE51" s="575"/>
    </row>
    <row r="52" spans="1:84" s="574" customFormat="1" ht="21.95" customHeight="1">
      <c r="A52" s="1782"/>
      <c r="B52" s="1472" t="s">
        <v>378</v>
      </c>
      <c r="C52" s="1979" t="s">
        <v>47</v>
      </c>
      <c r="D52" s="1554">
        <v>1.903475377624954</v>
      </c>
      <c r="E52" s="1562">
        <v>2.3243592853100492</v>
      </c>
      <c r="F52" s="1552">
        <f>4/49476*1000</f>
        <v>8.0847279489045201E-2</v>
      </c>
      <c r="G52" s="1552">
        <f>4/49476*1000</f>
        <v>8.0847279489045201E-2</v>
      </c>
      <c r="H52" s="1552">
        <v>0.18190637885035169</v>
      </c>
      <c r="I52" s="1562">
        <v>0</v>
      </c>
      <c r="J52" s="1562">
        <v>0</v>
      </c>
      <c r="K52" s="1562">
        <v>0</v>
      </c>
      <c r="L52" s="1562">
        <v>0</v>
      </c>
      <c r="M52" s="1562">
        <v>0</v>
      </c>
      <c r="N52" s="1562">
        <v>0</v>
      </c>
      <c r="O52" s="1562">
        <v>2.2928267278087127</v>
      </c>
      <c r="P52" s="1562">
        <v>0.52631578947368418</v>
      </c>
      <c r="Q52" s="1562">
        <v>0</v>
      </c>
      <c r="R52" s="1562">
        <v>0</v>
      </c>
      <c r="S52" s="1562">
        <v>0</v>
      </c>
      <c r="T52" s="1562">
        <v>0</v>
      </c>
      <c r="U52" s="1562">
        <v>0</v>
      </c>
      <c r="V52" s="1562">
        <v>0</v>
      </c>
      <c r="W52" s="1552">
        <v>0.1</v>
      </c>
      <c r="X52" s="1563">
        <v>0</v>
      </c>
      <c r="Y52" s="1563">
        <v>0</v>
      </c>
      <c r="Z52" s="1563">
        <v>0</v>
      </c>
      <c r="AA52" s="1563">
        <v>0</v>
      </c>
      <c r="AB52" s="1563">
        <v>0</v>
      </c>
      <c r="AC52" s="1563">
        <v>0</v>
      </c>
      <c r="AD52" s="1732">
        <v>0.65509335080248932</v>
      </c>
      <c r="AE52" s="1732">
        <v>0.26315789473684209</v>
      </c>
      <c r="AF52" s="1732">
        <v>0.27723870252287219</v>
      </c>
      <c r="AG52" s="1732">
        <v>0.51679586563307489</v>
      </c>
      <c r="AH52" s="1732">
        <v>0</v>
      </c>
      <c r="AI52" s="1732">
        <v>0</v>
      </c>
      <c r="AJ52" s="1732">
        <v>0</v>
      </c>
      <c r="AK52" s="1732">
        <v>0</v>
      </c>
      <c r="AL52" s="1980">
        <v>0</v>
      </c>
      <c r="AM52" s="1732"/>
      <c r="AN52" s="1732"/>
      <c r="AO52" s="1732"/>
      <c r="AP52" s="1732"/>
      <c r="AQ52" s="1732"/>
      <c r="AR52" s="1732"/>
      <c r="AS52" s="1732"/>
      <c r="AT52" s="1732"/>
      <c r="AU52" s="1732"/>
      <c r="AV52" s="1732"/>
      <c r="AW52" s="1732"/>
      <c r="AX52" s="1732"/>
      <c r="AY52" s="1732"/>
      <c r="AZ52" s="1732"/>
      <c r="BA52" s="1339">
        <f t="shared" si="27"/>
        <v>0</v>
      </c>
      <c r="BB52" s="1339">
        <f t="shared" si="28"/>
        <v>0</v>
      </c>
      <c r="BC52" s="1321"/>
      <c r="BD52" s="1321"/>
      <c r="BE52" s="1321"/>
      <c r="BF52" s="1321"/>
      <c r="BG52" s="1321"/>
      <c r="BH52" s="1321"/>
      <c r="BI52" s="1321"/>
      <c r="BJ52" s="1321"/>
      <c r="BK52" s="1321"/>
      <c r="BL52" s="1321"/>
      <c r="BM52" s="1321"/>
      <c r="BN52" s="1321"/>
      <c r="BO52" s="1321"/>
      <c r="BP52" s="1321"/>
      <c r="BQ52" s="1337"/>
      <c r="BR52" s="1956">
        <v>0.1</v>
      </c>
      <c r="BS52" s="1334">
        <f t="shared" si="29"/>
        <v>0</v>
      </c>
      <c r="BT52" s="817"/>
      <c r="BV52" s="1346"/>
      <c r="BW52" s="478"/>
      <c r="CE52" s="480"/>
    </row>
    <row r="53" spans="1:84" s="574" customFormat="1" ht="21.95" customHeight="1">
      <c r="A53" s="1782"/>
      <c r="B53" s="1472" t="s">
        <v>379</v>
      </c>
      <c r="C53" s="857" t="s">
        <v>377</v>
      </c>
      <c r="D53" s="1554">
        <v>116.66461991894879</v>
      </c>
      <c r="E53" s="1562">
        <v>93.877551020408163</v>
      </c>
      <c r="F53" s="1551">
        <v>34.4</v>
      </c>
      <c r="G53" s="1562">
        <f>25/49476*100000</f>
        <v>50.529549680653247</v>
      </c>
      <c r="H53" s="1551">
        <v>97.016735386854236</v>
      </c>
      <c r="I53" s="1562">
        <v>48.316959252697693</v>
      </c>
      <c r="J53" s="1562">
        <v>50.466818067120869</v>
      </c>
      <c r="K53" s="1562">
        <v>63.411540900443882</v>
      </c>
      <c r="L53" s="1981">
        <v>110.25358324145535</v>
      </c>
      <c r="M53" s="1562">
        <v>43.02000430200043</v>
      </c>
      <c r="N53" s="1562">
        <v>86.655112651646448</v>
      </c>
      <c r="O53" s="1562">
        <v>65.509335080248931</v>
      </c>
      <c r="P53" s="1981">
        <v>315.78947368421052</v>
      </c>
      <c r="Q53" s="1981">
        <v>249.51483227058498</v>
      </c>
      <c r="R53" s="1981">
        <v>155.03875968992247</v>
      </c>
      <c r="S53" s="1562">
        <v>75.930144267274116</v>
      </c>
      <c r="T53" s="1562">
        <v>110.86474501108647</v>
      </c>
      <c r="U53" s="1981">
        <v>112.73957158962796</v>
      </c>
      <c r="V53" s="1562">
        <v>26.322716504343248</v>
      </c>
      <c r="W53" s="1551">
        <v>95.827510481133956</v>
      </c>
      <c r="X53" s="1563">
        <v>48.316959252697693</v>
      </c>
      <c r="Y53" s="1563">
        <v>50.466818067120869</v>
      </c>
      <c r="Z53" s="1563">
        <v>63.411540900443882</v>
      </c>
      <c r="AA53" s="1982">
        <v>110.25358324145535</v>
      </c>
      <c r="AB53" s="1563">
        <v>43.02000430200043</v>
      </c>
      <c r="AC53" s="1563">
        <v>86.655112651646448</v>
      </c>
      <c r="AD53" s="1329">
        <v>65.509335080248931</v>
      </c>
      <c r="AE53" s="1983">
        <v>315.78947368421052</v>
      </c>
      <c r="AF53" s="1983">
        <v>249.51483227058498</v>
      </c>
      <c r="AG53" s="1983">
        <v>155.03875968992247</v>
      </c>
      <c r="AH53" s="1329">
        <v>75.930144267274116</v>
      </c>
      <c r="AI53" s="1329">
        <v>110.86474501108647</v>
      </c>
      <c r="AJ53" s="1983">
        <v>112.73957158962796</v>
      </c>
      <c r="AK53" s="1329">
        <v>26.322716504343248</v>
      </c>
      <c r="AL53" s="1720">
        <f>11/50090*100000</f>
        <v>21.960471151926534</v>
      </c>
      <c r="AM53" s="1732"/>
      <c r="AN53" s="1732"/>
      <c r="AO53" s="1984">
        <f>1/3154*100000</f>
        <v>31.705770450221941</v>
      </c>
      <c r="AP53" s="1984"/>
      <c r="AQ53" s="1732"/>
      <c r="AR53" s="1732"/>
      <c r="AS53" s="1329"/>
      <c r="AT53" s="1983">
        <f>5/3800*100000</f>
        <v>131.57894736842104</v>
      </c>
      <c r="AU53" s="1983">
        <f>1/3607*100000</f>
        <v>27.72387025228722</v>
      </c>
      <c r="AV53" s="1983"/>
      <c r="AW53" s="1983">
        <f>1/2634*100000</f>
        <v>37.965072133637058</v>
      </c>
      <c r="AX53" s="1329"/>
      <c r="AY53" s="1983">
        <f>1/2661*100000</f>
        <v>37.579857196542655</v>
      </c>
      <c r="AZ53" s="1983">
        <f>2/7598*100000</f>
        <v>26.322716504343248</v>
      </c>
      <c r="BA53" s="1339">
        <f t="shared" si="27"/>
        <v>63.838578930018997</v>
      </c>
      <c r="BB53" s="1339">
        <f t="shared" si="28"/>
        <v>22.916666666666668</v>
      </c>
      <c r="BC53" s="1321"/>
      <c r="BD53" s="1321"/>
      <c r="BE53" s="1321"/>
      <c r="BF53" s="1321"/>
      <c r="BG53" s="1321"/>
      <c r="BH53" s="1321"/>
      <c r="BI53" s="1321"/>
      <c r="BJ53" s="1321"/>
      <c r="BK53" s="1321"/>
      <c r="BL53" s="1321"/>
      <c r="BM53" s="1321"/>
      <c r="BN53" s="1321"/>
      <c r="BO53" s="1321"/>
      <c r="BP53" s="1321"/>
      <c r="BQ53" s="1337"/>
      <c r="BR53" s="1956">
        <v>95.83</v>
      </c>
      <c r="BS53" s="1334">
        <f t="shared" si="29"/>
        <v>-2.4895188660423173E-3</v>
      </c>
      <c r="BT53" s="817"/>
      <c r="BV53" s="1346"/>
      <c r="BW53" s="478"/>
      <c r="CE53" s="480"/>
    </row>
    <row r="54" spans="1:84" s="574" customFormat="1" ht="21.95" customHeight="1">
      <c r="A54" s="1782"/>
      <c r="B54" s="1472" t="s">
        <v>380</v>
      </c>
      <c r="C54" s="857" t="s">
        <v>26</v>
      </c>
      <c r="D54" s="1554">
        <v>0.28654468050268123</v>
      </c>
      <c r="E54" s="1562">
        <v>0.32</v>
      </c>
      <c r="F54" s="1552">
        <v>0.25</v>
      </c>
      <c r="G54" s="1985">
        <f>124/49476*100</f>
        <v>0.25062656641604009</v>
      </c>
      <c r="H54" s="1985">
        <v>0.2526477484032662</v>
      </c>
      <c r="I54" s="1562">
        <v>0.51538089869544212</v>
      </c>
      <c r="J54" s="1562">
        <v>0.17663386323492303</v>
      </c>
      <c r="K54" s="1562">
        <v>1.6804058338617627</v>
      </c>
      <c r="L54" s="1562">
        <v>0.16538037486218302</v>
      </c>
      <c r="M54" s="1562">
        <v>0.17208001720800173</v>
      </c>
      <c r="N54" s="1562">
        <v>0.43327556325823224</v>
      </c>
      <c r="O54" s="1562">
        <v>3.2754667540124467E-2</v>
      </c>
      <c r="P54" s="1562">
        <v>0</v>
      </c>
      <c r="Q54" s="1562">
        <v>0.19406709176601053</v>
      </c>
      <c r="R54" s="1562">
        <v>0</v>
      </c>
      <c r="S54" s="1986">
        <v>3.7965072133637055E-2</v>
      </c>
      <c r="T54" s="1562">
        <v>7.3909830007390986E-2</v>
      </c>
      <c r="U54" s="1986">
        <v>7.5159714393085303E-2</v>
      </c>
      <c r="V54" s="1562">
        <v>0</v>
      </c>
      <c r="W54" s="1985">
        <v>0.24355672675730172</v>
      </c>
      <c r="X54" s="1563">
        <v>0.51538089869544212</v>
      </c>
      <c r="Y54" s="1563">
        <v>0.17663386323492303</v>
      </c>
      <c r="Z54" s="1563">
        <v>1.6487000634115407</v>
      </c>
      <c r="AA54" s="1563">
        <v>0.16538037486218302</v>
      </c>
      <c r="AB54" s="1563">
        <v>0.17208001720800173</v>
      </c>
      <c r="AC54" s="1563">
        <v>0.43327556325823224</v>
      </c>
      <c r="AD54" s="1329">
        <v>3.2754667540124467E-2</v>
      </c>
      <c r="AE54" s="1329">
        <v>0</v>
      </c>
      <c r="AF54" s="1329">
        <v>0.19406709176601053</v>
      </c>
      <c r="AG54" s="1329">
        <v>0</v>
      </c>
      <c r="AH54" s="1325">
        <v>3.7965072133637055E-2</v>
      </c>
      <c r="AI54" s="1329">
        <v>7.3909830007390986E-2</v>
      </c>
      <c r="AJ54" s="1325">
        <v>7.5159714393085303E-2</v>
      </c>
      <c r="AK54" s="1329">
        <v>0</v>
      </c>
      <c r="AL54" s="1987">
        <f>117/50090*100</f>
        <v>0.23357955679776402</v>
      </c>
      <c r="AM54" s="1731">
        <f>29/6209*100</f>
        <v>0.46706393944274438</v>
      </c>
      <c r="AN54" s="1731">
        <f>10/3963*100</f>
        <v>0.25233409033560433</v>
      </c>
      <c r="AO54" s="1731">
        <f>48/3154*100</f>
        <v>1.5218769816106532</v>
      </c>
      <c r="AP54" s="1731">
        <f>2/1814*100</f>
        <v>0.11025358324145534</v>
      </c>
      <c r="AQ54" s="1731">
        <f>9/4649*100</f>
        <v>0.19359001935900194</v>
      </c>
      <c r="AR54" s="1731">
        <f>7/2308*100</f>
        <v>0.30329289428076256</v>
      </c>
      <c r="AS54" s="1731">
        <f>1/3053*100</f>
        <v>3.2754667540124467E-2</v>
      </c>
      <c r="AT54" s="1731"/>
      <c r="AU54" s="1731">
        <f>7/3607*100</f>
        <v>0.19406709176601053</v>
      </c>
      <c r="AV54" s="1731"/>
      <c r="AW54" s="1731">
        <f>1/2634*100</f>
        <v>3.7965072133637055E-2</v>
      </c>
      <c r="AX54" s="1731">
        <f>2/2705*100</f>
        <v>7.3937153419593338E-2</v>
      </c>
      <c r="AY54" s="1731">
        <f>1/2661*100</f>
        <v>3.7579857196542651E-2</v>
      </c>
      <c r="AZ54" s="1988"/>
      <c r="BA54" s="1339">
        <f t="shared" si="27"/>
        <v>93.431822719105611</v>
      </c>
      <c r="BB54" s="1339">
        <f t="shared" si="28"/>
        <v>95.903553930793422</v>
      </c>
      <c r="BC54" s="1321"/>
      <c r="BD54" s="1321"/>
      <c r="BE54" s="1321"/>
      <c r="BF54" s="1321"/>
      <c r="BG54" s="1321"/>
      <c r="BH54" s="1321"/>
      <c r="BI54" s="1321"/>
      <c r="BJ54" s="1321"/>
      <c r="BK54" s="1321"/>
      <c r="BL54" s="1321"/>
      <c r="BM54" s="1321"/>
      <c r="BN54" s="1321"/>
      <c r="BO54" s="1321"/>
      <c r="BP54" s="1321"/>
      <c r="BQ54" s="1337"/>
      <c r="BR54" s="1343">
        <v>0.24</v>
      </c>
      <c r="BS54" s="1334">
        <f t="shared" si="29"/>
        <v>3.5567267573017314E-3</v>
      </c>
      <c r="BT54" s="817"/>
      <c r="BV54" s="1346"/>
      <c r="BW54" s="478"/>
      <c r="CE54" s="480"/>
    </row>
    <row r="55" spans="1:84" ht="32.450000000000003" hidden="1" customHeight="1">
      <c r="A55" s="837">
        <v>10</v>
      </c>
      <c r="B55" s="1472" t="s">
        <v>381</v>
      </c>
      <c r="C55" s="857" t="s">
        <v>49</v>
      </c>
      <c r="D55" s="1538"/>
      <c r="E55" s="1562">
        <v>98</v>
      </c>
      <c r="F55" s="1551"/>
      <c r="G55" s="1551"/>
      <c r="H55" s="1551"/>
      <c r="I55" s="1562"/>
      <c r="J55" s="1562"/>
      <c r="K55" s="1562"/>
      <c r="L55" s="1562"/>
      <c r="M55" s="1562"/>
      <c r="N55" s="1562"/>
      <c r="O55" s="1562"/>
      <c r="P55" s="1562"/>
      <c r="Q55" s="1562"/>
      <c r="R55" s="1562"/>
      <c r="S55" s="1562"/>
      <c r="T55" s="1562"/>
      <c r="U55" s="1562"/>
      <c r="V55" s="1562"/>
      <c r="W55" s="1551"/>
      <c r="X55" s="1563"/>
      <c r="Y55" s="1563"/>
      <c r="Z55" s="1563"/>
      <c r="AA55" s="1563"/>
      <c r="AB55" s="1563"/>
      <c r="AC55" s="1563"/>
      <c r="AD55" s="1329"/>
      <c r="AE55" s="1329"/>
      <c r="AF55" s="1329"/>
      <c r="AG55" s="1329"/>
      <c r="AH55" s="1329"/>
      <c r="AI55" s="1329"/>
      <c r="AJ55" s="1329"/>
      <c r="AK55" s="1329"/>
      <c r="AL55" s="1720"/>
      <c r="AM55" s="1732"/>
      <c r="AN55" s="1732"/>
      <c r="AO55" s="1732"/>
      <c r="AP55" s="1732"/>
      <c r="AQ55" s="1732"/>
      <c r="AR55" s="1732"/>
      <c r="AS55" s="1329"/>
      <c r="AT55" s="1329"/>
      <c r="AU55" s="1329"/>
      <c r="AV55" s="1329"/>
      <c r="AW55" s="1329"/>
      <c r="AX55" s="1329"/>
      <c r="AY55" s="1329"/>
      <c r="AZ55" s="1329"/>
      <c r="BA55" s="1339" t="e">
        <f t="shared" si="27"/>
        <v>#DIV/0!</v>
      </c>
      <c r="BB55" s="1339" t="e">
        <f t="shared" si="28"/>
        <v>#DIV/0!</v>
      </c>
      <c r="BC55" s="1321"/>
      <c r="BD55" s="1321"/>
      <c r="BE55" s="1321"/>
      <c r="BF55" s="1321"/>
      <c r="BG55" s="1321"/>
      <c r="BH55" s="1321"/>
      <c r="BI55" s="1321"/>
      <c r="BJ55" s="1321"/>
      <c r="BK55" s="1321"/>
      <c r="BL55" s="1321"/>
      <c r="BM55" s="1321"/>
      <c r="BN55" s="1321"/>
      <c r="BO55" s="1321"/>
      <c r="BP55" s="1321"/>
      <c r="BQ55" s="1324"/>
      <c r="BR55" s="1333"/>
      <c r="BS55" s="1334">
        <f t="shared" si="29"/>
        <v>0</v>
      </c>
      <c r="BT55" s="817"/>
      <c r="BW55" s="572"/>
      <c r="CE55" s="480"/>
    </row>
    <row r="56" spans="1:84" ht="27" hidden="1" customHeight="1">
      <c r="A56" s="837"/>
      <c r="B56" s="1472" t="s">
        <v>382</v>
      </c>
      <c r="C56" s="857" t="s">
        <v>49</v>
      </c>
      <c r="D56" s="1538"/>
      <c r="E56" s="1539"/>
      <c r="F56" s="1555"/>
      <c r="G56" s="1555"/>
      <c r="H56" s="1555"/>
      <c r="I56" s="1539"/>
      <c r="J56" s="1539"/>
      <c r="K56" s="1539"/>
      <c r="L56" s="1539"/>
      <c r="M56" s="1539"/>
      <c r="N56" s="1539"/>
      <c r="O56" s="1539"/>
      <c r="P56" s="1539"/>
      <c r="Q56" s="1539"/>
      <c r="R56" s="1539"/>
      <c r="S56" s="1539"/>
      <c r="T56" s="1539"/>
      <c r="U56" s="1539"/>
      <c r="V56" s="1539"/>
      <c r="W56" s="1555"/>
      <c r="X56" s="1540"/>
      <c r="Y56" s="1540"/>
      <c r="Z56" s="1540"/>
      <c r="AA56" s="1540"/>
      <c r="AB56" s="1540"/>
      <c r="AC56" s="1540"/>
      <c r="AD56" s="1323"/>
      <c r="AE56" s="1323"/>
      <c r="AF56" s="1323"/>
      <c r="AG56" s="1323"/>
      <c r="AH56" s="1323"/>
      <c r="AI56" s="1323"/>
      <c r="AJ56" s="1323"/>
      <c r="AK56" s="1323"/>
      <c r="AL56" s="1733"/>
      <c r="AM56" s="1707"/>
      <c r="AN56" s="1707"/>
      <c r="AO56" s="1707"/>
      <c r="AP56" s="1707"/>
      <c r="AQ56" s="1707"/>
      <c r="AR56" s="1707"/>
      <c r="AS56" s="1323"/>
      <c r="AT56" s="1323"/>
      <c r="AU56" s="1323"/>
      <c r="AV56" s="1323"/>
      <c r="AW56" s="1323"/>
      <c r="AX56" s="1323"/>
      <c r="AY56" s="1323"/>
      <c r="AZ56" s="1323"/>
      <c r="BA56" s="1339" t="e">
        <f t="shared" si="27"/>
        <v>#DIV/0!</v>
      </c>
      <c r="BB56" s="1339" t="e">
        <f t="shared" si="28"/>
        <v>#DIV/0!</v>
      </c>
      <c r="BC56" s="1321"/>
      <c r="BD56" s="1321"/>
      <c r="BE56" s="1321"/>
      <c r="BF56" s="1321"/>
      <c r="BG56" s="1321"/>
      <c r="BH56" s="1321"/>
      <c r="BI56" s="1321"/>
      <c r="BJ56" s="1321"/>
      <c r="BK56" s="1321"/>
      <c r="BL56" s="1321"/>
      <c r="BM56" s="1321"/>
      <c r="BN56" s="1321"/>
      <c r="BO56" s="1321"/>
      <c r="BP56" s="1321"/>
      <c r="BQ56" s="1324"/>
      <c r="BR56" s="1333"/>
      <c r="BS56" s="1334">
        <f t="shared" si="29"/>
        <v>0</v>
      </c>
      <c r="BT56" s="817"/>
      <c r="BW56" s="572"/>
    </row>
    <row r="57" spans="1:84" ht="26.45" hidden="1" customHeight="1">
      <c r="A57" s="837"/>
      <c r="B57" s="1472" t="s">
        <v>383</v>
      </c>
      <c r="C57" s="857" t="s">
        <v>49</v>
      </c>
      <c r="D57" s="1538"/>
      <c r="E57" s="1539"/>
      <c r="F57" s="1555"/>
      <c r="G57" s="1555"/>
      <c r="H57" s="1555"/>
      <c r="I57" s="1539"/>
      <c r="J57" s="1539"/>
      <c r="K57" s="1539"/>
      <c r="L57" s="1539"/>
      <c r="M57" s="1539"/>
      <c r="N57" s="1539"/>
      <c r="O57" s="1539"/>
      <c r="P57" s="1539"/>
      <c r="Q57" s="1539"/>
      <c r="R57" s="1539"/>
      <c r="S57" s="1539"/>
      <c r="T57" s="1539"/>
      <c r="U57" s="1539"/>
      <c r="V57" s="1539"/>
      <c r="W57" s="1555"/>
      <c r="X57" s="1540"/>
      <c r="Y57" s="1540"/>
      <c r="Z57" s="1540"/>
      <c r="AA57" s="1540"/>
      <c r="AB57" s="1540"/>
      <c r="AC57" s="1540"/>
      <c r="AD57" s="1323"/>
      <c r="AE57" s="1323"/>
      <c r="AF57" s="1323"/>
      <c r="AG57" s="1323"/>
      <c r="AH57" s="1323"/>
      <c r="AI57" s="1323"/>
      <c r="AJ57" s="1323"/>
      <c r="AK57" s="1323"/>
      <c r="AL57" s="1733"/>
      <c r="AM57" s="1707"/>
      <c r="AN57" s="1707"/>
      <c r="AO57" s="1707"/>
      <c r="AP57" s="1707"/>
      <c r="AQ57" s="1707"/>
      <c r="AR57" s="1707"/>
      <c r="AS57" s="1323"/>
      <c r="AT57" s="1323"/>
      <c r="AU57" s="1323"/>
      <c r="AV57" s="1323"/>
      <c r="AW57" s="1323"/>
      <c r="AX57" s="1323"/>
      <c r="AY57" s="1323"/>
      <c r="AZ57" s="1323"/>
      <c r="BA57" s="1339" t="e">
        <f t="shared" si="27"/>
        <v>#DIV/0!</v>
      </c>
      <c r="BB57" s="1339" t="e">
        <f t="shared" si="28"/>
        <v>#DIV/0!</v>
      </c>
      <c r="BC57" s="1321"/>
      <c r="BD57" s="1321"/>
      <c r="BE57" s="1321"/>
      <c r="BF57" s="1321"/>
      <c r="BG57" s="1321"/>
      <c r="BH57" s="1321"/>
      <c r="BI57" s="1321"/>
      <c r="BJ57" s="1321"/>
      <c r="BK57" s="1321"/>
      <c r="BL57" s="1321"/>
      <c r="BM57" s="1321"/>
      <c r="BN57" s="1321"/>
      <c r="BO57" s="1321"/>
      <c r="BP57" s="1321"/>
      <c r="BQ57" s="1324"/>
      <c r="BR57" s="1333"/>
      <c r="BS57" s="1334">
        <f t="shared" si="29"/>
        <v>0</v>
      </c>
      <c r="BT57" s="817"/>
      <c r="BW57" s="572"/>
    </row>
    <row r="58" spans="1:84" ht="25.15" hidden="1" customHeight="1">
      <c r="A58" s="837">
        <v>11</v>
      </c>
      <c r="B58" s="1472" t="s">
        <v>384</v>
      </c>
      <c r="C58" s="857" t="s">
        <v>377</v>
      </c>
      <c r="D58" s="1538"/>
      <c r="E58" s="1539"/>
      <c r="F58" s="1555"/>
      <c r="G58" s="1555"/>
      <c r="H58" s="1555"/>
      <c r="I58" s="1539"/>
      <c r="J58" s="1539"/>
      <c r="K58" s="1539"/>
      <c r="L58" s="1539"/>
      <c r="M58" s="1539"/>
      <c r="N58" s="1539"/>
      <c r="O58" s="1539"/>
      <c r="P58" s="1539"/>
      <c r="Q58" s="1539"/>
      <c r="R58" s="1539"/>
      <c r="S58" s="1539"/>
      <c r="T58" s="1539"/>
      <c r="U58" s="1539"/>
      <c r="V58" s="1539"/>
      <c r="W58" s="1555"/>
      <c r="X58" s="1540"/>
      <c r="Y58" s="1540"/>
      <c r="Z58" s="1540"/>
      <c r="AA58" s="1540"/>
      <c r="AB58" s="1540"/>
      <c r="AC58" s="1540"/>
      <c r="AD58" s="1323"/>
      <c r="AE58" s="1323"/>
      <c r="AF58" s="1323"/>
      <c r="AG58" s="1323"/>
      <c r="AH58" s="1323"/>
      <c r="AI58" s="1323"/>
      <c r="AJ58" s="1323"/>
      <c r="AK58" s="1323"/>
      <c r="AL58" s="1733"/>
      <c r="AM58" s="1707"/>
      <c r="AN58" s="1707"/>
      <c r="AO58" s="1707"/>
      <c r="AP58" s="1707"/>
      <c r="AQ58" s="1707"/>
      <c r="AR58" s="1707"/>
      <c r="AS58" s="1323"/>
      <c r="AT58" s="1323"/>
      <c r="AU58" s="1323"/>
      <c r="AV58" s="1323"/>
      <c r="AW58" s="1323"/>
      <c r="AX58" s="1323"/>
      <c r="AY58" s="1323"/>
      <c r="AZ58" s="1323"/>
      <c r="BA58" s="1339" t="e">
        <f t="shared" si="27"/>
        <v>#DIV/0!</v>
      </c>
      <c r="BB58" s="1339" t="e">
        <f t="shared" si="28"/>
        <v>#DIV/0!</v>
      </c>
      <c r="BC58" s="1321"/>
      <c r="BD58" s="1321"/>
      <c r="BE58" s="1321"/>
      <c r="BF58" s="1321"/>
      <c r="BG58" s="1321"/>
      <c r="BH58" s="1321"/>
      <c r="BI58" s="1321"/>
      <c r="BJ58" s="1321"/>
      <c r="BK58" s="1321"/>
      <c r="BL58" s="1321"/>
      <c r="BM58" s="1321"/>
      <c r="BN58" s="1321"/>
      <c r="BO58" s="1321"/>
      <c r="BP58" s="1321"/>
      <c r="BQ58" s="1324"/>
      <c r="BR58" s="1333"/>
      <c r="BS58" s="1334">
        <f t="shared" si="29"/>
        <v>0</v>
      </c>
      <c r="BT58" s="817"/>
      <c r="BW58" s="572"/>
    </row>
    <row r="59" spans="1:84" ht="21.95" customHeight="1">
      <c r="A59" s="837">
        <v>10</v>
      </c>
      <c r="B59" s="1472" t="s">
        <v>581</v>
      </c>
      <c r="C59" s="1537" t="s">
        <v>26</v>
      </c>
      <c r="D59" s="1535">
        <v>97</v>
      </c>
      <c r="E59" s="1539">
        <v>97.4</v>
      </c>
      <c r="F59" s="1555">
        <v>91.3</v>
      </c>
      <c r="G59" s="1555">
        <v>91.3</v>
      </c>
      <c r="H59" s="1555">
        <v>97.4</v>
      </c>
      <c r="I59" s="1539"/>
      <c r="J59" s="1539"/>
      <c r="K59" s="1539"/>
      <c r="L59" s="1539"/>
      <c r="M59" s="1539"/>
      <c r="N59" s="1539"/>
      <c r="O59" s="1539"/>
      <c r="P59" s="1539"/>
      <c r="Q59" s="1539"/>
      <c r="R59" s="1539"/>
      <c r="S59" s="1539"/>
      <c r="T59" s="1539"/>
      <c r="U59" s="1539"/>
      <c r="V59" s="1539"/>
      <c r="W59" s="1555">
        <v>97.2</v>
      </c>
      <c r="X59" s="1540" t="s">
        <v>928</v>
      </c>
      <c r="Y59" s="1540" t="s">
        <v>929</v>
      </c>
      <c r="Z59" s="1540">
        <v>100</v>
      </c>
      <c r="AA59" s="1540">
        <v>100</v>
      </c>
      <c r="AB59" s="1540" t="s">
        <v>930</v>
      </c>
      <c r="AC59" s="1540">
        <v>100</v>
      </c>
      <c r="AD59" s="1323">
        <v>100</v>
      </c>
      <c r="AE59" s="1323">
        <v>100</v>
      </c>
      <c r="AF59" s="1323">
        <v>100</v>
      </c>
      <c r="AG59" s="1323">
        <v>99</v>
      </c>
      <c r="AH59" s="1323">
        <v>98</v>
      </c>
      <c r="AI59" s="1323" t="s">
        <v>931</v>
      </c>
      <c r="AJ59" s="1323">
        <v>100</v>
      </c>
      <c r="AK59" s="1323">
        <v>100</v>
      </c>
      <c r="AL59" s="1737">
        <f>'B7 LD&amp;VL-XDGN'!BI43/'B8. DS-GD&amp;TE '!AL9*100</f>
        <v>83.814517911317381</v>
      </c>
      <c r="AM59" s="1225"/>
      <c r="AN59" s="1225"/>
      <c r="AO59" s="1225"/>
      <c r="AP59" s="1225"/>
      <c r="AQ59" s="1225"/>
      <c r="AR59" s="1225"/>
      <c r="AS59" s="1225"/>
      <c r="AT59" s="1225"/>
      <c r="AU59" s="1225"/>
      <c r="AV59" s="1225"/>
      <c r="AW59" s="1225"/>
      <c r="AX59" s="1225"/>
      <c r="AY59" s="1225"/>
      <c r="AZ59" s="1225"/>
      <c r="BA59" s="1339">
        <f t="shared" si="27"/>
        <v>91.801224437368447</v>
      </c>
      <c r="BB59" s="1339">
        <f t="shared" si="28"/>
        <v>86.22892789230184</v>
      </c>
      <c r="BC59" s="1321"/>
      <c r="BD59" s="1321"/>
      <c r="BE59" s="1321"/>
      <c r="BF59" s="1321"/>
      <c r="BG59" s="1321"/>
      <c r="BH59" s="1321"/>
      <c r="BI59" s="1321"/>
      <c r="BJ59" s="1321"/>
      <c r="BK59" s="1321"/>
      <c r="BL59" s="1321"/>
      <c r="BM59" s="1321"/>
      <c r="BN59" s="1321"/>
      <c r="BO59" s="1321"/>
      <c r="BP59" s="1321"/>
      <c r="BQ59" s="1337"/>
      <c r="BR59" s="1350"/>
      <c r="BS59" s="1334"/>
      <c r="BT59" s="817"/>
      <c r="BW59" s="572"/>
      <c r="CF59" s="1351"/>
    </row>
    <row r="60" spans="1:84" s="450" customFormat="1" ht="36" customHeight="1">
      <c r="A60" s="914">
        <v>11</v>
      </c>
      <c r="B60" s="1950" t="s">
        <v>582</v>
      </c>
      <c r="C60" s="1564" t="s">
        <v>26</v>
      </c>
      <c r="D60" s="1565">
        <v>50</v>
      </c>
      <c r="E60" s="1539">
        <v>60</v>
      </c>
      <c r="F60" s="1555">
        <v>60</v>
      </c>
      <c r="G60" s="1555">
        <v>60</v>
      </c>
      <c r="H60" s="1555">
        <v>60</v>
      </c>
      <c r="I60" s="1539"/>
      <c r="J60" s="1539"/>
      <c r="K60" s="1539"/>
      <c r="L60" s="1539"/>
      <c r="M60" s="1539"/>
      <c r="N60" s="1539"/>
      <c r="O60" s="1539"/>
      <c r="P60" s="1539"/>
      <c r="Q60" s="1539"/>
      <c r="R60" s="1539"/>
      <c r="S60" s="1539"/>
      <c r="T60" s="1539"/>
      <c r="U60" s="1539"/>
      <c r="V60" s="1539"/>
      <c r="W60" s="1555">
        <v>70</v>
      </c>
      <c r="X60" s="1540"/>
      <c r="Y60" s="1540"/>
      <c r="Z60" s="1540"/>
      <c r="AA60" s="1540"/>
      <c r="AB60" s="1540"/>
      <c r="AC60" s="1540"/>
      <c r="AD60" s="1323"/>
      <c r="AE60" s="1323"/>
      <c r="AF60" s="1323"/>
      <c r="AG60" s="1323"/>
      <c r="AH60" s="1323"/>
      <c r="AI60" s="1323"/>
      <c r="AJ60" s="1323"/>
      <c r="AK60" s="1323"/>
      <c r="AL60" s="1733">
        <v>70</v>
      </c>
      <c r="AM60" s="1707"/>
      <c r="AN60" s="1707"/>
      <c r="AO60" s="1707"/>
      <c r="AP60" s="1707"/>
      <c r="AQ60" s="1707"/>
      <c r="AR60" s="1707"/>
      <c r="AS60" s="1323"/>
      <c r="AT60" s="1323"/>
      <c r="AU60" s="1323"/>
      <c r="AV60" s="1323"/>
      <c r="AW60" s="1323"/>
      <c r="AX60" s="1323"/>
      <c r="AY60" s="1323"/>
      <c r="AZ60" s="1323"/>
      <c r="BA60" s="1339">
        <f t="shared" si="27"/>
        <v>116.66666666666667</v>
      </c>
      <c r="BB60" s="1339">
        <f t="shared" si="28"/>
        <v>100</v>
      </c>
      <c r="BC60" s="1321"/>
      <c r="BD60" s="1321"/>
      <c r="BE60" s="1321"/>
      <c r="BF60" s="1321"/>
      <c r="BG60" s="1321"/>
      <c r="BH60" s="1321"/>
      <c r="BI60" s="1321"/>
      <c r="BJ60" s="1321"/>
      <c r="BK60" s="1321"/>
      <c r="BL60" s="1321"/>
      <c r="BM60" s="1321"/>
      <c r="BN60" s="1321"/>
      <c r="BO60" s="1321"/>
      <c r="BP60" s="1321"/>
      <c r="BQ60" s="1330"/>
      <c r="BR60" s="1352">
        <v>70</v>
      </c>
      <c r="BS60" s="1334">
        <f>W60-BR60</f>
        <v>0</v>
      </c>
      <c r="BT60" s="577"/>
      <c r="BU60" s="578"/>
      <c r="BV60" s="578"/>
      <c r="BW60" s="581"/>
      <c r="CE60" s="582"/>
    </row>
    <row r="61" spans="1:84" s="450" customFormat="1" ht="36" customHeight="1">
      <c r="A61" s="914">
        <v>12</v>
      </c>
      <c r="B61" s="1951" t="s">
        <v>583</v>
      </c>
      <c r="C61" s="1564" t="s">
        <v>26</v>
      </c>
      <c r="D61" s="1565">
        <v>92</v>
      </c>
      <c r="E61" s="1539">
        <v>92</v>
      </c>
      <c r="F61" s="1550">
        <v>91.46</v>
      </c>
      <c r="G61" s="1550">
        <v>91.5</v>
      </c>
      <c r="H61" s="1565">
        <v>92.1</v>
      </c>
      <c r="I61" s="1539"/>
      <c r="J61" s="1539"/>
      <c r="K61" s="1539"/>
      <c r="L61" s="1539"/>
      <c r="M61" s="1539"/>
      <c r="N61" s="1539"/>
      <c r="O61" s="1539"/>
      <c r="P61" s="1539"/>
      <c r="Q61" s="1539"/>
      <c r="R61" s="1539"/>
      <c r="S61" s="1539"/>
      <c r="T61" s="1539"/>
      <c r="U61" s="1539"/>
      <c r="V61" s="1539"/>
      <c r="W61" s="1555">
        <v>92.2</v>
      </c>
      <c r="X61" s="1540"/>
      <c r="Y61" s="1540"/>
      <c r="Z61" s="1540"/>
      <c r="AA61" s="1540"/>
      <c r="AB61" s="1540"/>
      <c r="AC61" s="1540"/>
      <c r="AD61" s="1323"/>
      <c r="AE61" s="1323"/>
      <c r="AF61" s="1323"/>
      <c r="AG61" s="1323"/>
      <c r="AH61" s="1323"/>
      <c r="AI61" s="1323"/>
      <c r="AJ61" s="1323"/>
      <c r="AK61" s="1323"/>
      <c r="AL61" s="1733">
        <v>92</v>
      </c>
      <c r="AM61" s="1707"/>
      <c r="AN61" s="1707"/>
      <c r="AO61" s="1707"/>
      <c r="AP61" s="1707"/>
      <c r="AQ61" s="1707"/>
      <c r="AR61" s="1707"/>
      <c r="AS61" s="1323"/>
      <c r="AT61" s="1323"/>
      <c r="AU61" s="1323"/>
      <c r="AV61" s="1323"/>
      <c r="AW61" s="1323"/>
      <c r="AX61" s="1323"/>
      <c r="AY61" s="1323"/>
      <c r="AZ61" s="1323"/>
      <c r="BA61" s="1339">
        <f t="shared" si="27"/>
        <v>100.59042204242292</v>
      </c>
      <c r="BB61" s="1339">
        <f t="shared" si="28"/>
        <v>99.783080260303677</v>
      </c>
      <c r="BC61" s="1321"/>
      <c r="BD61" s="1321"/>
      <c r="BE61" s="1321"/>
      <c r="BF61" s="1321"/>
      <c r="BG61" s="1321"/>
      <c r="BH61" s="1321"/>
      <c r="BI61" s="1321"/>
      <c r="BJ61" s="1321"/>
      <c r="BK61" s="1321"/>
      <c r="BL61" s="1321"/>
      <c r="BM61" s="1321"/>
      <c r="BN61" s="1321"/>
      <c r="BO61" s="1321"/>
      <c r="BP61" s="1321"/>
      <c r="BQ61" s="1330"/>
      <c r="BR61" s="1642">
        <v>92.2</v>
      </c>
      <c r="BS61" s="1334">
        <f>W61-BR61</f>
        <v>0</v>
      </c>
      <c r="BT61" s="577"/>
      <c r="BU61" s="578"/>
      <c r="BV61" s="578"/>
      <c r="BW61" s="581"/>
      <c r="CE61" s="582"/>
    </row>
    <row r="62" spans="1:84" ht="16.5" hidden="1">
      <c r="A62" s="312" t="s">
        <v>118</v>
      </c>
      <c r="B62" s="1566" t="s">
        <v>385</v>
      </c>
      <c r="C62" s="1567"/>
      <c r="D62" s="1568"/>
      <c r="E62" s="1569"/>
      <c r="F62" s="1569"/>
      <c r="G62" s="1569"/>
      <c r="H62" s="1569"/>
      <c r="I62" s="1569"/>
      <c r="J62" s="1569"/>
      <c r="K62" s="1569"/>
      <c r="L62" s="1569"/>
      <c r="M62" s="1569"/>
      <c r="N62" s="1569"/>
      <c r="O62" s="1569"/>
      <c r="P62" s="1569"/>
      <c r="Q62" s="1569"/>
      <c r="R62" s="1569"/>
      <c r="S62" s="1569"/>
      <c r="T62" s="1569"/>
      <c r="U62" s="1569"/>
      <c r="V62" s="1569"/>
      <c r="W62" s="1569"/>
      <c r="X62" s="1570"/>
      <c r="Y62" s="1570"/>
      <c r="Z62" s="1570"/>
      <c r="AA62" s="1570"/>
      <c r="AB62" s="1570"/>
      <c r="AC62" s="1570"/>
      <c r="AD62" s="789"/>
      <c r="AE62" s="789"/>
      <c r="AF62" s="789"/>
      <c r="AG62" s="789"/>
      <c r="AH62" s="789"/>
      <c r="AI62" s="789"/>
      <c r="AJ62" s="789"/>
      <c r="AK62" s="789"/>
      <c r="AL62" s="1569"/>
      <c r="AM62" s="1570"/>
      <c r="AN62" s="1570"/>
      <c r="AO62" s="1570"/>
      <c r="AP62" s="1570"/>
      <c r="AQ62" s="1570"/>
      <c r="AR62" s="1570"/>
      <c r="AS62" s="789"/>
      <c r="AT62" s="789"/>
      <c r="AU62" s="789"/>
      <c r="AV62" s="789"/>
      <c r="AW62" s="789"/>
      <c r="AX62" s="789"/>
      <c r="AY62" s="789"/>
      <c r="AZ62" s="789"/>
      <c r="BA62" s="647"/>
      <c r="BB62" s="647"/>
      <c r="BC62" s="648"/>
      <c r="BD62" s="648"/>
      <c r="BE62" s="648"/>
      <c r="BF62" s="648"/>
      <c r="BG62" s="648"/>
      <c r="BH62" s="648"/>
      <c r="BI62" s="648"/>
      <c r="BJ62" s="648"/>
      <c r="BK62" s="648"/>
      <c r="BL62" s="648"/>
      <c r="BM62" s="648"/>
      <c r="BN62" s="648"/>
      <c r="BO62" s="648"/>
      <c r="BP62" s="648"/>
      <c r="BQ62" s="1353"/>
      <c r="BR62" s="1333"/>
      <c r="BS62" s="832"/>
      <c r="BT62" s="817"/>
      <c r="BW62" s="572"/>
    </row>
    <row r="63" spans="1:84" ht="16.5" hidden="1">
      <c r="A63" s="171">
        <v>1</v>
      </c>
      <c r="B63" s="1571" t="s">
        <v>386</v>
      </c>
      <c r="C63" s="1572"/>
      <c r="D63" s="1573"/>
      <c r="E63" s="1569"/>
      <c r="F63" s="1569"/>
      <c r="G63" s="1569"/>
      <c r="H63" s="1569"/>
      <c r="I63" s="1569"/>
      <c r="J63" s="1569"/>
      <c r="K63" s="1569"/>
      <c r="L63" s="1569"/>
      <c r="M63" s="1569"/>
      <c r="N63" s="1569"/>
      <c r="O63" s="1569"/>
      <c r="P63" s="1569"/>
      <c r="Q63" s="1569"/>
      <c r="R63" s="1569"/>
      <c r="S63" s="1569"/>
      <c r="T63" s="1569"/>
      <c r="U63" s="1569"/>
      <c r="V63" s="1569"/>
      <c r="W63" s="1569"/>
      <c r="X63" s="1570"/>
      <c r="Y63" s="1570"/>
      <c r="Z63" s="1570"/>
      <c r="AA63" s="1570"/>
      <c r="AB63" s="1570"/>
      <c r="AC63" s="1570"/>
      <c r="AD63" s="789"/>
      <c r="AE63" s="789"/>
      <c r="AF63" s="789"/>
      <c r="AG63" s="789"/>
      <c r="AH63" s="789"/>
      <c r="AI63" s="789"/>
      <c r="AJ63" s="789"/>
      <c r="AK63" s="789"/>
      <c r="AL63" s="1569"/>
      <c r="AM63" s="1570"/>
      <c r="AN63" s="1570"/>
      <c r="AO63" s="1570"/>
      <c r="AP63" s="1570"/>
      <c r="AQ63" s="1570"/>
      <c r="AR63" s="1570"/>
      <c r="AS63" s="789"/>
      <c r="AT63" s="789"/>
      <c r="AU63" s="789"/>
      <c r="AV63" s="789"/>
      <c r="AW63" s="789"/>
      <c r="AX63" s="789"/>
      <c r="AY63" s="789"/>
      <c r="AZ63" s="789"/>
      <c r="BA63" s="647"/>
      <c r="BB63" s="647"/>
      <c r="BC63" s="649"/>
      <c r="BD63" s="649"/>
      <c r="BE63" s="649"/>
      <c r="BF63" s="649"/>
      <c r="BG63" s="649"/>
      <c r="BH63" s="649"/>
      <c r="BI63" s="649"/>
      <c r="BJ63" s="649"/>
      <c r="BK63" s="649"/>
      <c r="BL63" s="649"/>
      <c r="BM63" s="649"/>
      <c r="BN63" s="649"/>
      <c r="BO63" s="649"/>
      <c r="BP63" s="649"/>
      <c r="BQ63" s="1354"/>
      <c r="BR63" s="1333"/>
      <c r="BS63" s="832"/>
      <c r="BT63" s="817"/>
      <c r="BW63" s="572"/>
    </row>
    <row r="64" spans="1:84" ht="16.5" hidden="1">
      <c r="A64" s="202"/>
      <c r="B64" s="1574" t="s">
        <v>387</v>
      </c>
      <c r="C64" s="1575" t="s">
        <v>49</v>
      </c>
      <c r="D64" s="1573"/>
      <c r="E64" s="1569"/>
      <c r="F64" s="1569"/>
      <c r="G64" s="1569"/>
      <c r="H64" s="1569"/>
      <c r="I64" s="1569"/>
      <c r="J64" s="1569"/>
      <c r="K64" s="1569"/>
      <c r="L64" s="1569"/>
      <c r="M64" s="1569"/>
      <c r="N64" s="1569"/>
      <c r="O64" s="1569"/>
      <c r="P64" s="1569"/>
      <c r="Q64" s="1569"/>
      <c r="R64" s="1569"/>
      <c r="S64" s="1569"/>
      <c r="T64" s="1569"/>
      <c r="U64" s="1569"/>
      <c r="V64" s="1569"/>
      <c r="W64" s="1569"/>
      <c r="X64" s="1570"/>
      <c r="Y64" s="1570"/>
      <c r="Z64" s="1570"/>
      <c r="AA64" s="1570"/>
      <c r="AB64" s="1570"/>
      <c r="AC64" s="1570"/>
      <c r="AD64" s="789"/>
      <c r="AE64" s="789"/>
      <c r="AF64" s="789"/>
      <c r="AG64" s="789"/>
      <c r="AH64" s="789"/>
      <c r="AI64" s="789"/>
      <c r="AJ64" s="789"/>
      <c r="AK64" s="789"/>
      <c r="AL64" s="1569"/>
      <c r="AM64" s="1570"/>
      <c r="AN64" s="1570"/>
      <c r="AO64" s="1570"/>
      <c r="AP64" s="1570"/>
      <c r="AQ64" s="1570"/>
      <c r="AR64" s="1570"/>
      <c r="AS64" s="789"/>
      <c r="AT64" s="789"/>
      <c r="AU64" s="789"/>
      <c r="AV64" s="789"/>
      <c r="AW64" s="789"/>
      <c r="AX64" s="789"/>
      <c r="AY64" s="789"/>
      <c r="AZ64" s="789"/>
      <c r="BA64" s="647"/>
      <c r="BB64" s="647"/>
      <c r="BC64" s="649"/>
      <c r="BD64" s="649"/>
      <c r="BE64" s="649"/>
      <c r="BF64" s="649"/>
      <c r="BG64" s="649"/>
      <c r="BH64" s="649"/>
      <c r="BI64" s="649"/>
      <c r="BJ64" s="649"/>
      <c r="BK64" s="649"/>
      <c r="BL64" s="649"/>
      <c r="BM64" s="649"/>
      <c r="BN64" s="649"/>
      <c r="BO64" s="649"/>
      <c r="BP64" s="649"/>
      <c r="BQ64" s="1354"/>
      <c r="BR64" s="1333"/>
      <c r="BS64" s="1334"/>
      <c r="BT64" s="817"/>
      <c r="BW64" s="572"/>
    </row>
    <row r="65" spans="1:83" ht="16.5" hidden="1">
      <c r="A65" s="202"/>
      <c r="B65" s="1574" t="s">
        <v>388</v>
      </c>
      <c r="C65" s="1575" t="s">
        <v>49</v>
      </c>
      <c r="D65" s="1573"/>
      <c r="E65" s="1569"/>
      <c r="F65" s="1569"/>
      <c r="G65" s="1569"/>
      <c r="H65" s="1569"/>
      <c r="I65" s="1569"/>
      <c r="J65" s="1569"/>
      <c r="K65" s="1569"/>
      <c r="L65" s="1569"/>
      <c r="M65" s="1569"/>
      <c r="N65" s="1569"/>
      <c r="O65" s="1569"/>
      <c r="P65" s="1569"/>
      <c r="Q65" s="1569"/>
      <c r="R65" s="1569"/>
      <c r="S65" s="1569"/>
      <c r="T65" s="1569"/>
      <c r="U65" s="1569"/>
      <c r="V65" s="1569"/>
      <c r="W65" s="1569"/>
      <c r="X65" s="1570"/>
      <c r="Y65" s="1570"/>
      <c r="Z65" s="1570"/>
      <c r="AA65" s="1570"/>
      <c r="AB65" s="1570"/>
      <c r="AC65" s="1570"/>
      <c r="AD65" s="789"/>
      <c r="AE65" s="789"/>
      <c r="AF65" s="789"/>
      <c r="AG65" s="789"/>
      <c r="AH65" s="789"/>
      <c r="AI65" s="789"/>
      <c r="AJ65" s="789"/>
      <c r="AK65" s="789"/>
      <c r="AL65" s="1569"/>
      <c r="AM65" s="1570"/>
      <c r="AN65" s="1570"/>
      <c r="AO65" s="1570"/>
      <c r="AP65" s="1570"/>
      <c r="AQ65" s="1570"/>
      <c r="AR65" s="1570"/>
      <c r="AS65" s="789"/>
      <c r="AT65" s="789"/>
      <c r="AU65" s="789"/>
      <c r="AV65" s="789"/>
      <c r="AW65" s="789"/>
      <c r="AX65" s="789"/>
      <c r="AY65" s="789"/>
      <c r="AZ65" s="789"/>
      <c r="BA65" s="647"/>
      <c r="BB65" s="647"/>
      <c r="BC65" s="649"/>
      <c r="BD65" s="649"/>
      <c r="BE65" s="649"/>
      <c r="BF65" s="649"/>
      <c r="BG65" s="649"/>
      <c r="BH65" s="649"/>
      <c r="BI65" s="649"/>
      <c r="BJ65" s="649"/>
      <c r="BK65" s="649"/>
      <c r="BL65" s="649"/>
      <c r="BM65" s="649"/>
      <c r="BN65" s="649"/>
      <c r="BO65" s="649"/>
      <c r="BP65" s="649"/>
      <c r="BQ65" s="1354"/>
      <c r="BR65" s="1333"/>
      <c r="BS65" s="1334"/>
      <c r="BT65" s="817"/>
      <c r="BW65" s="572"/>
    </row>
    <row r="66" spans="1:83" ht="16.5" hidden="1">
      <c r="A66" s="202"/>
      <c r="B66" s="1574" t="s">
        <v>389</v>
      </c>
      <c r="C66" s="1575" t="s">
        <v>49</v>
      </c>
      <c r="D66" s="1573"/>
      <c r="E66" s="1569"/>
      <c r="F66" s="1569"/>
      <c r="G66" s="1569"/>
      <c r="H66" s="1569"/>
      <c r="I66" s="1569"/>
      <c r="J66" s="1569"/>
      <c r="K66" s="1569"/>
      <c r="L66" s="1569"/>
      <c r="M66" s="1569"/>
      <c r="N66" s="1569"/>
      <c r="O66" s="1569"/>
      <c r="P66" s="1569"/>
      <c r="Q66" s="1569"/>
      <c r="R66" s="1569"/>
      <c r="S66" s="1569"/>
      <c r="T66" s="1569"/>
      <c r="U66" s="1569"/>
      <c r="V66" s="1569"/>
      <c r="W66" s="1569"/>
      <c r="X66" s="1570"/>
      <c r="Y66" s="1570"/>
      <c r="Z66" s="1570"/>
      <c r="AA66" s="1570"/>
      <c r="AB66" s="1570"/>
      <c r="AC66" s="1570"/>
      <c r="AD66" s="789"/>
      <c r="AE66" s="789"/>
      <c r="AF66" s="789"/>
      <c r="AG66" s="789"/>
      <c r="AH66" s="789"/>
      <c r="AI66" s="789"/>
      <c r="AJ66" s="789"/>
      <c r="AK66" s="789"/>
      <c r="AL66" s="1569"/>
      <c r="AM66" s="1570"/>
      <c r="AN66" s="1570"/>
      <c r="AO66" s="1570"/>
      <c r="AP66" s="1570"/>
      <c r="AQ66" s="1570"/>
      <c r="AR66" s="1570"/>
      <c r="AS66" s="789"/>
      <c r="AT66" s="789"/>
      <c r="AU66" s="789"/>
      <c r="AV66" s="789"/>
      <c r="AW66" s="789"/>
      <c r="AX66" s="789"/>
      <c r="AY66" s="789"/>
      <c r="AZ66" s="789"/>
      <c r="BA66" s="647"/>
      <c r="BB66" s="647"/>
      <c r="BC66" s="649"/>
      <c r="BD66" s="649"/>
      <c r="BE66" s="649"/>
      <c r="BF66" s="649"/>
      <c r="BG66" s="649"/>
      <c r="BH66" s="649"/>
      <c r="BI66" s="649"/>
      <c r="BJ66" s="649"/>
      <c r="BK66" s="649"/>
      <c r="BL66" s="649"/>
      <c r="BM66" s="649"/>
      <c r="BN66" s="649"/>
      <c r="BO66" s="649"/>
      <c r="BP66" s="649"/>
      <c r="BQ66" s="1354"/>
      <c r="BR66" s="1333"/>
      <c r="BS66" s="1334"/>
      <c r="BT66" s="817"/>
      <c r="BW66" s="572"/>
    </row>
    <row r="67" spans="1:83" ht="16.5" hidden="1">
      <c r="A67" s="202"/>
      <c r="B67" s="1574" t="s">
        <v>390</v>
      </c>
      <c r="C67" s="1575" t="s">
        <v>49</v>
      </c>
      <c r="D67" s="1573"/>
      <c r="E67" s="1569"/>
      <c r="F67" s="1569"/>
      <c r="G67" s="1569"/>
      <c r="H67" s="1569"/>
      <c r="I67" s="1569"/>
      <c r="J67" s="1569"/>
      <c r="K67" s="1569"/>
      <c r="L67" s="1569"/>
      <c r="M67" s="1569"/>
      <c r="N67" s="1569"/>
      <c r="O67" s="1569"/>
      <c r="P67" s="1569"/>
      <c r="Q67" s="1569"/>
      <c r="R67" s="1569"/>
      <c r="S67" s="1569"/>
      <c r="T67" s="1569"/>
      <c r="U67" s="1569"/>
      <c r="V67" s="1569"/>
      <c r="W67" s="1569"/>
      <c r="X67" s="1570"/>
      <c r="Y67" s="1570"/>
      <c r="Z67" s="1570"/>
      <c r="AA67" s="1570"/>
      <c r="AB67" s="1570"/>
      <c r="AC67" s="1570"/>
      <c r="AD67" s="789"/>
      <c r="AE67" s="789"/>
      <c r="AF67" s="789"/>
      <c r="AG67" s="789"/>
      <c r="AH67" s="789"/>
      <c r="AI67" s="789"/>
      <c r="AJ67" s="789"/>
      <c r="AK67" s="789"/>
      <c r="AL67" s="1569"/>
      <c r="AM67" s="1570"/>
      <c r="AN67" s="1570"/>
      <c r="AO67" s="1570"/>
      <c r="AP67" s="1570"/>
      <c r="AQ67" s="1570"/>
      <c r="AR67" s="1570"/>
      <c r="AS67" s="789"/>
      <c r="AT67" s="789"/>
      <c r="AU67" s="789"/>
      <c r="AV67" s="789"/>
      <c r="AW67" s="789"/>
      <c r="AX67" s="789"/>
      <c r="AY67" s="789"/>
      <c r="AZ67" s="789"/>
      <c r="BA67" s="647"/>
      <c r="BB67" s="647"/>
      <c r="BC67" s="649"/>
      <c r="BD67" s="649"/>
      <c r="BE67" s="649"/>
      <c r="BF67" s="649"/>
      <c r="BG67" s="649"/>
      <c r="BH67" s="649"/>
      <c r="BI67" s="649"/>
      <c r="BJ67" s="649"/>
      <c r="BK67" s="649"/>
      <c r="BL67" s="649"/>
      <c r="BM67" s="649"/>
      <c r="BN67" s="649"/>
      <c r="BO67" s="649"/>
      <c r="BP67" s="649"/>
      <c r="BQ67" s="1354"/>
      <c r="BR67" s="1333"/>
      <c r="BS67" s="1334"/>
      <c r="BW67" s="572"/>
    </row>
    <row r="68" spans="1:83" ht="16.5" hidden="1">
      <c r="A68" s="171">
        <v>2</v>
      </c>
      <c r="B68" s="1571" t="s">
        <v>391</v>
      </c>
      <c r="C68" s="1572"/>
      <c r="D68" s="1573"/>
      <c r="E68" s="1569"/>
      <c r="F68" s="1569"/>
      <c r="G68" s="1569"/>
      <c r="H68" s="1569"/>
      <c r="I68" s="1569"/>
      <c r="J68" s="1569"/>
      <c r="K68" s="1569"/>
      <c r="L68" s="1569"/>
      <c r="M68" s="1569"/>
      <c r="N68" s="1569"/>
      <c r="O68" s="1569"/>
      <c r="P68" s="1569"/>
      <c r="Q68" s="1569"/>
      <c r="R68" s="1569"/>
      <c r="S68" s="1569"/>
      <c r="T68" s="1569"/>
      <c r="U68" s="1569"/>
      <c r="V68" s="1569"/>
      <c r="W68" s="1569"/>
      <c r="X68" s="1570"/>
      <c r="Y68" s="1570"/>
      <c r="Z68" s="1570"/>
      <c r="AA68" s="1570"/>
      <c r="AB68" s="1570"/>
      <c r="AC68" s="1570"/>
      <c r="AD68" s="789"/>
      <c r="AE68" s="789"/>
      <c r="AF68" s="789"/>
      <c r="AG68" s="789"/>
      <c r="AH68" s="789"/>
      <c r="AI68" s="789"/>
      <c r="AJ68" s="789"/>
      <c r="AK68" s="789"/>
      <c r="AL68" s="1569"/>
      <c r="AM68" s="1570"/>
      <c r="AN68" s="1570"/>
      <c r="AO68" s="1570"/>
      <c r="AP68" s="1570"/>
      <c r="AQ68" s="1570"/>
      <c r="AR68" s="1570"/>
      <c r="AS68" s="789"/>
      <c r="AT68" s="789"/>
      <c r="AU68" s="789"/>
      <c r="AV68" s="789"/>
      <c r="AW68" s="789"/>
      <c r="AX68" s="789"/>
      <c r="AY68" s="789"/>
      <c r="AZ68" s="789"/>
      <c r="BA68" s="647"/>
      <c r="BB68" s="647"/>
      <c r="BC68" s="649"/>
      <c r="BD68" s="649"/>
      <c r="BE68" s="649"/>
      <c r="BF68" s="649"/>
      <c r="BG68" s="649"/>
      <c r="BH68" s="649"/>
      <c r="BI68" s="649"/>
      <c r="BJ68" s="649"/>
      <c r="BK68" s="649"/>
      <c r="BL68" s="649"/>
      <c r="BM68" s="649"/>
      <c r="BN68" s="649"/>
      <c r="BO68" s="649"/>
      <c r="BP68" s="649"/>
      <c r="BQ68" s="1354"/>
      <c r="BR68" s="1333"/>
      <c r="BS68" s="1334"/>
      <c r="BW68" s="572"/>
    </row>
    <row r="69" spans="1:83" s="574" customFormat="1" ht="16.5" hidden="1">
      <c r="A69" s="202"/>
      <c r="B69" s="1574" t="s">
        <v>387</v>
      </c>
      <c r="C69" s="1575" t="s">
        <v>49</v>
      </c>
      <c r="D69" s="1573"/>
      <c r="E69" s="1569"/>
      <c r="F69" s="1569"/>
      <c r="G69" s="1569"/>
      <c r="H69" s="1569"/>
      <c r="I69" s="1569"/>
      <c r="J69" s="1569"/>
      <c r="K69" s="1569"/>
      <c r="L69" s="1569"/>
      <c r="M69" s="1569"/>
      <c r="N69" s="1569"/>
      <c r="O69" s="1569"/>
      <c r="P69" s="1569"/>
      <c r="Q69" s="1569"/>
      <c r="R69" s="1569"/>
      <c r="S69" s="1569"/>
      <c r="T69" s="1569"/>
      <c r="U69" s="1569"/>
      <c r="V69" s="1569"/>
      <c r="W69" s="1569"/>
      <c r="X69" s="1570"/>
      <c r="Y69" s="1570"/>
      <c r="Z69" s="1570"/>
      <c r="AA69" s="1570"/>
      <c r="AB69" s="1570"/>
      <c r="AC69" s="1570"/>
      <c r="AD69" s="789"/>
      <c r="AE69" s="789"/>
      <c r="AF69" s="789"/>
      <c r="AG69" s="789"/>
      <c r="AH69" s="789"/>
      <c r="AI69" s="789"/>
      <c r="AJ69" s="789"/>
      <c r="AK69" s="789"/>
      <c r="AL69" s="1569"/>
      <c r="AM69" s="1570"/>
      <c r="AN69" s="1570"/>
      <c r="AO69" s="1570"/>
      <c r="AP69" s="1570"/>
      <c r="AQ69" s="1570"/>
      <c r="AR69" s="1570"/>
      <c r="AS69" s="789"/>
      <c r="AT69" s="789"/>
      <c r="AU69" s="789"/>
      <c r="AV69" s="789"/>
      <c r="AW69" s="789"/>
      <c r="AX69" s="789"/>
      <c r="AY69" s="789"/>
      <c r="AZ69" s="789"/>
      <c r="BA69" s="647"/>
      <c r="BB69" s="647"/>
      <c r="BC69" s="649"/>
      <c r="BD69" s="649"/>
      <c r="BE69" s="649"/>
      <c r="BF69" s="649"/>
      <c r="BG69" s="649"/>
      <c r="BH69" s="649"/>
      <c r="BI69" s="649"/>
      <c r="BJ69" s="649"/>
      <c r="BK69" s="649"/>
      <c r="BL69" s="649"/>
      <c r="BM69" s="649"/>
      <c r="BN69" s="649"/>
      <c r="BO69" s="649"/>
      <c r="BP69" s="649"/>
      <c r="BQ69" s="1354"/>
      <c r="BR69" s="1333"/>
      <c r="BS69" s="1334"/>
      <c r="BW69" s="572"/>
      <c r="CE69" s="1332"/>
    </row>
    <row r="70" spans="1:83" ht="16.5" hidden="1">
      <c r="A70" s="202"/>
      <c r="B70" s="1574" t="s">
        <v>388</v>
      </c>
      <c r="C70" s="1575" t="s">
        <v>49</v>
      </c>
      <c r="D70" s="1573"/>
      <c r="E70" s="1569"/>
      <c r="F70" s="1569"/>
      <c r="G70" s="1569"/>
      <c r="H70" s="1569"/>
      <c r="I70" s="1569"/>
      <c r="J70" s="1569"/>
      <c r="K70" s="1569"/>
      <c r="L70" s="1569"/>
      <c r="M70" s="1569"/>
      <c r="N70" s="1569"/>
      <c r="O70" s="1569"/>
      <c r="P70" s="1569"/>
      <c r="Q70" s="1569"/>
      <c r="R70" s="1569"/>
      <c r="S70" s="1569"/>
      <c r="T70" s="1569"/>
      <c r="U70" s="1569"/>
      <c r="V70" s="1569"/>
      <c r="W70" s="1569"/>
      <c r="X70" s="1570"/>
      <c r="Y70" s="1570"/>
      <c r="Z70" s="1570"/>
      <c r="AA70" s="1570"/>
      <c r="AB70" s="1570"/>
      <c r="AC70" s="1570"/>
      <c r="AD70" s="789"/>
      <c r="AE70" s="789"/>
      <c r="AF70" s="789"/>
      <c r="AG70" s="789"/>
      <c r="AH70" s="789"/>
      <c r="AI70" s="789"/>
      <c r="AJ70" s="789"/>
      <c r="AK70" s="789"/>
      <c r="AL70" s="1569"/>
      <c r="AM70" s="1570"/>
      <c r="AN70" s="1570"/>
      <c r="AO70" s="1570"/>
      <c r="AP70" s="1570"/>
      <c r="AQ70" s="1570"/>
      <c r="AR70" s="1570"/>
      <c r="AS70" s="789"/>
      <c r="AT70" s="789"/>
      <c r="AU70" s="789"/>
      <c r="AV70" s="789"/>
      <c r="AW70" s="789"/>
      <c r="AX70" s="789"/>
      <c r="AY70" s="789"/>
      <c r="AZ70" s="789"/>
      <c r="BA70" s="647"/>
      <c r="BB70" s="647"/>
      <c r="BC70" s="649"/>
      <c r="BD70" s="649"/>
      <c r="BE70" s="649"/>
      <c r="BF70" s="649"/>
      <c r="BG70" s="649"/>
      <c r="BH70" s="649"/>
      <c r="BI70" s="649"/>
      <c r="BJ70" s="649"/>
      <c r="BK70" s="649"/>
      <c r="BL70" s="649"/>
      <c r="BM70" s="649"/>
      <c r="BN70" s="649"/>
      <c r="BO70" s="649"/>
      <c r="BP70" s="649"/>
      <c r="BQ70" s="1354"/>
      <c r="BR70" s="1333"/>
      <c r="BS70" s="1334"/>
      <c r="BW70" s="572"/>
    </row>
    <row r="71" spans="1:83" ht="38.25" hidden="1">
      <c r="A71" s="202"/>
      <c r="B71" s="1574" t="s">
        <v>392</v>
      </c>
      <c r="C71" s="1575" t="s">
        <v>49</v>
      </c>
      <c r="D71" s="1573"/>
      <c r="E71" s="1569"/>
      <c r="F71" s="1569"/>
      <c r="G71" s="1569"/>
      <c r="H71" s="1569"/>
      <c r="I71" s="1569"/>
      <c r="J71" s="1569"/>
      <c r="K71" s="1569"/>
      <c r="L71" s="1569"/>
      <c r="M71" s="1569"/>
      <c r="N71" s="1569"/>
      <c r="O71" s="1569"/>
      <c r="P71" s="1569"/>
      <c r="Q71" s="1569"/>
      <c r="R71" s="1569"/>
      <c r="S71" s="1569"/>
      <c r="T71" s="1569"/>
      <c r="U71" s="1569"/>
      <c r="V71" s="1569"/>
      <c r="W71" s="1569"/>
      <c r="X71" s="1570"/>
      <c r="Y71" s="1570"/>
      <c r="Z71" s="1570"/>
      <c r="AA71" s="1570"/>
      <c r="AB71" s="1570"/>
      <c r="AC71" s="1570"/>
      <c r="AD71" s="789"/>
      <c r="AE71" s="789"/>
      <c r="AF71" s="789"/>
      <c r="AG71" s="789"/>
      <c r="AH71" s="789"/>
      <c r="AI71" s="789"/>
      <c r="AJ71" s="789"/>
      <c r="AK71" s="789"/>
      <c r="AL71" s="1569"/>
      <c r="AM71" s="1570"/>
      <c r="AN71" s="1570"/>
      <c r="AO71" s="1570"/>
      <c r="AP71" s="1570"/>
      <c r="AQ71" s="1570"/>
      <c r="AR71" s="1570"/>
      <c r="AS71" s="789"/>
      <c r="AT71" s="789"/>
      <c r="AU71" s="789"/>
      <c r="AV71" s="789"/>
      <c r="AW71" s="789"/>
      <c r="AX71" s="789"/>
      <c r="AY71" s="789"/>
      <c r="AZ71" s="789"/>
      <c r="BA71" s="647"/>
      <c r="BB71" s="647"/>
      <c r="BC71" s="649"/>
      <c r="BD71" s="649"/>
      <c r="BE71" s="649"/>
      <c r="BF71" s="649"/>
      <c r="BG71" s="649"/>
      <c r="BH71" s="649"/>
      <c r="BI71" s="649"/>
      <c r="BJ71" s="649"/>
      <c r="BK71" s="649"/>
      <c r="BL71" s="649"/>
      <c r="BM71" s="649"/>
      <c r="BN71" s="649"/>
      <c r="BO71" s="649"/>
      <c r="BP71" s="649"/>
      <c r="BQ71" s="1354"/>
      <c r="BR71" s="1333"/>
      <c r="BS71" s="1334"/>
      <c r="BW71" s="572"/>
    </row>
    <row r="72" spans="1:83" ht="16.5" hidden="1">
      <c r="A72" s="203"/>
      <c r="B72" s="1576" t="s">
        <v>390</v>
      </c>
      <c r="C72" s="1577" t="s">
        <v>49</v>
      </c>
      <c r="D72" s="1578"/>
      <c r="E72" s="1579"/>
      <c r="F72" s="1579"/>
      <c r="G72" s="1579"/>
      <c r="H72" s="1579"/>
      <c r="I72" s="1579"/>
      <c r="J72" s="1579"/>
      <c r="K72" s="1579"/>
      <c r="L72" s="1579"/>
      <c r="M72" s="1579"/>
      <c r="N72" s="1579"/>
      <c r="O72" s="1579"/>
      <c r="P72" s="1579"/>
      <c r="Q72" s="1579"/>
      <c r="R72" s="1579"/>
      <c r="S72" s="1579"/>
      <c r="T72" s="1579"/>
      <c r="U72" s="1579"/>
      <c r="V72" s="1579"/>
      <c r="W72" s="1579"/>
      <c r="X72" s="1580"/>
      <c r="Y72" s="1580"/>
      <c r="Z72" s="1580"/>
      <c r="AA72" s="1580"/>
      <c r="AB72" s="1580"/>
      <c r="AC72" s="1580"/>
      <c r="AD72" s="790"/>
      <c r="AE72" s="790"/>
      <c r="AF72" s="790"/>
      <c r="AG72" s="790"/>
      <c r="AH72" s="790"/>
      <c r="AI72" s="790"/>
      <c r="AJ72" s="790"/>
      <c r="AK72" s="790"/>
      <c r="AL72" s="1579"/>
      <c r="AM72" s="1580"/>
      <c r="AN72" s="1580"/>
      <c r="AO72" s="1580"/>
      <c r="AP72" s="1580"/>
      <c r="AQ72" s="1580"/>
      <c r="AR72" s="1580"/>
      <c r="AS72" s="790"/>
      <c r="AT72" s="790"/>
      <c r="AU72" s="790"/>
      <c r="AV72" s="790"/>
      <c r="AW72" s="790"/>
      <c r="AX72" s="790"/>
      <c r="AY72" s="790"/>
      <c r="AZ72" s="790"/>
      <c r="BA72" s="650"/>
      <c r="BB72" s="650"/>
      <c r="BC72" s="651"/>
      <c r="BD72" s="651"/>
      <c r="BE72" s="651"/>
      <c r="BF72" s="651"/>
      <c r="BG72" s="651"/>
      <c r="BH72" s="651"/>
      <c r="BI72" s="651"/>
      <c r="BJ72" s="651"/>
      <c r="BK72" s="651"/>
      <c r="BL72" s="651"/>
      <c r="BM72" s="651"/>
      <c r="BN72" s="651"/>
      <c r="BO72" s="651"/>
      <c r="BP72" s="651"/>
      <c r="BQ72" s="1354"/>
      <c r="BR72" s="1333"/>
      <c r="BS72" s="1334"/>
    </row>
    <row r="73" spans="1:83" ht="16.5" hidden="1">
      <c r="A73" s="583"/>
      <c r="B73" s="1581"/>
      <c r="C73" s="1582"/>
      <c r="BQ73" s="1355"/>
    </row>
    <row r="74" spans="1:83" ht="45" customHeight="1">
      <c r="A74" s="2118"/>
      <c r="B74" s="2118"/>
      <c r="C74" s="2118"/>
      <c r="D74" s="2118"/>
      <c r="E74" s="2118"/>
      <c r="F74" s="2118"/>
      <c r="G74" s="2118"/>
      <c r="H74" s="2118"/>
      <c r="I74" s="2118"/>
      <c r="J74" s="2118"/>
      <c r="K74" s="2118"/>
      <c r="L74" s="2118"/>
      <c r="M74" s="2118"/>
      <c r="N74" s="2118"/>
      <c r="O74" s="2118"/>
      <c r="P74" s="2118"/>
      <c r="Q74" s="2118"/>
      <c r="R74" s="2118"/>
      <c r="S74" s="2118"/>
      <c r="T74" s="2118"/>
      <c r="U74" s="2118"/>
      <c r="V74" s="2118"/>
      <c r="W74" s="2118"/>
      <c r="X74" s="2118"/>
      <c r="Y74" s="2118"/>
      <c r="Z74" s="2118"/>
      <c r="AA74" s="2118"/>
      <c r="AB74" s="2118"/>
      <c r="AC74" s="2118"/>
      <c r="AD74" s="2118"/>
      <c r="AE74" s="2118"/>
      <c r="AF74" s="2118"/>
      <c r="AG74" s="2118"/>
      <c r="AH74" s="2118"/>
      <c r="AI74" s="2118"/>
      <c r="AJ74" s="2118"/>
      <c r="AK74" s="2118"/>
      <c r="AL74" s="2118"/>
      <c r="AM74" s="2118"/>
      <c r="AN74" s="2118"/>
      <c r="AO74" s="2118"/>
      <c r="AP74" s="2118"/>
      <c r="AQ74" s="2118"/>
      <c r="AR74" s="2118"/>
      <c r="AS74" s="2118"/>
      <c r="AT74" s="2118"/>
      <c r="AU74" s="2118"/>
      <c r="AV74" s="2118"/>
      <c r="AW74" s="2118"/>
      <c r="AX74" s="2118"/>
      <c r="AY74" s="2118"/>
      <c r="AZ74" s="2118"/>
      <c r="BA74" s="2118"/>
      <c r="BB74" s="2118"/>
      <c r="BC74" s="2118"/>
      <c r="BD74" s="2118"/>
      <c r="BE74" s="2118"/>
      <c r="BF74" s="2118"/>
      <c r="BG74" s="2118"/>
      <c r="BH74" s="2118"/>
      <c r="BI74" s="2118"/>
      <c r="BJ74" s="2118"/>
      <c r="BK74" s="2118"/>
      <c r="BL74" s="2118"/>
      <c r="BM74" s="2118"/>
      <c r="BN74" s="2118"/>
      <c r="BO74" s="2118"/>
      <c r="BP74" s="2118"/>
      <c r="BQ74" s="2118"/>
    </row>
    <row r="75" spans="1:83" ht="15.75" customHeight="1">
      <c r="A75" s="573"/>
      <c r="D75" s="1588"/>
    </row>
    <row r="76" spans="1:83" ht="15.75" customHeight="1">
      <c r="A76" s="573"/>
    </row>
  </sheetData>
  <mergeCells count="24">
    <mergeCell ref="A1:BQ1"/>
    <mergeCell ref="A2:BQ2"/>
    <mergeCell ref="A5:A7"/>
    <mergeCell ref="B5:B7"/>
    <mergeCell ref="C5:C7"/>
    <mergeCell ref="A3:BQ3"/>
    <mergeCell ref="BA5:BB5"/>
    <mergeCell ref="E5:V5"/>
    <mergeCell ref="BA6:BA7"/>
    <mergeCell ref="BB6:BB7"/>
    <mergeCell ref="A74:BQ74"/>
    <mergeCell ref="BQ5:BQ7"/>
    <mergeCell ref="BC5:BP6"/>
    <mergeCell ref="D5:D7"/>
    <mergeCell ref="E6:E7"/>
    <mergeCell ref="F6:F7"/>
    <mergeCell ref="H6:H7"/>
    <mergeCell ref="G6:G7"/>
    <mergeCell ref="W6:W7"/>
    <mergeCell ref="X6:AK6"/>
    <mergeCell ref="I6:V6"/>
    <mergeCell ref="AL6:AL7"/>
    <mergeCell ref="AM6:AZ6"/>
    <mergeCell ref="W5:AZ5"/>
  </mergeCells>
  <printOptions horizontalCentered="1"/>
  <pageMargins left="0.39370078740157483" right="0.39370078740157483" top="0.6692913385826772" bottom="0.51181102362204722" header="0.19685039370078741" footer="0.27559055118110237"/>
  <pageSetup paperSize="9" scale="66" fitToHeight="0" orientation="landscape" r:id="rId1"/>
  <headerFooter>
    <oddFooter>&amp;C&amp;"Times New Roman,Regular"&amp;10Page &amp;P</oddFooter>
    <evenFooter>Page &amp;P</evenFooter>
  </headerFooter>
  <rowBreaks count="1" manualBreakCount="1">
    <brk id="73" max="16383" man="1"/>
  </rowBreaks>
  <legacyDrawing r:id="rId2"/>
</worksheet>
</file>

<file path=xl/worksheets/sheet1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BE200"/>
  <sheetViews>
    <sheetView zoomScaleNormal="100" zoomScaleSheetLayoutView="85" workbookViewId="0">
      <selection activeCell="B15" sqref="B15"/>
    </sheetView>
  </sheetViews>
  <sheetFormatPr defaultColWidth="9" defaultRowHeight="16.5" customHeight="1"/>
  <cols>
    <col min="1" max="1" width="4.125" style="600" customWidth="1"/>
    <col min="2" max="2" width="28.375" style="596" customWidth="1"/>
    <col min="3" max="3" width="6.625" style="596" customWidth="1"/>
    <col min="4" max="4" width="7.375" style="596" hidden="1" customWidth="1"/>
    <col min="5" max="5" width="7.25" style="596" hidden="1" customWidth="1"/>
    <col min="6" max="6" width="7.25" style="596" customWidth="1"/>
    <col min="7" max="8" width="7.25" style="596" hidden="1" customWidth="1"/>
    <col min="9" max="9" width="6.625" style="787" hidden="1" customWidth="1"/>
    <col min="10" max="10" width="7.25" style="787" hidden="1" customWidth="1"/>
    <col min="11" max="11" width="7.375" style="787" hidden="1" customWidth="1"/>
    <col min="12" max="12" width="7.25" style="787" hidden="1" customWidth="1"/>
    <col min="13" max="13" width="7.625" style="787" hidden="1" customWidth="1"/>
    <col min="14" max="14" width="6.625" style="787" hidden="1" customWidth="1"/>
    <col min="15" max="15" width="7" style="787" hidden="1" customWidth="1"/>
    <col min="16" max="19" width="6.625" style="787" hidden="1" customWidth="1"/>
    <col min="20" max="20" width="7" style="787" hidden="1" customWidth="1"/>
    <col min="21" max="22" width="6.625" style="787" hidden="1" customWidth="1"/>
    <col min="23" max="23" width="7.25" style="596" customWidth="1"/>
    <col min="24" max="24" width="6.625" style="787" hidden="1" customWidth="1"/>
    <col min="25" max="25" width="6.875" style="596" hidden="1" customWidth="1"/>
    <col min="26" max="26" width="6.75" style="596" hidden="1" customWidth="1"/>
    <col min="27" max="27" width="7" style="596" hidden="1" customWidth="1"/>
    <col min="28" max="28" width="6.75" style="596" hidden="1" customWidth="1"/>
    <col min="29" max="29" width="6.625" style="596" hidden="1" customWidth="1"/>
    <col min="30" max="30" width="7" style="596" hidden="1" customWidth="1"/>
    <col min="31" max="34" width="6.625" style="596" hidden="1" customWidth="1"/>
    <col min="35" max="35" width="7" style="596" hidden="1" customWidth="1"/>
    <col min="36" max="37" width="6.625" style="596" hidden="1" customWidth="1"/>
    <col min="38" max="38" width="7.25" style="596" customWidth="1"/>
    <col min="39" max="39" width="6.625" style="787" customWidth="1"/>
    <col min="40" max="40" width="6.875" style="596" customWidth="1"/>
    <col min="41" max="41" width="6.75" style="596" customWidth="1"/>
    <col min="42" max="42" width="7" style="596" customWidth="1"/>
    <col min="43" max="43" width="6.75" style="596" customWidth="1"/>
    <col min="44" max="44" width="6.625" style="596" customWidth="1"/>
    <col min="45" max="45" width="7" style="596" customWidth="1"/>
    <col min="46" max="49" width="6.625" style="596" customWidth="1"/>
    <col min="50" max="50" width="7" style="596" customWidth="1"/>
    <col min="51" max="52" width="6.625" style="596" customWidth="1"/>
    <col min="53" max="53" width="9.5" style="596" customWidth="1"/>
    <col min="54" max="54" width="8.125" style="596" customWidth="1"/>
    <col min="55" max="55" width="5" style="596" customWidth="1"/>
    <col min="56" max="56" width="12.375" style="1609" hidden="1" customWidth="1"/>
    <col min="57" max="57" width="12.375" style="353" hidden="1" customWidth="1"/>
    <col min="58" max="16384" width="9" style="370"/>
  </cols>
  <sheetData>
    <row r="1" spans="1:57" s="587" customFormat="1" ht="21.95" customHeight="1">
      <c r="A1" s="2124" t="s">
        <v>338</v>
      </c>
      <c r="B1" s="2124"/>
      <c r="C1" s="2124"/>
      <c r="D1" s="2124"/>
      <c r="E1" s="2124"/>
      <c r="F1" s="2124"/>
      <c r="G1" s="2124"/>
      <c r="H1" s="2124"/>
      <c r="I1" s="2124"/>
      <c r="J1" s="2124"/>
      <c r="K1" s="2124"/>
      <c r="L1" s="2124"/>
      <c r="M1" s="2124"/>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c r="AL1" s="2124"/>
      <c r="AM1" s="2124"/>
      <c r="AN1" s="2124"/>
      <c r="AO1" s="2124"/>
      <c r="AP1" s="2124"/>
      <c r="AQ1" s="2124"/>
      <c r="AR1" s="2124"/>
      <c r="AS1" s="2124"/>
      <c r="AT1" s="2124"/>
      <c r="AU1" s="2124"/>
      <c r="AV1" s="2124"/>
      <c r="AW1" s="2124"/>
      <c r="AX1" s="2124"/>
      <c r="AY1" s="2124"/>
      <c r="AZ1" s="2124"/>
      <c r="BA1" s="2124"/>
      <c r="BB1" s="2124"/>
      <c r="BC1" s="2124"/>
      <c r="BD1" s="1609"/>
      <c r="BE1" s="353"/>
    </row>
    <row r="2" spans="1:57" s="587" customFormat="1" ht="21.95" customHeight="1">
      <c r="A2" s="2031" t="s">
        <v>394</v>
      </c>
      <c r="B2" s="2031"/>
      <c r="C2" s="2031"/>
      <c r="D2" s="2031"/>
      <c r="E2" s="2031"/>
      <c r="F2" s="2031"/>
      <c r="G2" s="2031"/>
      <c r="H2" s="2031"/>
      <c r="I2" s="2031"/>
      <c r="J2" s="2031"/>
      <c r="K2" s="2031"/>
      <c r="L2" s="2031"/>
      <c r="M2" s="2031"/>
      <c r="N2" s="2031"/>
      <c r="O2" s="2031"/>
      <c r="P2" s="2031"/>
      <c r="Q2" s="2031"/>
      <c r="R2" s="2031"/>
      <c r="S2" s="2031"/>
      <c r="T2" s="2031"/>
      <c r="U2" s="2031"/>
      <c r="V2" s="2031"/>
      <c r="W2" s="2031"/>
      <c r="X2" s="2031"/>
      <c r="Y2" s="2031"/>
      <c r="Z2" s="2031"/>
      <c r="AA2" s="2031"/>
      <c r="AB2" s="2031"/>
      <c r="AC2" s="2031"/>
      <c r="AD2" s="2031"/>
      <c r="AE2" s="2031"/>
      <c r="AF2" s="2031"/>
      <c r="AG2" s="2031"/>
      <c r="AH2" s="2031"/>
      <c r="AI2" s="2031"/>
      <c r="AJ2" s="2031"/>
      <c r="AK2" s="2031"/>
      <c r="AL2" s="2031"/>
      <c r="AM2" s="2031"/>
      <c r="AN2" s="2031"/>
      <c r="AO2" s="2031"/>
      <c r="AP2" s="2031"/>
      <c r="AQ2" s="2031"/>
      <c r="AR2" s="2031"/>
      <c r="AS2" s="2031"/>
      <c r="AT2" s="2031"/>
      <c r="AU2" s="2031"/>
      <c r="AV2" s="2031"/>
      <c r="AW2" s="2031"/>
      <c r="AX2" s="2031"/>
      <c r="AY2" s="2031"/>
      <c r="AZ2" s="2031"/>
      <c r="BA2" s="2031"/>
      <c r="BB2" s="2031"/>
      <c r="BC2" s="2031"/>
      <c r="BD2" s="1609"/>
      <c r="BE2" s="353"/>
    </row>
    <row r="3" spans="1:57" s="587" customFormat="1" ht="21.95" customHeight="1">
      <c r="A3" s="2032" t="str">
        <f>'B9. Y TE'!A3:BP3</f>
        <v>(Kèm theo Báo cáo số:  1525 /BC-UBND, ngày   30  tháng 5 năm 2025 của UBND huyện Mường Tè)</v>
      </c>
      <c r="B3" s="2032"/>
      <c r="C3" s="2032"/>
      <c r="D3" s="2032"/>
      <c r="E3" s="2032"/>
      <c r="F3" s="2032"/>
      <c r="G3" s="2032"/>
      <c r="H3" s="2032"/>
      <c r="I3" s="2032"/>
      <c r="J3" s="2032"/>
      <c r="K3" s="2032"/>
      <c r="L3" s="2032"/>
      <c r="M3" s="2032"/>
      <c r="N3" s="2032"/>
      <c r="O3" s="2032"/>
      <c r="P3" s="2032"/>
      <c r="Q3" s="2032"/>
      <c r="R3" s="2032"/>
      <c r="S3" s="2032"/>
      <c r="T3" s="2032"/>
      <c r="U3" s="2032"/>
      <c r="V3" s="2032"/>
      <c r="W3" s="2032"/>
      <c r="X3" s="2032"/>
      <c r="Y3" s="2032"/>
      <c r="Z3" s="2032"/>
      <c r="AA3" s="2032"/>
      <c r="AB3" s="2032"/>
      <c r="AC3" s="2032"/>
      <c r="AD3" s="2032"/>
      <c r="AE3" s="2032"/>
      <c r="AF3" s="2032"/>
      <c r="AG3" s="2032"/>
      <c r="AH3" s="2032"/>
      <c r="AI3" s="2032"/>
      <c r="AJ3" s="2032"/>
      <c r="AK3" s="2032"/>
      <c r="AL3" s="2032"/>
      <c r="AM3" s="2032"/>
      <c r="AN3" s="2032"/>
      <c r="AO3" s="2032"/>
      <c r="AP3" s="2032"/>
      <c r="AQ3" s="2032"/>
      <c r="AR3" s="2032"/>
      <c r="AS3" s="2032"/>
      <c r="AT3" s="2032"/>
      <c r="AU3" s="2032"/>
      <c r="AV3" s="2032"/>
      <c r="AW3" s="2032"/>
      <c r="AX3" s="2032"/>
      <c r="AY3" s="2032"/>
      <c r="AZ3" s="2032"/>
      <c r="BA3" s="2032"/>
      <c r="BB3" s="2032"/>
      <c r="BC3" s="2032"/>
      <c r="BD3" s="1609"/>
      <c r="BE3" s="353"/>
    </row>
    <row r="4" spans="1:57" s="400" customFormat="1" ht="21.75" hidden="1" customHeight="1">
      <c r="A4" s="353"/>
      <c r="B4" s="505"/>
      <c r="C4" s="1399"/>
      <c r="D4" s="1399"/>
      <c r="E4" s="1399"/>
      <c r="F4" s="1399"/>
      <c r="G4" s="1399"/>
      <c r="H4" s="1399"/>
      <c r="I4" s="1399"/>
      <c r="J4" s="1399"/>
      <c r="K4" s="1399"/>
      <c r="L4" s="1399"/>
      <c r="M4" s="1399"/>
      <c r="N4" s="1399"/>
      <c r="O4" s="1399"/>
      <c r="P4" s="1399"/>
      <c r="Q4" s="1399"/>
      <c r="R4" s="1399"/>
      <c r="S4" s="1399"/>
      <c r="T4" s="1399"/>
      <c r="U4" s="1399"/>
      <c r="V4" s="1399"/>
      <c r="W4" s="1399"/>
      <c r="X4" s="1399"/>
      <c r="Y4" s="1399"/>
      <c r="Z4" s="1399"/>
      <c r="AA4" s="1399"/>
      <c r="AB4" s="1399"/>
      <c r="AC4" s="1399"/>
      <c r="AD4" s="1399"/>
      <c r="AE4" s="1399"/>
      <c r="AF4" s="1399"/>
      <c r="AG4" s="1399"/>
      <c r="AH4" s="1399"/>
      <c r="AI4" s="1399"/>
      <c r="AJ4" s="1399"/>
      <c r="AK4" s="1399"/>
      <c r="AL4" s="1399"/>
      <c r="AM4" s="1399"/>
      <c r="AN4" s="1399"/>
      <c r="AO4" s="1399"/>
      <c r="AP4" s="1399"/>
      <c r="AQ4" s="1399"/>
      <c r="AR4" s="1399"/>
      <c r="AS4" s="1399"/>
      <c r="AT4" s="1399"/>
      <c r="AU4" s="1399"/>
      <c r="AV4" s="1399"/>
      <c r="AW4" s="1399"/>
      <c r="AX4" s="1399"/>
      <c r="AY4" s="1399"/>
      <c r="AZ4" s="1399"/>
      <c r="BA4" s="1399"/>
      <c r="BB4" s="1399"/>
      <c r="BC4" s="1399"/>
      <c r="BD4" s="1609"/>
      <c r="BE4" s="353"/>
    </row>
    <row r="5" spans="1:57" s="400" customFormat="1" ht="21.95" customHeight="1">
      <c r="A5" s="652"/>
      <c r="B5" s="1438"/>
      <c r="C5" s="1439"/>
      <c r="D5" s="1439"/>
      <c r="E5" s="1439"/>
      <c r="F5" s="1439"/>
      <c r="G5" s="1439"/>
      <c r="H5" s="1439"/>
      <c r="I5" s="1439"/>
      <c r="J5" s="1439"/>
      <c r="K5" s="1439"/>
      <c r="L5" s="1439"/>
      <c r="M5" s="1439"/>
      <c r="N5" s="1439"/>
      <c r="O5" s="1439"/>
      <c r="P5" s="1439"/>
      <c r="Q5" s="1439"/>
      <c r="R5" s="1439"/>
      <c r="S5" s="1439"/>
      <c r="T5" s="1439"/>
      <c r="U5" s="1439"/>
      <c r="V5" s="1439"/>
      <c r="W5" s="1439"/>
      <c r="X5" s="1439"/>
      <c r="Y5" s="1439"/>
      <c r="Z5" s="1439"/>
      <c r="AA5" s="1439"/>
      <c r="AB5" s="1439"/>
      <c r="AC5" s="1439"/>
      <c r="AD5" s="1439"/>
      <c r="AE5" s="1439"/>
      <c r="AF5" s="1439"/>
      <c r="AG5" s="1439"/>
      <c r="AH5" s="1439"/>
      <c r="AI5" s="1439"/>
      <c r="AJ5" s="1439"/>
      <c r="AK5" s="1439"/>
      <c r="AL5" s="1439"/>
      <c r="AM5" s="1439"/>
      <c r="AN5" s="1439"/>
      <c r="AO5" s="1439"/>
      <c r="AP5" s="1439"/>
      <c r="AQ5" s="1439"/>
      <c r="AR5" s="1439"/>
      <c r="AS5" s="1439"/>
      <c r="AT5" s="1439"/>
      <c r="AU5" s="1439"/>
      <c r="AV5" s="1439"/>
      <c r="AW5" s="1439"/>
      <c r="AX5" s="1439"/>
      <c r="AY5" s="1439"/>
      <c r="AZ5" s="1439"/>
      <c r="BA5" s="1439"/>
      <c r="BB5" s="1439"/>
      <c r="BC5" s="1439"/>
      <c r="BD5" s="1609"/>
      <c r="BE5" s="353"/>
    </row>
    <row r="6" spans="1:57" s="588" customFormat="1" ht="33" customHeight="1">
      <c r="A6" s="2033" t="s">
        <v>178</v>
      </c>
      <c r="B6" s="2033" t="s">
        <v>4</v>
      </c>
      <c r="C6" s="2033" t="s">
        <v>5</v>
      </c>
      <c r="D6" s="2035" t="s">
        <v>880</v>
      </c>
      <c r="E6" s="2035" t="s">
        <v>865</v>
      </c>
      <c r="F6" s="2035"/>
      <c r="G6" s="2035"/>
      <c r="H6" s="2035"/>
      <c r="I6" s="2035"/>
      <c r="J6" s="2035"/>
      <c r="K6" s="2035"/>
      <c r="L6" s="2035"/>
      <c r="M6" s="2035"/>
      <c r="N6" s="2035"/>
      <c r="O6" s="2035"/>
      <c r="P6" s="2035"/>
      <c r="Q6" s="2035"/>
      <c r="R6" s="2035"/>
      <c r="S6" s="2035"/>
      <c r="T6" s="2035"/>
      <c r="U6" s="2035"/>
      <c r="V6" s="2035"/>
      <c r="W6" s="2035" t="s">
        <v>952</v>
      </c>
      <c r="X6" s="2035"/>
      <c r="Y6" s="2035"/>
      <c r="Z6" s="2035"/>
      <c r="AA6" s="2035"/>
      <c r="AB6" s="2035"/>
      <c r="AC6" s="2035"/>
      <c r="AD6" s="2035"/>
      <c r="AE6" s="2035"/>
      <c r="AF6" s="2035"/>
      <c r="AG6" s="2035"/>
      <c r="AH6" s="2035"/>
      <c r="AI6" s="2035"/>
      <c r="AJ6" s="2035"/>
      <c r="AK6" s="2035"/>
      <c r="AL6" s="2035"/>
      <c r="AM6" s="2035"/>
      <c r="AN6" s="2035"/>
      <c r="AO6" s="2035"/>
      <c r="AP6" s="2035"/>
      <c r="AQ6" s="2035"/>
      <c r="AR6" s="2035"/>
      <c r="AS6" s="2035"/>
      <c r="AT6" s="2035"/>
      <c r="AU6" s="2035"/>
      <c r="AV6" s="2035"/>
      <c r="AW6" s="2035"/>
      <c r="AX6" s="2035"/>
      <c r="AY6" s="2035"/>
      <c r="AZ6" s="2035"/>
      <c r="BA6" s="2035" t="s">
        <v>866</v>
      </c>
      <c r="BB6" s="2035"/>
      <c r="BC6" s="2125" t="s">
        <v>656</v>
      </c>
      <c r="BD6" s="1609"/>
      <c r="BE6" s="457"/>
    </row>
    <row r="7" spans="1:57" s="588" customFormat="1" ht="21.95" customHeight="1">
      <c r="A7" s="2033"/>
      <c r="B7" s="2033"/>
      <c r="C7" s="2033"/>
      <c r="D7" s="2035"/>
      <c r="E7" s="2035" t="s">
        <v>11</v>
      </c>
      <c r="F7" s="2035" t="s">
        <v>972</v>
      </c>
      <c r="G7" s="2035" t="s">
        <v>871</v>
      </c>
      <c r="H7" s="2035" t="s">
        <v>797</v>
      </c>
      <c r="I7" s="2035" t="s">
        <v>882</v>
      </c>
      <c r="J7" s="2035"/>
      <c r="K7" s="2035"/>
      <c r="L7" s="2035"/>
      <c r="M7" s="2035"/>
      <c r="N7" s="2035"/>
      <c r="O7" s="2035"/>
      <c r="P7" s="2035"/>
      <c r="Q7" s="2035"/>
      <c r="R7" s="2035"/>
      <c r="S7" s="2035"/>
      <c r="T7" s="2035"/>
      <c r="U7" s="2035"/>
      <c r="V7" s="2035"/>
      <c r="W7" s="2035" t="s">
        <v>11</v>
      </c>
      <c r="X7" s="2035" t="s">
        <v>58</v>
      </c>
      <c r="Y7" s="2035"/>
      <c r="Z7" s="2035"/>
      <c r="AA7" s="2035"/>
      <c r="AB7" s="2035"/>
      <c r="AC7" s="2035"/>
      <c r="AD7" s="2035"/>
      <c r="AE7" s="2035"/>
      <c r="AF7" s="2035"/>
      <c r="AG7" s="2035"/>
      <c r="AH7" s="2035"/>
      <c r="AI7" s="2035"/>
      <c r="AJ7" s="2035"/>
      <c r="AK7" s="2035"/>
      <c r="AL7" s="2035" t="s">
        <v>973</v>
      </c>
      <c r="AM7" s="2034" t="s">
        <v>882</v>
      </c>
      <c r="AN7" s="2034"/>
      <c r="AO7" s="2034"/>
      <c r="AP7" s="2034"/>
      <c r="AQ7" s="2034"/>
      <c r="AR7" s="2034"/>
      <c r="AS7" s="2034"/>
      <c r="AT7" s="2034"/>
      <c r="AU7" s="2034"/>
      <c r="AV7" s="2034"/>
      <c r="AW7" s="2034"/>
      <c r="AX7" s="2034"/>
      <c r="AY7" s="2034"/>
      <c r="AZ7" s="2034"/>
      <c r="BA7" s="2035" t="s">
        <v>959</v>
      </c>
      <c r="BB7" s="2035" t="s">
        <v>960</v>
      </c>
      <c r="BC7" s="2125"/>
      <c r="BD7" s="1609"/>
      <c r="BE7" s="457"/>
    </row>
    <row r="8" spans="1:57" s="588" customFormat="1" ht="73.5" customHeight="1">
      <c r="A8" s="2033"/>
      <c r="B8" s="2033"/>
      <c r="C8" s="2033"/>
      <c r="D8" s="2035"/>
      <c r="E8" s="2035"/>
      <c r="F8" s="2035"/>
      <c r="G8" s="2035"/>
      <c r="H8" s="2035"/>
      <c r="I8" s="1794" t="s">
        <v>59</v>
      </c>
      <c r="J8" s="1794" t="s">
        <v>60</v>
      </c>
      <c r="K8" s="1794" t="s">
        <v>61</v>
      </c>
      <c r="L8" s="1794" t="s">
        <v>62</v>
      </c>
      <c r="M8" s="1794" t="s">
        <v>63</v>
      </c>
      <c r="N8" s="1794" t="s">
        <v>64</v>
      </c>
      <c r="O8" s="1794" t="s">
        <v>65</v>
      </c>
      <c r="P8" s="1794" t="s">
        <v>66</v>
      </c>
      <c r="Q8" s="1794" t="s">
        <v>67</v>
      </c>
      <c r="R8" s="1794" t="s">
        <v>68</v>
      </c>
      <c r="S8" s="1794" t="s">
        <v>69</v>
      </c>
      <c r="T8" s="1794" t="s">
        <v>70</v>
      </c>
      <c r="U8" s="1794" t="s">
        <v>71</v>
      </c>
      <c r="V8" s="1794" t="s">
        <v>72</v>
      </c>
      <c r="W8" s="2035"/>
      <c r="X8" s="1794" t="s">
        <v>937</v>
      </c>
      <c r="Y8" s="1794" t="s">
        <v>60</v>
      </c>
      <c r="Z8" s="1794" t="s">
        <v>61</v>
      </c>
      <c r="AA8" s="1794" t="s">
        <v>62</v>
      </c>
      <c r="AB8" s="1794" t="s">
        <v>63</v>
      </c>
      <c r="AC8" s="1794" t="s">
        <v>64</v>
      </c>
      <c r="AD8" s="1794" t="s">
        <v>65</v>
      </c>
      <c r="AE8" s="1794" t="s">
        <v>66</v>
      </c>
      <c r="AF8" s="1794" t="s">
        <v>67</v>
      </c>
      <c r="AG8" s="1794" t="s">
        <v>68</v>
      </c>
      <c r="AH8" s="1794" t="s">
        <v>69</v>
      </c>
      <c r="AI8" s="1794" t="s">
        <v>70</v>
      </c>
      <c r="AJ8" s="1794" t="s">
        <v>71</v>
      </c>
      <c r="AK8" s="1794" t="s">
        <v>72</v>
      </c>
      <c r="AL8" s="2035"/>
      <c r="AM8" s="1794" t="s">
        <v>937</v>
      </c>
      <c r="AN8" s="1794" t="s">
        <v>974</v>
      </c>
      <c r="AO8" s="1794" t="s">
        <v>975</v>
      </c>
      <c r="AP8" s="1794" t="s">
        <v>976</v>
      </c>
      <c r="AQ8" s="1794" t="s">
        <v>977</v>
      </c>
      <c r="AR8" s="1794" t="s">
        <v>978</v>
      </c>
      <c r="AS8" s="1794" t="s">
        <v>979</v>
      </c>
      <c r="AT8" s="1794" t="s">
        <v>980</v>
      </c>
      <c r="AU8" s="1794" t="s">
        <v>981</v>
      </c>
      <c r="AV8" s="1794" t="s">
        <v>982</v>
      </c>
      <c r="AW8" s="1794" t="s">
        <v>983</v>
      </c>
      <c r="AX8" s="1794" t="s">
        <v>984</v>
      </c>
      <c r="AY8" s="1794" t="s">
        <v>985</v>
      </c>
      <c r="AZ8" s="1794" t="s">
        <v>986</v>
      </c>
      <c r="BA8" s="2035"/>
      <c r="BB8" s="2035"/>
      <c r="BC8" s="2125"/>
      <c r="BD8" s="1335" t="s">
        <v>923</v>
      </c>
      <c r="BE8" s="1335" t="s">
        <v>924</v>
      </c>
    </row>
    <row r="9" spans="1:57" s="341" customFormat="1" ht="20.100000000000001" hidden="1" customHeight="1">
      <c r="A9" s="1791" t="s">
        <v>73</v>
      </c>
      <c r="B9" s="1103" t="s">
        <v>37</v>
      </c>
      <c r="C9" s="1791"/>
      <c r="D9" s="1356"/>
      <c r="E9" s="1356"/>
      <c r="F9" s="1356"/>
      <c r="G9" s="1356"/>
      <c r="H9" s="1356"/>
      <c r="I9" s="1790"/>
      <c r="J9" s="1790"/>
      <c r="K9" s="1790"/>
      <c r="L9" s="1790"/>
      <c r="M9" s="1790"/>
      <c r="N9" s="1790"/>
      <c r="O9" s="1790"/>
      <c r="P9" s="1790"/>
      <c r="Q9" s="1790"/>
      <c r="R9" s="1790"/>
      <c r="S9" s="1790"/>
      <c r="T9" s="1790"/>
      <c r="U9" s="1790"/>
      <c r="V9" s="1790"/>
      <c r="W9" s="1356"/>
      <c r="X9" s="1790"/>
      <c r="Y9" s="1356"/>
      <c r="Z9" s="1356"/>
      <c r="AA9" s="1356"/>
      <c r="AB9" s="1356"/>
      <c r="AC9" s="1356"/>
      <c r="AD9" s="1356"/>
      <c r="AE9" s="1356"/>
      <c r="AF9" s="1356"/>
      <c r="AG9" s="1356"/>
      <c r="AH9" s="1356"/>
      <c r="AI9" s="1356"/>
      <c r="AJ9" s="1356"/>
      <c r="AK9" s="1356"/>
      <c r="AL9" s="1356"/>
      <c r="AM9" s="1790"/>
      <c r="AN9" s="1356"/>
      <c r="AO9" s="1356"/>
      <c r="AP9" s="1356"/>
      <c r="AQ9" s="1356"/>
      <c r="AR9" s="1356"/>
      <c r="AS9" s="1356"/>
      <c r="AT9" s="1356"/>
      <c r="AU9" s="1356"/>
      <c r="AV9" s="1356"/>
      <c r="AW9" s="1356"/>
      <c r="AX9" s="1356"/>
      <c r="AY9" s="1356"/>
      <c r="AZ9" s="1356"/>
      <c r="BA9" s="1356"/>
      <c r="BB9" s="1356"/>
      <c r="BC9" s="1356"/>
      <c r="BD9" s="1610"/>
      <c r="BE9" s="1589"/>
    </row>
    <row r="10" spans="1:57" s="589" customFormat="1" ht="21.95" customHeight="1">
      <c r="A10" s="1791" t="s">
        <v>83</v>
      </c>
      <c r="B10" s="925" t="s">
        <v>395</v>
      </c>
      <c r="C10" s="1791" t="s">
        <v>418</v>
      </c>
      <c r="D10" s="1356">
        <v>15557</v>
      </c>
      <c r="E10" s="1356" t="e">
        <f t="shared" ref="E10:V10" si="0">E11+E14+E22</f>
        <v>#REF!</v>
      </c>
      <c r="F10" s="1356">
        <f t="shared" si="0"/>
        <v>15480</v>
      </c>
      <c r="G10" s="1356">
        <f t="shared" si="0"/>
        <v>15480</v>
      </c>
      <c r="H10" s="1356">
        <f t="shared" si="0"/>
        <v>15475</v>
      </c>
      <c r="I10" s="1356">
        <f t="shared" si="0"/>
        <v>2503</v>
      </c>
      <c r="J10" s="1356">
        <f t="shared" si="0"/>
        <v>854</v>
      </c>
      <c r="K10" s="1356">
        <f t="shared" si="0"/>
        <v>815</v>
      </c>
      <c r="L10" s="1356">
        <f t="shared" si="0"/>
        <v>546</v>
      </c>
      <c r="M10" s="1356">
        <f t="shared" si="0"/>
        <v>1051</v>
      </c>
      <c r="N10" s="1356">
        <f t="shared" si="0"/>
        <v>547</v>
      </c>
      <c r="O10" s="1356">
        <f t="shared" si="0"/>
        <v>937</v>
      </c>
      <c r="P10" s="1356">
        <f t="shared" si="0"/>
        <v>1327</v>
      </c>
      <c r="Q10" s="1356">
        <f t="shared" si="0"/>
        <v>1061</v>
      </c>
      <c r="R10" s="1356">
        <f t="shared" si="0"/>
        <v>543</v>
      </c>
      <c r="S10" s="1356">
        <f t="shared" si="0"/>
        <v>1146</v>
      </c>
      <c r="T10" s="1356">
        <f t="shared" si="0"/>
        <v>645</v>
      </c>
      <c r="U10" s="1356">
        <f t="shared" si="0"/>
        <v>816</v>
      </c>
      <c r="V10" s="1356">
        <f t="shared" si="0"/>
        <v>2684</v>
      </c>
      <c r="W10" s="1357">
        <f>SUM(X10:AK10)</f>
        <v>15688</v>
      </c>
      <c r="X10" s="1789">
        <f t="shared" ref="X10:AK10" si="1">X11+X14+X22</f>
        <v>2610</v>
      </c>
      <c r="Y10" s="1357">
        <f t="shared" si="1"/>
        <v>849</v>
      </c>
      <c r="Z10" s="1357">
        <f t="shared" si="1"/>
        <v>815</v>
      </c>
      <c r="AA10" s="1357">
        <f t="shared" si="1"/>
        <v>549</v>
      </c>
      <c r="AB10" s="1357">
        <f t="shared" si="1"/>
        <v>1048</v>
      </c>
      <c r="AC10" s="1357">
        <f t="shared" si="1"/>
        <v>569</v>
      </c>
      <c r="AD10" s="1357">
        <f t="shared" si="1"/>
        <v>976</v>
      </c>
      <c r="AE10" s="1357">
        <f t="shared" si="1"/>
        <v>1325</v>
      </c>
      <c r="AF10" s="1357">
        <f t="shared" si="1"/>
        <v>1030</v>
      </c>
      <c r="AG10" s="1357">
        <f t="shared" si="1"/>
        <v>519</v>
      </c>
      <c r="AH10" s="1357">
        <f t="shared" si="1"/>
        <v>1095</v>
      </c>
      <c r="AI10" s="1357">
        <f t="shared" si="1"/>
        <v>654</v>
      </c>
      <c r="AJ10" s="1357">
        <f t="shared" si="1"/>
        <v>845</v>
      </c>
      <c r="AK10" s="1357">
        <f t="shared" si="1"/>
        <v>2804</v>
      </c>
      <c r="AL10" s="1357">
        <f>SUM(AM10:AZ10)</f>
        <v>15385</v>
      </c>
      <c r="AM10" s="1357">
        <f t="shared" ref="AM10:AZ10" si="2">AM11+AM14+AM22</f>
        <v>2441</v>
      </c>
      <c r="AN10" s="1357">
        <f t="shared" si="2"/>
        <v>848</v>
      </c>
      <c r="AO10" s="1357">
        <f t="shared" si="2"/>
        <v>809</v>
      </c>
      <c r="AP10" s="1357">
        <f t="shared" si="2"/>
        <v>543</v>
      </c>
      <c r="AQ10" s="1357">
        <f t="shared" si="2"/>
        <v>1047</v>
      </c>
      <c r="AR10" s="1357">
        <f t="shared" si="2"/>
        <v>551</v>
      </c>
      <c r="AS10" s="1357">
        <f t="shared" si="2"/>
        <v>940</v>
      </c>
      <c r="AT10" s="1357">
        <f t="shared" si="2"/>
        <v>1338</v>
      </c>
      <c r="AU10" s="1357">
        <f t="shared" si="2"/>
        <v>1054</v>
      </c>
      <c r="AV10" s="1357">
        <f t="shared" si="2"/>
        <v>547</v>
      </c>
      <c r="AW10" s="1357">
        <f t="shared" si="2"/>
        <v>1137</v>
      </c>
      <c r="AX10" s="1357">
        <f t="shared" si="2"/>
        <v>644</v>
      </c>
      <c r="AY10" s="1357">
        <f t="shared" si="2"/>
        <v>813</v>
      </c>
      <c r="AZ10" s="1357">
        <f t="shared" si="2"/>
        <v>2673</v>
      </c>
      <c r="BA10" s="1358">
        <f>AL10/F10%</f>
        <v>99.386304909560721</v>
      </c>
      <c r="BB10" s="1358">
        <f>AL10/W10%</f>
        <v>98.068587455379912</v>
      </c>
      <c r="BC10" s="1356"/>
      <c r="BD10" s="1611">
        <v>15688</v>
      </c>
      <c r="BE10" s="1612">
        <f t="shared" ref="BE10:BE15" si="3">W10-BD10</f>
        <v>0</v>
      </c>
    </row>
    <row r="11" spans="1:57" s="589" customFormat="1" ht="21.95" customHeight="1">
      <c r="A11" s="1791">
        <v>1</v>
      </c>
      <c r="B11" s="925" t="s">
        <v>396</v>
      </c>
      <c r="C11" s="1791" t="s">
        <v>418</v>
      </c>
      <c r="D11" s="930">
        <v>4231</v>
      </c>
      <c r="E11" s="930" t="e">
        <f t="shared" ref="E11:G11" si="4">SUM(E12:E13)</f>
        <v>#REF!</v>
      </c>
      <c r="F11" s="930">
        <f t="shared" si="4"/>
        <v>4226</v>
      </c>
      <c r="G11" s="930">
        <f t="shared" si="4"/>
        <v>4226</v>
      </c>
      <c r="H11" s="930">
        <f>SUM(I11:V11)</f>
        <v>3994</v>
      </c>
      <c r="I11" s="929">
        <f>SUM(I12:I13)</f>
        <v>400</v>
      </c>
      <c r="J11" s="929">
        <f t="shared" ref="J11:V11" si="5">SUM(J12:J13)</f>
        <v>251</v>
      </c>
      <c r="K11" s="929">
        <f t="shared" si="5"/>
        <v>216</v>
      </c>
      <c r="L11" s="929">
        <f t="shared" si="5"/>
        <v>149</v>
      </c>
      <c r="M11" s="929">
        <f t="shared" si="5"/>
        <v>317</v>
      </c>
      <c r="N11" s="929">
        <f t="shared" si="5"/>
        <v>136</v>
      </c>
      <c r="O11" s="929">
        <f t="shared" si="5"/>
        <v>291</v>
      </c>
      <c r="P11" s="929">
        <f t="shared" si="5"/>
        <v>370</v>
      </c>
      <c r="Q11" s="929">
        <f t="shared" si="5"/>
        <v>299</v>
      </c>
      <c r="R11" s="929">
        <f t="shared" si="5"/>
        <v>143</v>
      </c>
      <c r="S11" s="929">
        <f t="shared" si="5"/>
        <v>187</v>
      </c>
      <c r="T11" s="929">
        <f t="shared" si="5"/>
        <v>183</v>
      </c>
      <c r="U11" s="929">
        <f t="shared" si="5"/>
        <v>257</v>
      </c>
      <c r="V11" s="929">
        <f t="shared" si="5"/>
        <v>795</v>
      </c>
      <c r="W11" s="1357">
        <f t="shared" ref="W11:W28" si="6">SUM(X11:AK11)</f>
        <v>3921</v>
      </c>
      <c r="X11" s="944">
        <f t="shared" ref="X11:AK11" si="7">SUM(X12:X13)</f>
        <v>382</v>
      </c>
      <c r="Y11" s="944">
        <f t="shared" si="7"/>
        <v>238</v>
      </c>
      <c r="Z11" s="944">
        <f t="shared" si="7"/>
        <v>232</v>
      </c>
      <c r="AA11" s="944">
        <f t="shared" si="7"/>
        <v>150</v>
      </c>
      <c r="AB11" s="944">
        <f t="shared" si="7"/>
        <v>273</v>
      </c>
      <c r="AC11" s="944">
        <f t="shared" si="7"/>
        <v>149</v>
      </c>
      <c r="AD11" s="944">
        <f t="shared" si="7"/>
        <v>297</v>
      </c>
      <c r="AE11" s="944">
        <f t="shared" si="7"/>
        <v>363</v>
      </c>
      <c r="AF11" s="944">
        <f t="shared" si="7"/>
        <v>284</v>
      </c>
      <c r="AG11" s="944">
        <f t="shared" si="7"/>
        <v>131</v>
      </c>
      <c r="AH11" s="944">
        <f t="shared" si="7"/>
        <v>177</v>
      </c>
      <c r="AI11" s="944">
        <f t="shared" si="7"/>
        <v>191</v>
      </c>
      <c r="AJ11" s="944">
        <f t="shared" si="7"/>
        <v>267</v>
      </c>
      <c r="AK11" s="944">
        <f t="shared" si="7"/>
        <v>787</v>
      </c>
      <c r="AL11" s="1357">
        <f>SUM(AM11:AZ11)</f>
        <v>3990</v>
      </c>
      <c r="AM11" s="944">
        <v>405</v>
      </c>
      <c r="AN11" s="944">
        <v>245</v>
      </c>
      <c r="AO11" s="944">
        <v>217</v>
      </c>
      <c r="AP11" s="944">
        <v>147</v>
      </c>
      <c r="AQ11" s="944">
        <v>316</v>
      </c>
      <c r="AR11" s="944">
        <v>141</v>
      </c>
      <c r="AS11" s="944">
        <v>294</v>
      </c>
      <c r="AT11" s="944">
        <v>377</v>
      </c>
      <c r="AU11" s="944">
        <v>296</v>
      </c>
      <c r="AV11" s="944">
        <v>140</v>
      </c>
      <c r="AW11" s="944">
        <v>186</v>
      </c>
      <c r="AX11" s="944">
        <v>184</v>
      </c>
      <c r="AY11" s="944">
        <v>253</v>
      </c>
      <c r="AZ11" s="944">
        <v>789</v>
      </c>
      <c r="BA11" s="1358">
        <f t="shared" ref="BA11:BA74" si="8">AL11/F11%</f>
        <v>94.415522953147189</v>
      </c>
      <c r="BB11" s="1358">
        <f t="shared" ref="BB11:BB74" si="9">AL11/W11%</f>
        <v>101.75975516449886</v>
      </c>
      <c r="BC11" s="930"/>
      <c r="BD11" s="1611">
        <v>3921</v>
      </c>
      <c r="BE11" s="1612">
        <f t="shared" si="3"/>
        <v>0</v>
      </c>
    </row>
    <row r="12" spans="1:57" ht="20.100000000000001" hidden="1" customHeight="1">
      <c r="A12" s="947"/>
      <c r="B12" s="932" t="s">
        <v>397</v>
      </c>
      <c r="C12" s="947" t="s">
        <v>398</v>
      </c>
      <c r="D12" s="1278">
        <v>789</v>
      </c>
      <c r="E12" s="1278" t="e">
        <f>SUM(#REF!)</f>
        <v>#REF!</v>
      </c>
      <c r="F12" s="1278">
        <v>799</v>
      </c>
      <c r="G12" s="1278">
        <v>799</v>
      </c>
      <c r="H12" s="1278">
        <f>SUM(I12:V12)</f>
        <v>673</v>
      </c>
      <c r="I12" s="1307">
        <v>77</v>
      </c>
      <c r="J12" s="1307">
        <v>46</v>
      </c>
      <c r="K12" s="1307">
        <v>52</v>
      </c>
      <c r="L12" s="1307">
        <v>28</v>
      </c>
      <c r="M12" s="1307">
        <v>64</v>
      </c>
      <c r="N12" s="1307">
        <v>28</v>
      </c>
      <c r="O12" s="1307">
        <v>49</v>
      </c>
      <c r="P12" s="1307">
        <v>51</v>
      </c>
      <c r="Q12" s="1307">
        <v>58</v>
      </c>
      <c r="R12" s="1307">
        <v>28</v>
      </c>
      <c r="S12" s="1307">
        <v>36</v>
      </c>
      <c r="T12" s="1307">
        <v>33</v>
      </c>
      <c r="U12" s="1307">
        <v>56</v>
      </c>
      <c r="V12" s="1307">
        <v>67</v>
      </c>
      <c r="W12" s="1284">
        <f t="shared" si="6"/>
        <v>760</v>
      </c>
      <c r="X12" s="1278">
        <v>80</v>
      </c>
      <c r="Y12" s="1278">
        <v>45</v>
      </c>
      <c r="Z12" s="1278">
        <v>69</v>
      </c>
      <c r="AA12" s="1278">
        <v>35</v>
      </c>
      <c r="AB12" s="1278">
        <v>65</v>
      </c>
      <c r="AC12" s="1278">
        <v>33</v>
      </c>
      <c r="AD12" s="1278">
        <v>74</v>
      </c>
      <c r="AE12" s="1278">
        <v>52</v>
      </c>
      <c r="AF12" s="1278">
        <v>60</v>
      </c>
      <c r="AG12" s="1278">
        <v>30</v>
      </c>
      <c r="AH12" s="1278">
        <v>35</v>
      </c>
      <c r="AI12" s="1278">
        <v>36</v>
      </c>
      <c r="AJ12" s="1278">
        <v>56</v>
      </c>
      <c r="AK12" s="1278">
        <v>90</v>
      </c>
      <c r="AL12" s="1357">
        <f t="shared" ref="AL12:AL15" si="10">SUM(AM12:AZ12)</f>
        <v>0</v>
      </c>
      <c r="AM12" s="1278"/>
      <c r="AN12" s="1278"/>
      <c r="AO12" s="1278"/>
      <c r="AP12" s="1278"/>
      <c r="AQ12" s="1278"/>
      <c r="AR12" s="1278"/>
      <c r="AS12" s="1278"/>
      <c r="AT12" s="1278"/>
      <c r="AU12" s="1278"/>
      <c r="AV12" s="1278"/>
      <c r="AW12" s="1278"/>
      <c r="AX12" s="1278"/>
      <c r="AY12" s="1278"/>
      <c r="AZ12" s="1278"/>
      <c r="BA12" s="1358">
        <f t="shared" si="8"/>
        <v>0</v>
      </c>
      <c r="BB12" s="1358">
        <f t="shared" si="9"/>
        <v>0</v>
      </c>
      <c r="BC12" s="1278"/>
      <c r="BE12" s="1613">
        <f t="shared" si="3"/>
        <v>760</v>
      </c>
    </row>
    <row r="13" spans="1:57" ht="20.100000000000001" hidden="1" customHeight="1">
      <c r="A13" s="947"/>
      <c r="B13" s="932" t="s">
        <v>399</v>
      </c>
      <c r="C13" s="947" t="s">
        <v>400</v>
      </c>
      <c r="D13" s="927">
        <v>3442</v>
      </c>
      <c r="E13" s="927" t="e">
        <f>SUM(#REF!)</f>
        <v>#REF!</v>
      </c>
      <c r="F13" s="927">
        <v>3427</v>
      </c>
      <c r="G13" s="927">
        <v>3427</v>
      </c>
      <c r="H13" s="937">
        <f>SUM(I13:V13)</f>
        <v>3321</v>
      </c>
      <c r="I13" s="1361">
        <v>323</v>
      </c>
      <c r="J13" s="1361">
        <v>205</v>
      </c>
      <c r="K13" s="1361">
        <v>164</v>
      </c>
      <c r="L13" s="1361">
        <v>121</v>
      </c>
      <c r="M13" s="1361">
        <v>253</v>
      </c>
      <c r="N13" s="1361">
        <v>108</v>
      </c>
      <c r="O13" s="1361">
        <v>242</v>
      </c>
      <c r="P13" s="1361">
        <v>319</v>
      </c>
      <c r="Q13" s="1361">
        <v>241</v>
      </c>
      <c r="R13" s="1361">
        <v>115</v>
      </c>
      <c r="S13" s="1361">
        <v>151</v>
      </c>
      <c r="T13" s="1361">
        <v>150</v>
      </c>
      <c r="U13" s="1361">
        <v>201</v>
      </c>
      <c r="V13" s="1361">
        <v>728</v>
      </c>
      <c r="W13" s="1284">
        <f t="shared" si="6"/>
        <v>3161</v>
      </c>
      <c r="X13" s="935">
        <v>302</v>
      </c>
      <c r="Y13" s="935">
        <v>193</v>
      </c>
      <c r="Z13" s="935">
        <v>163</v>
      </c>
      <c r="AA13" s="935">
        <v>115</v>
      </c>
      <c r="AB13" s="935">
        <v>208</v>
      </c>
      <c r="AC13" s="935">
        <v>116</v>
      </c>
      <c r="AD13" s="935">
        <v>223</v>
      </c>
      <c r="AE13" s="935">
        <v>311</v>
      </c>
      <c r="AF13" s="935">
        <v>224</v>
      </c>
      <c r="AG13" s="935">
        <v>101</v>
      </c>
      <c r="AH13" s="935">
        <v>142</v>
      </c>
      <c r="AI13" s="935">
        <v>155</v>
      </c>
      <c r="AJ13" s="935">
        <v>211</v>
      </c>
      <c r="AK13" s="935">
        <v>697</v>
      </c>
      <c r="AL13" s="1357">
        <f t="shared" si="10"/>
        <v>0</v>
      </c>
      <c r="AM13" s="935"/>
      <c r="AN13" s="935"/>
      <c r="AO13" s="935"/>
      <c r="AP13" s="935"/>
      <c r="AQ13" s="935"/>
      <c r="AR13" s="935"/>
      <c r="AS13" s="935"/>
      <c r="AT13" s="935"/>
      <c r="AU13" s="935"/>
      <c r="AV13" s="935"/>
      <c r="AW13" s="935"/>
      <c r="AX13" s="935"/>
      <c r="AY13" s="935"/>
      <c r="AZ13" s="935"/>
      <c r="BA13" s="1358">
        <f t="shared" si="8"/>
        <v>0</v>
      </c>
      <c r="BB13" s="1358">
        <f t="shared" si="9"/>
        <v>0</v>
      </c>
      <c r="BC13" s="927"/>
      <c r="BE13" s="1613">
        <f t="shared" si="3"/>
        <v>3161</v>
      </c>
    </row>
    <row r="14" spans="1:57" s="589" customFormat="1" ht="21.95" customHeight="1">
      <c r="A14" s="1791">
        <v>2</v>
      </c>
      <c r="B14" s="925" t="s">
        <v>401</v>
      </c>
      <c r="C14" s="1791" t="s">
        <v>418</v>
      </c>
      <c r="D14" s="930">
        <v>11266</v>
      </c>
      <c r="E14" s="944" t="e">
        <f t="shared" ref="E14:V14" si="11">E17+E19+E21</f>
        <v>#REF!</v>
      </c>
      <c r="F14" s="944">
        <f t="shared" si="11"/>
        <v>11210</v>
      </c>
      <c r="G14" s="944">
        <f t="shared" si="11"/>
        <v>11210</v>
      </c>
      <c r="H14" s="944">
        <f t="shared" si="11"/>
        <v>11397</v>
      </c>
      <c r="I14" s="944">
        <f t="shared" si="11"/>
        <v>2019</v>
      </c>
      <c r="J14" s="944">
        <f t="shared" si="11"/>
        <v>603</v>
      </c>
      <c r="K14" s="944">
        <f t="shared" si="11"/>
        <v>599</v>
      </c>
      <c r="L14" s="944">
        <f t="shared" si="11"/>
        <v>397</v>
      </c>
      <c r="M14" s="944">
        <f t="shared" si="11"/>
        <v>734</v>
      </c>
      <c r="N14" s="944">
        <f t="shared" si="11"/>
        <v>411</v>
      </c>
      <c r="O14" s="944">
        <f t="shared" si="11"/>
        <v>646</v>
      </c>
      <c r="P14" s="944">
        <f t="shared" si="11"/>
        <v>957</v>
      </c>
      <c r="Q14" s="944">
        <f t="shared" si="11"/>
        <v>762</v>
      </c>
      <c r="R14" s="944">
        <f t="shared" si="11"/>
        <v>400</v>
      </c>
      <c r="S14" s="944">
        <f t="shared" si="11"/>
        <v>959</v>
      </c>
      <c r="T14" s="944">
        <f t="shared" si="11"/>
        <v>462</v>
      </c>
      <c r="U14" s="944">
        <f t="shared" si="11"/>
        <v>559</v>
      </c>
      <c r="V14" s="944">
        <f t="shared" si="11"/>
        <v>1889</v>
      </c>
      <c r="W14" s="1357">
        <f t="shared" si="6"/>
        <v>11660</v>
      </c>
      <c r="X14" s="1366">
        <f t="shared" ref="X14:AK14" si="12">X17+X19+X21</f>
        <v>2121</v>
      </c>
      <c r="Y14" s="944">
        <f t="shared" si="12"/>
        <v>611</v>
      </c>
      <c r="Z14" s="944">
        <f t="shared" si="12"/>
        <v>583</v>
      </c>
      <c r="AA14" s="944">
        <f t="shared" si="12"/>
        <v>399</v>
      </c>
      <c r="AB14" s="944">
        <f t="shared" si="12"/>
        <v>775</v>
      </c>
      <c r="AC14" s="944">
        <f t="shared" si="12"/>
        <v>420</v>
      </c>
      <c r="AD14" s="944">
        <f t="shared" si="12"/>
        <v>679</v>
      </c>
      <c r="AE14" s="944">
        <f t="shared" si="12"/>
        <v>962</v>
      </c>
      <c r="AF14" s="944">
        <f t="shared" si="12"/>
        <v>746</v>
      </c>
      <c r="AG14" s="944">
        <f t="shared" si="12"/>
        <v>388</v>
      </c>
      <c r="AH14" s="944">
        <f t="shared" si="12"/>
        <v>918</v>
      </c>
      <c r="AI14" s="944">
        <f t="shared" si="12"/>
        <v>463</v>
      </c>
      <c r="AJ14" s="944">
        <f t="shared" si="12"/>
        <v>578</v>
      </c>
      <c r="AK14" s="944">
        <f t="shared" si="12"/>
        <v>2017</v>
      </c>
      <c r="AL14" s="1357">
        <f t="shared" si="10"/>
        <v>11330</v>
      </c>
      <c r="AM14" s="1366">
        <f>AM17+AM19+AM21</f>
        <v>1971</v>
      </c>
      <c r="AN14" s="1366">
        <f t="shared" ref="AN14:AZ14" si="13">AN17+AN19+AN21</f>
        <v>603</v>
      </c>
      <c r="AO14" s="1366">
        <f t="shared" si="13"/>
        <v>592</v>
      </c>
      <c r="AP14" s="1366">
        <f t="shared" si="13"/>
        <v>396</v>
      </c>
      <c r="AQ14" s="1366">
        <f t="shared" si="13"/>
        <v>731</v>
      </c>
      <c r="AR14" s="1366">
        <f t="shared" si="13"/>
        <v>410</v>
      </c>
      <c r="AS14" s="1366">
        <f t="shared" si="13"/>
        <v>646</v>
      </c>
      <c r="AT14" s="1366">
        <f t="shared" si="13"/>
        <v>961</v>
      </c>
      <c r="AU14" s="1366">
        <f t="shared" si="13"/>
        <v>758</v>
      </c>
      <c r="AV14" s="1366">
        <f t="shared" si="13"/>
        <v>407</v>
      </c>
      <c r="AW14" s="1366">
        <f t="shared" si="13"/>
        <v>951</v>
      </c>
      <c r="AX14" s="1366">
        <f t="shared" si="13"/>
        <v>460</v>
      </c>
      <c r="AY14" s="1366">
        <f t="shared" si="13"/>
        <v>560</v>
      </c>
      <c r="AZ14" s="1366">
        <f t="shared" si="13"/>
        <v>1884</v>
      </c>
      <c r="BA14" s="1358">
        <f t="shared" si="8"/>
        <v>101.07047279214987</v>
      </c>
      <c r="BB14" s="1358">
        <f t="shared" si="9"/>
        <v>97.169811320754718</v>
      </c>
      <c r="BC14" s="944"/>
      <c r="BD14" s="1611">
        <v>11660</v>
      </c>
      <c r="BE14" s="1612">
        <f t="shared" si="3"/>
        <v>0</v>
      </c>
    </row>
    <row r="15" spans="1:57" s="596" customFormat="1" ht="33" customHeight="1">
      <c r="A15" s="947"/>
      <c r="B15" s="932" t="s">
        <v>944</v>
      </c>
      <c r="C15" s="947" t="s">
        <v>418</v>
      </c>
      <c r="D15" s="937">
        <v>751</v>
      </c>
      <c r="E15" s="937" t="e">
        <f>SUM(#REF!)</f>
        <v>#REF!</v>
      </c>
      <c r="F15" s="937">
        <v>734</v>
      </c>
      <c r="G15" s="937">
        <v>734</v>
      </c>
      <c r="H15" s="937">
        <f>SUM(I15:V15)</f>
        <v>739</v>
      </c>
      <c r="I15" s="1365">
        <v>295</v>
      </c>
      <c r="J15" s="1365"/>
      <c r="K15" s="1365"/>
      <c r="L15" s="1365"/>
      <c r="M15" s="1365"/>
      <c r="N15" s="1365"/>
      <c r="O15" s="1365"/>
      <c r="P15" s="1365"/>
      <c r="Q15" s="1365"/>
      <c r="R15" s="1365"/>
      <c r="S15" s="1365">
        <v>444</v>
      </c>
      <c r="T15" s="1365"/>
      <c r="U15" s="1365"/>
      <c r="V15" s="1365"/>
      <c r="W15" s="1284">
        <f t="shared" si="6"/>
        <v>735</v>
      </c>
      <c r="X15" s="1365">
        <v>315</v>
      </c>
      <c r="Y15" s="937"/>
      <c r="Z15" s="937"/>
      <c r="AA15" s="937"/>
      <c r="AB15" s="937"/>
      <c r="AC15" s="937"/>
      <c r="AD15" s="937"/>
      <c r="AE15" s="937"/>
      <c r="AF15" s="937"/>
      <c r="AG15" s="937"/>
      <c r="AH15" s="937">
        <v>420</v>
      </c>
      <c r="AI15" s="937"/>
      <c r="AJ15" s="937"/>
      <c r="AK15" s="937"/>
      <c r="AL15" s="1284">
        <f t="shared" si="10"/>
        <v>733</v>
      </c>
      <c r="AM15" s="1365">
        <v>294</v>
      </c>
      <c r="AN15" s="937"/>
      <c r="AO15" s="944"/>
      <c r="AP15" s="937"/>
      <c r="AQ15" s="937"/>
      <c r="AR15" s="937"/>
      <c r="AS15" s="937"/>
      <c r="AT15" s="937"/>
      <c r="AU15" s="937"/>
      <c r="AV15" s="937"/>
      <c r="AW15" s="937">
        <v>439</v>
      </c>
      <c r="AX15" s="937"/>
      <c r="AY15" s="937"/>
      <c r="AZ15" s="937"/>
      <c r="BA15" s="1360">
        <f t="shared" si="8"/>
        <v>99.863760217983653</v>
      </c>
      <c r="BB15" s="1360">
        <f t="shared" si="9"/>
        <v>99.72789115646259</v>
      </c>
      <c r="BC15" s="937"/>
      <c r="BD15" s="1609">
        <v>735</v>
      </c>
      <c r="BE15" s="1613">
        <f t="shared" si="3"/>
        <v>0</v>
      </c>
    </row>
    <row r="16" spans="1:57" s="400" customFormat="1" ht="21.95" customHeight="1">
      <c r="A16" s="947"/>
      <c r="B16" s="932" t="s">
        <v>402</v>
      </c>
      <c r="C16" s="947"/>
      <c r="D16" s="1363"/>
      <c r="E16" s="1363"/>
      <c r="F16" s="1363"/>
      <c r="G16" s="1363"/>
      <c r="H16" s="1363"/>
      <c r="I16" s="1364"/>
      <c r="J16" s="1364"/>
      <c r="K16" s="1364"/>
      <c r="L16" s="1364"/>
      <c r="M16" s="1364"/>
      <c r="N16" s="1364"/>
      <c r="O16" s="1364"/>
      <c r="P16" s="1364"/>
      <c r="Q16" s="1364"/>
      <c r="R16" s="1364"/>
      <c r="S16" s="1364"/>
      <c r="T16" s="1364"/>
      <c r="U16" s="1364"/>
      <c r="V16" s="1364"/>
      <c r="W16" s="1284"/>
      <c r="X16" s="1364"/>
      <c r="Y16" s="1363"/>
      <c r="Z16" s="1363"/>
      <c r="AA16" s="1363"/>
      <c r="AB16" s="1363"/>
      <c r="AC16" s="1363"/>
      <c r="AD16" s="1363"/>
      <c r="AE16" s="1363"/>
      <c r="AF16" s="1363"/>
      <c r="AG16" s="1363"/>
      <c r="AH16" s="1363"/>
      <c r="AI16" s="1363"/>
      <c r="AJ16" s="1363"/>
      <c r="AK16" s="1363"/>
      <c r="AL16" s="1284"/>
      <c r="AM16" s="1364"/>
      <c r="AN16" s="1363"/>
      <c r="AO16" s="1363"/>
      <c r="AP16" s="1363"/>
      <c r="AQ16" s="1363"/>
      <c r="AR16" s="1363"/>
      <c r="AS16" s="1363"/>
      <c r="AT16" s="1363"/>
      <c r="AU16" s="1363"/>
      <c r="AV16" s="1363"/>
      <c r="AW16" s="1363"/>
      <c r="AX16" s="1363"/>
      <c r="AY16" s="1363"/>
      <c r="AZ16" s="1363"/>
      <c r="BA16" s="1360"/>
      <c r="BB16" s="1360"/>
      <c r="BC16" s="1363"/>
      <c r="BD16" s="1616"/>
      <c r="BE16" s="1613"/>
    </row>
    <row r="17" spans="1:57" ht="21.95" customHeight="1">
      <c r="A17" s="947"/>
      <c r="B17" s="932" t="s">
        <v>403</v>
      </c>
      <c r="C17" s="947" t="s">
        <v>418</v>
      </c>
      <c r="D17" s="937">
        <v>5869</v>
      </c>
      <c r="E17" s="937" t="e">
        <f>SUM(#REF!)</f>
        <v>#REF!</v>
      </c>
      <c r="F17" s="937">
        <v>5855</v>
      </c>
      <c r="G17" s="937">
        <v>5855</v>
      </c>
      <c r="H17" s="937">
        <f>SUM(I17:V17)</f>
        <v>5795</v>
      </c>
      <c r="I17" s="1365">
        <v>672</v>
      </c>
      <c r="J17" s="1365">
        <v>331</v>
      </c>
      <c r="K17" s="1365">
        <v>312</v>
      </c>
      <c r="L17" s="1365">
        <v>240</v>
      </c>
      <c r="M17" s="1365">
        <v>495</v>
      </c>
      <c r="N17" s="1365">
        <v>234</v>
      </c>
      <c r="O17" s="1365">
        <v>369</v>
      </c>
      <c r="P17" s="1365">
        <v>546</v>
      </c>
      <c r="Q17" s="1365">
        <v>424</v>
      </c>
      <c r="R17" s="1365">
        <v>212</v>
      </c>
      <c r="S17" s="1365">
        <v>282</v>
      </c>
      <c r="T17" s="1365">
        <v>251</v>
      </c>
      <c r="U17" s="1365">
        <v>323</v>
      </c>
      <c r="V17" s="1365">
        <v>1104</v>
      </c>
      <c r="W17" s="1284">
        <f t="shared" si="6"/>
        <v>5892</v>
      </c>
      <c r="X17" s="1365">
        <v>672</v>
      </c>
      <c r="Y17" s="937">
        <v>354</v>
      </c>
      <c r="Z17" s="937">
        <v>311</v>
      </c>
      <c r="AA17" s="937">
        <v>241</v>
      </c>
      <c r="AB17" s="937">
        <v>510</v>
      </c>
      <c r="AC17" s="937">
        <v>234</v>
      </c>
      <c r="AD17" s="937">
        <v>400</v>
      </c>
      <c r="AE17" s="937">
        <v>551</v>
      </c>
      <c r="AF17" s="937">
        <v>428</v>
      </c>
      <c r="AG17" s="937">
        <v>220</v>
      </c>
      <c r="AH17" s="937">
        <v>265</v>
      </c>
      <c r="AI17" s="937">
        <v>245</v>
      </c>
      <c r="AJ17" s="937">
        <v>319</v>
      </c>
      <c r="AK17" s="937">
        <v>1142</v>
      </c>
      <c r="AL17" s="1284">
        <f t="shared" ref="AL17:AL28" si="14">SUM(AM17:AZ17)</f>
        <v>5797</v>
      </c>
      <c r="AM17" s="1365">
        <v>670</v>
      </c>
      <c r="AN17" s="937">
        <v>334</v>
      </c>
      <c r="AO17" s="937">
        <v>314</v>
      </c>
      <c r="AP17" s="937">
        <v>240</v>
      </c>
      <c r="AQ17" s="937">
        <v>493</v>
      </c>
      <c r="AR17" s="937">
        <v>234</v>
      </c>
      <c r="AS17" s="937">
        <v>370</v>
      </c>
      <c r="AT17" s="937">
        <v>547</v>
      </c>
      <c r="AU17" s="937">
        <v>424</v>
      </c>
      <c r="AV17" s="937">
        <v>214</v>
      </c>
      <c r="AW17" s="937">
        <v>282</v>
      </c>
      <c r="AX17" s="937">
        <v>249</v>
      </c>
      <c r="AY17" s="937">
        <v>322</v>
      </c>
      <c r="AZ17" s="937">
        <v>1104</v>
      </c>
      <c r="BA17" s="1360">
        <f t="shared" si="8"/>
        <v>99.009393680614863</v>
      </c>
      <c r="BB17" s="1360">
        <f t="shared" si="9"/>
        <v>98.387644263408006</v>
      </c>
      <c r="BC17" s="937"/>
      <c r="BD17" s="1616">
        <v>5892</v>
      </c>
      <c r="BE17" s="1613">
        <f>W17-BD17</f>
        <v>0</v>
      </c>
    </row>
    <row r="18" spans="1:57" s="596" customFormat="1" ht="33" customHeight="1">
      <c r="A18" s="947"/>
      <c r="B18" s="932" t="s">
        <v>404</v>
      </c>
      <c r="C18" s="947" t="s">
        <v>418</v>
      </c>
      <c r="D18" s="937">
        <v>4357</v>
      </c>
      <c r="E18" s="937" t="e">
        <f>SUM(#REF!)</f>
        <v>#REF!</v>
      </c>
      <c r="F18" s="937">
        <v>4351</v>
      </c>
      <c r="G18" s="937">
        <v>4351</v>
      </c>
      <c r="H18" s="937">
        <f t="shared" ref="H18:H22" si="15">SUM(I18:V18)</f>
        <v>4297</v>
      </c>
      <c r="I18" s="1365"/>
      <c r="J18" s="1365"/>
      <c r="K18" s="1365">
        <v>312</v>
      </c>
      <c r="L18" s="1365">
        <v>240</v>
      </c>
      <c r="M18" s="1365"/>
      <c r="N18" s="1365">
        <v>234</v>
      </c>
      <c r="O18" s="1365">
        <v>369</v>
      </c>
      <c r="P18" s="1365">
        <v>546</v>
      </c>
      <c r="Q18" s="1365">
        <v>424</v>
      </c>
      <c r="R18" s="1365">
        <v>212</v>
      </c>
      <c r="S18" s="1365">
        <v>282</v>
      </c>
      <c r="T18" s="1365">
        <v>251</v>
      </c>
      <c r="U18" s="1365">
        <v>323</v>
      </c>
      <c r="V18" s="1365">
        <v>1104</v>
      </c>
      <c r="W18" s="1284">
        <f t="shared" si="6"/>
        <v>4356</v>
      </c>
      <c r="X18" s="1365"/>
      <c r="Y18" s="937"/>
      <c r="Z18" s="937">
        <v>311</v>
      </c>
      <c r="AA18" s="937">
        <v>241</v>
      </c>
      <c r="AB18" s="937"/>
      <c r="AC18" s="937">
        <v>234</v>
      </c>
      <c r="AD18" s="937">
        <v>400</v>
      </c>
      <c r="AE18" s="937">
        <v>551</v>
      </c>
      <c r="AF18" s="937">
        <v>428</v>
      </c>
      <c r="AG18" s="937">
        <v>220</v>
      </c>
      <c r="AH18" s="937">
        <v>265</v>
      </c>
      <c r="AI18" s="937">
        <v>245</v>
      </c>
      <c r="AJ18" s="937">
        <v>319</v>
      </c>
      <c r="AK18" s="937">
        <v>1142</v>
      </c>
      <c r="AL18" s="1284">
        <f t="shared" si="14"/>
        <v>4300</v>
      </c>
      <c r="AM18" s="1365"/>
      <c r="AN18" s="937"/>
      <c r="AO18" s="937">
        <v>314</v>
      </c>
      <c r="AP18" s="937">
        <v>240</v>
      </c>
      <c r="AQ18" s="937"/>
      <c r="AR18" s="937">
        <v>234</v>
      </c>
      <c r="AS18" s="937">
        <v>370</v>
      </c>
      <c r="AT18" s="937">
        <v>547</v>
      </c>
      <c r="AU18" s="937">
        <v>424</v>
      </c>
      <c r="AV18" s="937">
        <v>214</v>
      </c>
      <c r="AW18" s="937">
        <v>282</v>
      </c>
      <c r="AX18" s="937">
        <v>249</v>
      </c>
      <c r="AY18" s="937">
        <v>322</v>
      </c>
      <c r="AZ18" s="937">
        <v>1104</v>
      </c>
      <c r="BA18" s="1360">
        <f t="shared" si="8"/>
        <v>98.827855665364282</v>
      </c>
      <c r="BB18" s="1360">
        <f t="shared" si="9"/>
        <v>98.714416896235079</v>
      </c>
      <c r="BC18" s="937"/>
      <c r="BD18" s="1609"/>
      <c r="BE18" s="1613"/>
    </row>
    <row r="19" spans="1:57" ht="21.95" customHeight="1">
      <c r="A19" s="947"/>
      <c r="B19" s="932" t="s">
        <v>405</v>
      </c>
      <c r="C19" s="951" t="s">
        <v>418</v>
      </c>
      <c r="D19" s="937">
        <v>4152</v>
      </c>
      <c r="E19" s="937" t="e">
        <f>SUM(#REF!)</f>
        <v>#REF!</v>
      </c>
      <c r="F19" s="937">
        <v>4146</v>
      </c>
      <c r="G19" s="937">
        <v>4146</v>
      </c>
      <c r="H19" s="937">
        <f t="shared" si="15"/>
        <v>4284</v>
      </c>
      <c r="I19" s="1365">
        <v>473</v>
      </c>
      <c r="J19" s="1365">
        <v>272</v>
      </c>
      <c r="K19" s="1365">
        <v>287</v>
      </c>
      <c r="L19" s="1365">
        <v>157</v>
      </c>
      <c r="M19" s="1365">
        <v>239</v>
      </c>
      <c r="N19" s="1365">
        <v>177</v>
      </c>
      <c r="O19" s="1365">
        <v>277</v>
      </c>
      <c r="P19" s="1365">
        <v>411</v>
      </c>
      <c r="Q19" s="1365">
        <v>338</v>
      </c>
      <c r="R19" s="1365">
        <v>188</v>
      </c>
      <c r="S19" s="1365">
        <v>233</v>
      </c>
      <c r="T19" s="1365">
        <v>211</v>
      </c>
      <c r="U19" s="1365">
        <v>236</v>
      </c>
      <c r="V19" s="1365">
        <v>785</v>
      </c>
      <c r="W19" s="1284">
        <f t="shared" si="6"/>
        <v>4393</v>
      </c>
      <c r="X19" s="1365">
        <v>494</v>
      </c>
      <c r="Y19" s="937">
        <v>257</v>
      </c>
      <c r="Z19" s="937">
        <v>272</v>
      </c>
      <c r="AA19" s="937">
        <v>158</v>
      </c>
      <c r="AB19" s="937">
        <v>265</v>
      </c>
      <c r="AC19" s="937">
        <v>186</v>
      </c>
      <c r="AD19" s="937">
        <v>279</v>
      </c>
      <c r="AE19" s="937">
        <v>411</v>
      </c>
      <c r="AF19" s="937">
        <v>318</v>
      </c>
      <c r="AG19" s="937">
        <v>168</v>
      </c>
      <c r="AH19" s="937">
        <v>233</v>
      </c>
      <c r="AI19" s="937">
        <v>218</v>
      </c>
      <c r="AJ19" s="937">
        <v>259</v>
      </c>
      <c r="AK19" s="937">
        <v>875</v>
      </c>
      <c r="AL19" s="1284">
        <f t="shared" si="14"/>
        <v>4264</v>
      </c>
      <c r="AM19" s="1365">
        <v>471</v>
      </c>
      <c r="AN19" s="937">
        <v>269</v>
      </c>
      <c r="AO19" s="937">
        <v>278</v>
      </c>
      <c r="AP19" s="937">
        <v>156</v>
      </c>
      <c r="AQ19" s="937">
        <v>238</v>
      </c>
      <c r="AR19" s="937">
        <v>176</v>
      </c>
      <c r="AS19" s="937">
        <v>276</v>
      </c>
      <c r="AT19" s="937">
        <v>414</v>
      </c>
      <c r="AU19" s="937">
        <v>334</v>
      </c>
      <c r="AV19" s="937">
        <v>193</v>
      </c>
      <c r="AW19" s="937">
        <v>230</v>
      </c>
      <c r="AX19" s="937">
        <v>211</v>
      </c>
      <c r="AY19" s="937">
        <v>238</v>
      </c>
      <c r="AZ19" s="937">
        <v>780</v>
      </c>
      <c r="BA19" s="1360">
        <f t="shared" si="8"/>
        <v>102.84611673902556</v>
      </c>
      <c r="BB19" s="1360">
        <f t="shared" si="9"/>
        <v>97.063510129751876</v>
      </c>
      <c r="BC19" s="937"/>
      <c r="BD19" s="1614">
        <v>4393</v>
      </c>
      <c r="BE19" s="1613">
        <f>W19-BD19</f>
        <v>0</v>
      </c>
    </row>
    <row r="20" spans="1:57" s="596" customFormat="1" ht="33" customHeight="1">
      <c r="A20" s="947"/>
      <c r="B20" s="932" t="s">
        <v>406</v>
      </c>
      <c r="C20" s="947" t="s">
        <v>418</v>
      </c>
      <c r="D20" s="937">
        <v>3212</v>
      </c>
      <c r="E20" s="937" t="e">
        <f>SUM(#REF!)</f>
        <v>#REF!</v>
      </c>
      <c r="F20" s="937">
        <v>3206</v>
      </c>
      <c r="G20" s="937">
        <v>3206</v>
      </c>
      <c r="H20" s="937">
        <f t="shared" si="15"/>
        <v>3300</v>
      </c>
      <c r="I20" s="1365"/>
      <c r="J20" s="1365"/>
      <c r="K20" s="1365">
        <v>287</v>
      </c>
      <c r="L20" s="1365">
        <v>157</v>
      </c>
      <c r="M20" s="1365"/>
      <c r="N20" s="1365">
        <v>177</v>
      </c>
      <c r="O20" s="1365">
        <v>277</v>
      </c>
      <c r="P20" s="1365">
        <v>411</v>
      </c>
      <c r="Q20" s="1365">
        <v>338</v>
      </c>
      <c r="R20" s="1365">
        <v>188</v>
      </c>
      <c r="S20" s="1365">
        <v>233</v>
      </c>
      <c r="T20" s="1365">
        <v>211</v>
      </c>
      <c r="U20" s="1365">
        <v>236</v>
      </c>
      <c r="V20" s="1365">
        <v>785</v>
      </c>
      <c r="W20" s="1284">
        <f t="shared" si="6"/>
        <v>3377</v>
      </c>
      <c r="X20" s="1365"/>
      <c r="Y20" s="937"/>
      <c r="Z20" s="937">
        <v>272</v>
      </c>
      <c r="AA20" s="937">
        <v>158</v>
      </c>
      <c r="AB20" s="937"/>
      <c r="AC20" s="937">
        <v>186</v>
      </c>
      <c r="AD20" s="937">
        <v>279</v>
      </c>
      <c r="AE20" s="937">
        <v>411</v>
      </c>
      <c r="AF20" s="937">
        <v>318</v>
      </c>
      <c r="AG20" s="937">
        <v>168</v>
      </c>
      <c r="AH20" s="937">
        <v>233</v>
      </c>
      <c r="AI20" s="937">
        <v>218</v>
      </c>
      <c r="AJ20" s="937">
        <v>259</v>
      </c>
      <c r="AK20" s="937">
        <v>875</v>
      </c>
      <c r="AL20" s="1284">
        <f t="shared" si="14"/>
        <v>3286</v>
      </c>
      <c r="AM20" s="1365"/>
      <c r="AN20" s="937"/>
      <c r="AO20" s="937">
        <v>278</v>
      </c>
      <c r="AP20" s="937">
        <v>156</v>
      </c>
      <c r="AQ20" s="937"/>
      <c r="AR20" s="937">
        <v>176</v>
      </c>
      <c r="AS20" s="937">
        <v>276</v>
      </c>
      <c r="AT20" s="937">
        <v>414</v>
      </c>
      <c r="AU20" s="937">
        <v>334</v>
      </c>
      <c r="AV20" s="937">
        <v>193</v>
      </c>
      <c r="AW20" s="937">
        <v>230</v>
      </c>
      <c r="AX20" s="937">
        <v>211</v>
      </c>
      <c r="AY20" s="937">
        <v>238</v>
      </c>
      <c r="AZ20" s="937">
        <v>780</v>
      </c>
      <c r="BA20" s="1360">
        <f t="shared" si="8"/>
        <v>102.49532127261384</v>
      </c>
      <c r="BB20" s="1360">
        <f t="shared" si="9"/>
        <v>97.30530056262954</v>
      </c>
      <c r="BC20" s="937"/>
      <c r="BD20" s="1609"/>
      <c r="BE20" s="1613"/>
    </row>
    <row r="21" spans="1:57" ht="21.95" customHeight="1">
      <c r="A21" s="947"/>
      <c r="B21" s="932" t="s">
        <v>407</v>
      </c>
      <c r="C21" s="951" t="s">
        <v>418</v>
      </c>
      <c r="D21" s="937">
        <v>1245</v>
      </c>
      <c r="E21" s="937" t="e">
        <f>SUM(#REF!)</f>
        <v>#REF!</v>
      </c>
      <c r="F21" s="937">
        <v>1209</v>
      </c>
      <c r="G21" s="937">
        <v>1209</v>
      </c>
      <c r="H21" s="937">
        <f t="shared" si="15"/>
        <v>1318</v>
      </c>
      <c r="I21" s="1365">
        <v>874</v>
      </c>
      <c r="J21" s="1365"/>
      <c r="K21" s="1365"/>
      <c r="L21" s="1365"/>
      <c r="M21" s="1365"/>
      <c r="N21" s="1365"/>
      <c r="O21" s="1365"/>
      <c r="P21" s="1365"/>
      <c r="Q21" s="1365"/>
      <c r="R21" s="1365"/>
      <c r="S21" s="1365">
        <v>444</v>
      </c>
      <c r="T21" s="1365"/>
      <c r="U21" s="1365"/>
      <c r="V21" s="1365"/>
      <c r="W21" s="1284">
        <f t="shared" si="6"/>
        <v>1375</v>
      </c>
      <c r="X21" s="1365">
        <v>955</v>
      </c>
      <c r="Y21" s="937"/>
      <c r="Z21" s="937"/>
      <c r="AA21" s="937"/>
      <c r="AB21" s="937"/>
      <c r="AC21" s="937"/>
      <c r="AD21" s="937"/>
      <c r="AE21" s="937"/>
      <c r="AF21" s="937"/>
      <c r="AG21" s="937"/>
      <c r="AH21" s="937">
        <v>420</v>
      </c>
      <c r="AI21" s="937"/>
      <c r="AJ21" s="937"/>
      <c r="AK21" s="937"/>
      <c r="AL21" s="1284">
        <f t="shared" si="14"/>
        <v>1269</v>
      </c>
      <c r="AM21" s="1365">
        <v>830</v>
      </c>
      <c r="AN21" s="937"/>
      <c r="AO21" s="937"/>
      <c r="AP21" s="937"/>
      <c r="AQ21" s="937"/>
      <c r="AR21" s="937"/>
      <c r="AS21" s="937"/>
      <c r="AT21" s="937"/>
      <c r="AU21" s="937"/>
      <c r="AV21" s="937"/>
      <c r="AW21" s="937">
        <v>439</v>
      </c>
      <c r="AX21" s="937"/>
      <c r="AY21" s="937"/>
      <c r="AZ21" s="937"/>
      <c r="BA21" s="1360">
        <f t="shared" si="8"/>
        <v>104.96277915632754</v>
      </c>
      <c r="BB21" s="1360">
        <f t="shared" si="9"/>
        <v>92.290909090909096</v>
      </c>
      <c r="BC21" s="937"/>
      <c r="BD21" s="1609">
        <v>1375</v>
      </c>
      <c r="BE21" s="1613">
        <f>W21-BD21</f>
        <v>0</v>
      </c>
    </row>
    <row r="22" spans="1:57" s="589" customFormat="1" ht="21.95" customHeight="1">
      <c r="A22" s="1791">
        <v>3</v>
      </c>
      <c r="B22" s="925" t="s">
        <v>408</v>
      </c>
      <c r="C22" s="1791" t="s">
        <v>418</v>
      </c>
      <c r="D22" s="1373">
        <v>60</v>
      </c>
      <c r="E22" s="1373" t="e">
        <f>SUM(#REF!)</f>
        <v>#REF!</v>
      </c>
      <c r="F22" s="1373">
        <v>44</v>
      </c>
      <c r="G22" s="1373">
        <v>44</v>
      </c>
      <c r="H22" s="1373">
        <f t="shared" si="15"/>
        <v>84</v>
      </c>
      <c r="I22" s="1374">
        <v>84</v>
      </c>
      <c r="J22" s="1374"/>
      <c r="K22" s="1374"/>
      <c r="L22" s="1374"/>
      <c r="M22" s="1374"/>
      <c r="N22" s="1374"/>
      <c r="O22" s="1374"/>
      <c r="P22" s="1374"/>
      <c r="Q22" s="1374"/>
      <c r="R22" s="1374"/>
      <c r="S22" s="1374"/>
      <c r="T22" s="1374"/>
      <c r="U22" s="1374"/>
      <c r="V22" s="1374"/>
      <c r="W22" s="1357">
        <f t="shared" si="6"/>
        <v>107</v>
      </c>
      <c r="X22" s="1374">
        <v>107</v>
      </c>
      <c r="Y22" s="1373"/>
      <c r="Z22" s="1373"/>
      <c r="AA22" s="1373"/>
      <c r="AB22" s="1373"/>
      <c r="AC22" s="1373"/>
      <c r="AD22" s="1373"/>
      <c r="AE22" s="1373"/>
      <c r="AF22" s="1373"/>
      <c r="AG22" s="1373"/>
      <c r="AH22" s="1373"/>
      <c r="AI22" s="1373"/>
      <c r="AJ22" s="1373"/>
      <c r="AK22" s="1373"/>
      <c r="AL22" s="1357">
        <f t="shared" si="14"/>
        <v>65</v>
      </c>
      <c r="AM22" s="1374">
        <v>65</v>
      </c>
      <c r="AN22" s="1373"/>
      <c r="AO22" s="1373"/>
      <c r="AP22" s="1373"/>
      <c r="AQ22" s="1373"/>
      <c r="AR22" s="1373"/>
      <c r="AS22" s="1373"/>
      <c r="AT22" s="1373"/>
      <c r="AU22" s="1373"/>
      <c r="AV22" s="1373"/>
      <c r="AW22" s="1373"/>
      <c r="AX22" s="1373"/>
      <c r="AY22" s="1373"/>
      <c r="AZ22" s="1373"/>
      <c r="BA22" s="1358">
        <f t="shared" si="8"/>
        <v>147.72727272727272</v>
      </c>
      <c r="BB22" s="1358">
        <f t="shared" si="9"/>
        <v>60.747663551401864</v>
      </c>
      <c r="BC22" s="1373"/>
      <c r="BD22" s="1611">
        <v>107</v>
      </c>
      <c r="BE22" s="1612">
        <f>W22-BD22</f>
        <v>0</v>
      </c>
    </row>
    <row r="23" spans="1:57" s="589" customFormat="1" ht="21.95" customHeight="1">
      <c r="A23" s="1791" t="s">
        <v>100</v>
      </c>
      <c r="B23" s="925" t="s">
        <v>409</v>
      </c>
      <c r="C23" s="1791" t="s">
        <v>418</v>
      </c>
      <c r="D23" s="930">
        <v>14515</v>
      </c>
      <c r="E23" s="944" t="e">
        <f t="shared" ref="E23:G23" si="16">SUM(E25:E28)</f>
        <v>#REF!</v>
      </c>
      <c r="F23" s="944">
        <f t="shared" si="16"/>
        <v>14510</v>
      </c>
      <c r="G23" s="944">
        <f t="shared" si="16"/>
        <v>14510</v>
      </c>
      <c r="H23" s="1366">
        <f>SUM(H25:H28)</f>
        <v>14421</v>
      </c>
      <c r="I23" s="1366">
        <f>SUM(I25:I28)</f>
        <v>1669</v>
      </c>
      <c r="J23" s="1366">
        <f t="shared" ref="J23:V23" si="17">SUM(J25:J28)</f>
        <v>836</v>
      </c>
      <c r="K23" s="1366">
        <f t="shared" si="17"/>
        <v>802</v>
      </c>
      <c r="L23" s="1366">
        <f t="shared" si="17"/>
        <v>541</v>
      </c>
      <c r="M23" s="1366">
        <f t="shared" si="17"/>
        <v>997</v>
      </c>
      <c r="N23" s="1366">
        <f t="shared" si="17"/>
        <v>535</v>
      </c>
      <c r="O23" s="1366">
        <f t="shared" si="17"/>
        <v>936</v>
      </c>
      <c r="P23" s="1366">
        <f t="shared" si="17"/>
        <v>1319</v>
      </c>
      <c r="Q23" s="1366">
        <f t="shared" si="17"/>
        <v>1060</v>
      </c>
      <c r="R23" s="1366">
        <f t="shared" si="17"/>
        <v>539</v>
      </c>
      <c r="S23" s="1366">
        <f t="shared" si="17"/>
        <v>1103</v>
      </c>
      <c r="T23" s="1366">
        <f t="shared" si="17"/>
        <v>638</v>
      </c>
      <c r="U23" s="1366">
        <f t="shared" si="17"/>
        <v>775</v>
      </c>
      <c r="V23" s="1366">
        <f t="shared" si="17"/>
        <v>2671</v>
      </c>
      <c r="W23" s="1357">
        <f t="shared" si="6"/>
        <v>14481</v>
      </c>
      <c r="X23" s="1366">
        <f t="shared" ref="X23:AK23" si="18">SUM(X25:X28)</f>
        <v>1701</v>
      </c>
      <c r="Y23" s="944">
        <f t="shared" si="18"/>
        <v>824</v>
      </c>
      <c r="Z23" s="944">
        <f t="shared" si="18"/>
        <v>717</v>
      </c>
      <c r="AA23" s="944">
        <f t="shared" si="18"/>
        <v>542</v>
      </c>
      <c r="AB23" s="944">
        <f t="shared" si="18"/>
        <v>1000</v>
      </c>
      <c r="AC23" s="944">
        <f t="shared" si="18"/>
        <v>555</v>
      </c>
      <c r="AD23" s="944">
        <f t="shared" si="18"/>
        <v>974</v>
      </c>
      <c r="AE23" s="944">
        <f t="shared" si="18"/>
        <v>1317</v>
      </c>
      <c r="AF23" s="944">
        <f t="shared" si="18"/>
        <v>1029</v>
      </c>
      <c r="AG23" s="944">
        <f t="shared" si="18"/>
        <v>516</v>
      </c>
      <c r="AH23" s="944">
        <f t="shared" si="18"/>
        <v>1055</v>
      </c>
      <c r="AI23" s="944">
        <f t="shared" si="18"/>
        <v>646</v>
      </c>
      <c r="AJ23" s="944">
        <f t="shared" si="18"/>
        <v>814</v>
      </c>
      <c r="AK23" s="944">
        <f t="shared" si="18"/>
        <v>2791</v>
      </c>
      <c r="AL23" s="1357">
        <f t="shared" si="14"/>
        <v>14446</v>
      </c>
      <c r="AM23" s="1366">
        <f>SUM(AM25:AM28)</f>
        <v>1697</v>
      </c>
      <c r="AN23" s="1366">
        <f t="shared" ref="AN23:AZ23" si="19">SUM(AN25:AN28)</f>
        <v>829</v>
      </c>
      <c r="AO23" s="1366">
        <f t="shared" si="19"/>
        <v>797</v>
      </c>
      <c r="AP23" s="1366">
        <f t="shared" si="19"/>
        <v>538</v>
      </c>
      <c r="AQ23" s="1366">
        <f t="shared" si="19"/>
        <v>995</v>
      </c>
      <c r="AR23" s="1366">
        <f t="shared" si="19"/>
        <v>540</v>
      </c>
      <c r="AS23" s="1366">
        <f t="shared" si="19"/>
        <v>938</v>
      </c>
      <c r="AT23" s="1366">
        <f t="shared" si="19"/>
        <v>1330</v>
      </c>
      <c r="AU23" s="1366">
        <f t="shared" si="19"/>
        <v>1053</v>
      </c>
      <c r="AV23" s="1366">
        <f t="shared" si="19"/>
        <v>545</v>
      </c>
      <c r="AW23" s="1366">
        <f t="shared" si="19"/>
        <v>1095</v>
      </c>
      <c r="AX23" s="1366">
        <f t="shared" si="19"/>
        <v>638</v>
      </c>
      <c r="AY23" s="1366">
        <f t="shared" si="19"/>
        <v>791</v>
      </c>
      <c r="AZ23" s="1366">
        <f t="shared" si="19"/>
        <v>2660</v>
      </c>
      <c r="BA23" s="1358">
        <f t="shared" si="8"/>
        <v>99.55892487939353</v>
      </c>
      <c r="BB23" s="1358">
        <f t="shared" si="9"/>
        <v>99.758303984531452</v>
      </c>
      <c r="BC23" s="944"/>
      <c r="BD23" s="1611">
        <v>14481</v>
      </c>
      <c r="BE23" s="1612">
        <f>W23-BD23</f>
        <v>0</v>
      </c>
    </row>
    <row r="24" spans="1:57" ht="21.95" customHeight="1">
      <c r="A24" s="947"/>
      <c r="B24" s="943" t="s">
        <v>410</v>
      </c>
      <c r="C24" s="947"/>
      <c r="D24" s="1304"/>
      <c r="E24" s="1304"/>
      <c r="F24" s="1304"/>
      <c r="G24" s="1304"/>
      <c r="H24" s="1304"/>
      <c r="I24" s="1305"/>
      <c r="J24" s="1305"/>
      <c r="K24" s="1305"/>
      <c r="L24" s="1305"/>
      <c r="M24" s="1305"/>
      <c r="N24" s="1305"/>
      <c r="O24" s="1305"/>
      <c r="P24" s="1305"/>
      <c r="Q24" s="1305"/>
      <c r="R24" s="1305"/>
      <c r="S24" s="1305"/>
      <c r="T24" s="1305"/>
      <c r="U24" s="1305"/>
      <c r="V24" s="1305"/>
      <c r="W24" s="1357"/>
      <c r="X24" s="1305"/>
      <c r="Y24" s="1304"/>
      <c r="Z24" s="1304"/>
      <c r="AA24" s="1304"/>
      <c r="AB24" s="1304"/>
      <c r="AC24" s="1304"/>
      <c r="AD24" s="1304"/>
      <c r="AE24" s="1304"/>
      <c r="AF24" s="1304"/>
      <c r="AG24" s="1304"/>
      <c r="AH24" s="1304"/>
      <c r="AI24" s="1304"/>
      <c r="AJ24" s="1304"/>
      <c r="AK24" s="1304"/>
      <c r="AL24" s="1357"/>
      <c r="AM24" s="1305"/>
      <c r="AN24" s="1304"/>
      <c r="AO24" s="1304"/>
      <c r="AP24" s="1304"/>
      <c r="AQ24" s="1304"/>
      <c r="AR24" s="1304"/>
      <c r="AS24" s="1304"/>
      <c r="AT24" s="1304"/>
      <c r="AU24" s="1304"/>
      <c r="AV24" s="1304"/>
      <c r="AW24" s="1304"/>
      <c r="AX24" s="1304"/>
      <c r="AY24" s="1304"/>
      <c r="AZ24" s="1304"/>
      <c r="BA24" s="1360"/>
      <c r="BB24" s="1360"/>
      <c r="BC24" s="1304"/>
      <c r="BE24" s="1613"/>
    </row>
    <row r="25" spans="1:57" ht="21.95" customHeight="1">
      <c r="A25" s="947"/>
      <c r="B25" s="932" t="s">
        <v>411</v>
      </c>
      <c r="C25" s="947" t="s">
        <v>400</v>
      </c>
      <c r="D25" s="927">
        <v>3984</v>
      </c>
      <c r="E25" s="937" t="e">
        <f>SUM(#REF!)</f>
        <v>#REF!</v>
      </c>
      <c r="F25" s="937">
        <v>3981</v>
      </c>
      <c r="G25" s="937">
        <v>3981</v>
      </c>
      <c r="H25" s="937">
        <f>SUM(I25:V25)</f>
        <v>3774</v>
      </c>
      <c r="I25" s="1365">
        <v>254</v>
      </c>
      <c r="J25" s="1365">
        <v>245</v>
      </c>
      <c r="K25" s="1365">
        <v>212</v>
      </c>
      <c r="L25" s="1365">
        <v>148</v>
      </c>
      <c r="M25" s="1365">
        <v>301</v>
      </c>
      <c r="N25" s="1365">
        <v>130</v>
      </c>
      <c r="O25" s="1365">
        <v>290</v>
      </c>
      <c r="P25" s="1365">
        <v>365</v>
      </c>
      <c r="Q25" s="1365">
        <v>299</v>
      </c>
      <c r="R25" s="1365">
        <v>141</v>
      </c>
      <c r="S25" s="1365">
        <v>180</v>
      </c>
      <c r="T25" s="1365">
        <v>181</v>
      </c>
      <c r="U25" s="1365">
        <v>237</v>
      </c>
      <c r="V25" s="1365">
        <v>791</v>
      </c>
      <c r="W25" s="1284">
        <f t="shared" si="6"/>
        <v>3724</v>
      </c>
      <c r="X25" s="1365">
        <v>254</v>
      </c>
      <c r="Y25" s="937">
        <v>230</v>
      </c>
      <c r="Z25" s="937">
        <v>225</v>
      </c>
      <c r="AA25" s="937">
        <v>148</v>
      </c>
      <c r="AB25" s="937">
        <v>266</v>
      </c>
      <c r="AC25" s="937">
        <v>143</v>
      </c>
      <c r="AD25" s="937">
        <v>295</v>
      </c>
      <c r="AE25" s="937">
        <v>358</v>
      </c>
      <c r="AF25" s="937">
        <v>284</v>
      </c>
      <c r="AG25" s="937">
        <v>130</v>
      </c>
      <c r="AH25" s="937">
        <v>172</v>
      </c>
      <c r="AI25" s="937">
        <v>189</v>
      </c>
      <c r="AJ25" s="937">
        <v>247</v>
      </c>
      <c r="AK25" s="937">
        <v>783</v>
      </c>
      <c r="AL25" s="1284">
        <f t="shared" si="14"/>
        <v>3794</v>
      </c>
      <c r="AM25" s="1365">
        <v>259</v>
      </c>
      <c r="AN25" s="937">
        <v>239</v>
      </c>
      <c r="AO25" s="937">
        <v>213</v>
      </c>
      <c r="AP25" s="937">
        <v>146</v>
      </c>
      <c r="AQ25" s="937">
        <v>301</v>
      </c>
      <c r="AR25" s="937">
        <v>136</v>
      </c>
      <c r="AS25" s="937">
        <v>292</v>
      </c>
      <c r="AT25" s="937">
        <v>372</v>
      </c>
      <c r="AU25" s="937">
        <v>296</v>
      </c>
      <c r="AV25" s="937">
        <v>140</v>
      </c>
      <c r="AW25" s="937">
        <v>179</v>
      </c>
      <c r="AX25" s="937">
        <v>183</v>
      </c>
      <c r="AY25" s="937">
        <v>253</v>
      </c>
      <c r="AZ25" s="937">
        <v>785</v>
      </c>
      <c r="BA25" s="1360">
        <f t="shared" si="8"/>
        <v>95.302687766892731</v>
      </c>
      <c r="BB25" s="1360">
        <f t="shared" si="9"/>
        <v>101.87969924812029</v>
      </c>
      <c r="BC25" s="937"/>
      <c r="BD25" s="1609">
        <v>3724</v>
      </c>
      <c r="BE25" s="1613">
        <f>W25-BD25</f>
        <v>0</v>
      </c>
    </row>
    <row r="26" spans="1:57" ht="21.95" customHeight="1">
      <c r="A26" s="947"/>
      <c r="B26" s="932" t="s">
        <v>412</v>
      </c>
      <c r="C26" s="947" t="s">
        <v>400</v>
      </c>
      <c r="D26" s="927">
        <v>5493</v>
      </c>
      <c r="E26" s="937" t="e">
        <f>SUM(#REF!)</f>
        <v>#REF!</v>
      </c>
      <c r="F26" s="937">
        <v>5484</v>
      </c>
      <c r="G26" s="937">
        <v>5484</v>
      </c>
      <c r="H26" s="937">
        <f t="shared" ref="H26:H28" si="20">SUM(I26:V26)</f>
        <v>5419</v>
      </c>
      <c r="I26" s="1365">
        <v>385</v>
      </c>
      <c r="J26" s="1365">
        <v>326</v>
      </c>
      <c r="K26" s="1365">
        <v>306</v>
      </c>
      <c r="L26" s="1365">
        <v>237</v>
      </c>
      <c r="M26" s="1365">
        <v>466</v>
      </c>
      <c r="N26" s="1365">
        <v>230</v>
      </c>
      <c r="O26" s="1365">
        <v>369</v>
      </c>
      <c r="P26" s="1365">
        <v>544</v>
      </c>
      <c r="Q26" s="1365">
        <v>423</v>
      </c>
      <c r="R26" s="1365">
        <v>210</v>
      </c>
      <c r="S26" s="1365">
        <v>265</v>
      </c>
      <c r="T26" s="1365">
        <v>247</v>
      </c>
      <c r="U26" s="1365">
        <v>313</v>
      </c>
      <c r="V26" s="1365">
        <v>1098</v>
      </c>
      <c r="W26" s="1284">
        <f t="shared" si="6"/>
        <v>5439</v>
      </c>
      <c r="X26" s="1365">
        <v>390</v>
      </c>
      <c r="Y26" s="937">
        <v>349</v>
      </c>
      <c r="Z26" s="937">
        <v>226</v>
      </c>
      <c r="AA26" s="937">
        <v>237</v>
      </c>
      <c r="AB26" s="937">
        <v>480</v>
      </c>
      <c r="AC26" s="937">
        <v>230</v>
      </c>
      <c r="AD26" s="937">
        <v>400</v>
      </c>
      <c r="AE26" s="937">
        <v>549</v>
      </c>
      <c r="AF26" s="937">
        <v>427</v>
      </c>
      <c r="AG26" s="937">
        <v>218</v>
      </c>
      <c r="AH26" s="937">
        <v>248</v>
      </c>
      <c r="AI26" s="937">
        <v>240</v>
      </c>
      <c r="AJ26" s="937">
        <v>309</v>
      </c>
      <c r="AK26" s="937">
        <v>1136</v>
      </c>
      <c r="AL26" s="1284">
        <f t="shared" si="14"/>
        <v>5423</v>
      </c>
      <c r="AM26" s="1365">
        <v>387</v>
      </c>
      <c r="AN26" s="937">
        <v>327</v>
      </c>
      <c r="AO26" s="937">
        <v>309</v>
      </c>
      <c r="AP26" s="937">
        <v>237</v>
      </c>
      <c r="AQ26" s="937">
        <v>465</v>
      </c>
      <c r="AR26" s="937">
        <v>230</v>
      </c>
      <c r="AS26" s="937">
        <v>370</v>
      </c>
      <c r="AT26" s="937">
        <v>545</v>
      </c>
      <c r="AU26" s="937">
        <v>423</v>
      </c>
      <c r="AV26" s="937">
        <v>212</v>
      </c>
      <c r="AW26" s="937">
        <v>263</v>
      </c>
      <c r="AX26" s="937">
        <v>245</v>
      </c>
      <c r="AY26" s="937">
        <v>312</v>
      </c>
      <c r="AZ26" s="937">
        <v>1098</v>
      </c>
      <c r="BA26" s="1360">
        <f t="shared" si="8"/>
        <v>98.887673231218088</v>
      </c>
      <c r="BB26" s="1360">
        <f t="shared" si="9"/>
        <v>99.705828277256842</v>
      </c>
      <c r="BC26" s="937"/>
      <c r="BD26" s="1609">
        <v>5439</v>
      </c>
      <c r="BE26" s="1613">
        <f>W26-BD26</f>
        <v>0</v>
      </c>
    </row>
    <row r="27" spans="1:57" ht="21.95" customHeight="1">
      <c r="A27" s="947"/>
      <c r="B27" s="932" t="s">
        <v>413</v>
      </c>
      <c r="C27" s="947" t="s">
        <v>400</v>
      </c>
      <c r="D27" s="927">
        <v>3905</v>
      </c>
      <c r="E27" s="937" t="e">
        <f>SUM(#REF!)</f>
        <v>#REF!</v>
      </c>
      <c r="F27" s="937">
        <v>3901</v>
      </c>
      <c r="G27" s="937">
        <v>3901</v>
      </c>
      <c r="H27" s="937">
        <f t="shared" si="20"/>
        <v>4032</v>
      </c>
      <c r="I27" s="1365">
        <v>274</v>
      </c>
      <c r="J27" s="1365">
        <v>265</v>
      </c>
      <c r="K27" s="1365">
        <v>284</v>
      </c>
      <c r="L27" s="1365">
        <v>156</v>
      </c>
      <c r="M27" s="1365">
        <v>230</v>
      </c>
      <c r="N27" s="1365">
        <v>175</v>
      </c>
      <c r="O27" s="1365">
        <v>277</v>
      </c>
      <c r="P27" s="1365">
        <v>410</v>
      </c>
      <c r="Q27" s="1365">
        <v>338</v>
      </c>
      <c r="R27" s="1365">
        <v>188</v>
      </c>
      <c r="S27" s="1365">
        <v>218</v>
      </c>
      <c r="T27" s="1365">
        <v>210</v>
      </c>
      <c r="U27" s="1365">
        <v>225</v>
      </c>
      <c r="V27" s="1365">
        <v>782</v>
      </c>
      <c r="W27" s="1284">
        <f t="shared" si="6"/>
        <v>4115</v>
      </c>
      <c r="X27" s="1365">
        <v>274</v>
      </c>
      <c r="Y27" s="937">
        <v>245</v>
      </c>
      <c r="Z27" s="937">
        <v>266</v>
      </c>
      <c r="AA27" s="937">
        <v>157</v>
      </c>
      <c r="AB27" s="937">
        <v>254</v>
      </c>
      <c r="AC27" s="937">
        <v>182</v>
      </c>
      <c r="AD27" s="937">
        <v>279</v>
      </c>
      <c r="AE27" s="937">
        <v>410</v>
      </c>
      <c r="AF27" s="937">
        <v>318</v>
      </c>
      <c r="AG27" s="937">
        <v>168</v>
      </c>
      <c r="AH27" s="937">
        <v>215</v>
      </c>
      <c r="AI27" s="937">
        <v>217</v>
      </c>
      <c r="AJ27" s="937">
        <v>258</v>
      </c>
      <c r="AK27" s="937">
        <v>872</v>
      </c>
      <c r="AL27" s="1284">
        <f t="shared" si="14"/>
        <v>4017</v>
      </c>
      <c r="AM27" s="1365">
        <v>274</v>
      </c>
      <c r="AN27" s="937">
        <v>263</v>
      </c>
      <c r="AO27" s="937">
        <v>275</v>
      </c>
      <c r="AP27" s="937">
        <v>155</v>
      </c>
      <c r="AQ27" s="937">
        <v>229</v>
      </c>
      <c r="AR27" s="937">
        <v>174</v>
      </c>
      <c r="AS27" s="937">
        <v>276</v>
      </c>
      <c r="AT27" s="937">
        <v>413</v>
      </c>
      <c r="AU27" s="937">
        <v>334</v>
      </c>
      <c r="AV27" s="937">
        <v>193</v>
      </c>
      <c r="AW27" s="937">
        <v>218</v>
      </c>
      <c r="AX27" s="937">
        <v>210</v>
      </c>
      <c r="AY27" s="937">
        <v>226</v>
      </c>
      <c r="AZ27" s="937">
        <v>777</v>
      </c>
      <c r="BA27" s="1360">
        <f t="shared" si="8"/>
        <v>102.97359651371444</v>
      </c>
      <c r="BB27" s="1360">
        <f t="shared" si="9"/>
        <v>97.618469015795867</v>
      </c>
      <c r="BC27" s="937"/>
      <c r="BD27" s="1609">
        <v>4115</v>
      </c>
      <c r="BE27" s="1613">
        <f>W27-BD27</f>
        <v>0</v>
      </c>
    </row>
    <row r="28" spans="1:57" ht="21.95" customHeight="1">
      <c r="A28" s="947"/>
      <c r="B28" s="932" t="s">
        <v>414</v>
      </c>
      <c r="C28" s="947" t="s">
        <v>400</v>
      </c>
      <c r="D28" s="927">
        <v>1133</v>
      </c>
      <c r="E28" s="937" t="e">
        <f>SUM(#REF!)</f>
        <v>#REF!</v>
      </c>
      <c r="F28" s="937">
        <v>1144</v>
      </c>
      <c r="G28" s="937">
        <v>1144</v>
      </c>
      <c r="H28" s="937">
        <f t="shared" si="20"/>
        <v>1196</v>
      </c>
      <c r="I28" s="1365">
        <v>756</v>
      </c>
      <c r="J28" s="1365"/>
      <c r="K28" s="1365"/>
      <c r="L28" s="1365"/>
      <c r="M28" s="1365"/>
      <c r="N28" s="1365"/>
      <c r="O28" s="1365"/>
      <c r="P28" s="1365"/>
      <c r="Q28" s="1365"/>
      <c r="R28" s="1365"/>
      <c r="S28" s="1365">
        <v>440</v>
      </c>
      <c r="T28" s="1365"/>
      <c r="U28" s="1365"/>
      <c r="V28" s="1365"/>
      <c r="W28" s="1284">
        <f t="shared" si="6"/>
        <v>1203</v>
      </c>
      <c r="X28" s="1365">
        <v>783</v>
      </c>
      <c r="Y28" s="937"/>
      <c r="Z28" s="937"/>
      <c r="AA28" s="937"/>
      <c r="AB28" s="937"/>
      <c r="AC28" s="937"/>
      <c r="AD28" s="937"/>
      <c r="AE28" s="937"/>
      <c r="AF28" s="937"/>
      <c r="AG28" s="937"/>
      <c r="AH28" s="937">
        <v>420</v>
      </c>
      <c r="AI28" s="937"/>
      <c r="AJ28" s="937"/>
      <c r="AK28" s="937"/>
      <c r="AL28" s="1284">
        <f t="shared" si="14"/>
        <v>1212</v>
      </c>
      <c r="AM28" s="1365">
        <v>777</v>
      </c>
      <c r="AN28" s="937"/>
      <c r="AO28" s="937"/>
      <c r="AP28" s="937"/>
      <c r="AQ28" s="937"/>
      <c r="AR28" s="937"/>
      <c r="AS28" s="937"/>
      <c r="AT28" s="937"/>
      <c r="AU28" s="937"/>
      <c r="AV28" s="937"/>
      <c r="AW28" s="937">
        <v>435</v>
      </c>
      <c r="AX28" s="937"/>
      <c r="AY28" s="937"/>
      <c r="AZ28" s="937"/>
      <c r="BA28" s="1360">
        <f t="shared" si="8"/>
        <v>105.94405594405595</v>
      </c>
      <c r="BB28" s="1360">
        <f t="shared" si="9"/>
        <v>100.74812967581047</v>
      </c>
      <c r="BC28" s="937"/>
      <c r="BD28" s="1609">
        <v>1203</v>
      </c>
      <c r="BE28" s="1613">
        <f>W28-BD28</f>
        <v>0</v>
      </c>
    </row>
    <row r="29" spans="1:57" s="591" customFormat="1" ht="33" customHeight="1">
      <c r="A29" s="1791" t="s">
        <v>118</v>
      </c>
      <c r="B29" s="925" t="s">
        <v>415</v>
      </c>
      <c r="C29" s="1791" t="s">
        <v>26</v>
      </c>
      <c r="D29" s="1367">
        <v>99.928571428571431</v>
      </c>
      <c r="E29" s="1367" t="e">
        <f>SUM(#REF!)/14</f>
        <v>#REF!</v>
      </c>
      <c r="F29" s="1367">
        <v>99.9</v>
      </c>
      <c r="G29" s="1367">
        <v>99.9</v>
      </c>
      <c r="H29" s="1367">
        <f>SUM(I29:V29)/14</f>
        <v>99.928571428571431</v>
      </c>
      <c r="I29" s="1368">
        <v>100</v>
      </c>
      <c r="J29" s="1368">
        <v>100</v>
      </c>
      <c r="K29" s="1368">
        <v>100</v>
      </c>
      <c r="L29" s="1368">
        <v>100</v>
      </c>
      <c r="M29" s="1368">
        <v>100</v>
      </c>
      <c r="N29" s="1368">
        <v>100</v>
      </c>
      <c r="O29" s="1368">
        <v>99</v>
      </c>
      <c r="P29" s="1368">
        <v>100</v>
      </c>
      <c r="Q29" s="1368">
        <v>100</v>
      </c>
      <c r="R29" s="1368">
        <v>100</v>
      </c>
      <c r="S29" s="1368">
        <v>100</v>
      </c>
      <c r="T29" s="1368">
        <v>100</v>
      </c>
      <c r="U29" s="1368">
        <v>100</v>
      </c>
      <c r="V29" s="1368">
        <v>100</v>
      </c>
      <c r="W29" s="1369">
        <f>SUM(X29:AK29)/14</f>
        <v>98.48571428571428</v>
      </c>
      <c r="X29" s="1367">
        <v>99.4</v>
      </c>
      <c r="Y29" s="1369">
        <v>99.4</v>
      </c>
      <c r="Z29" s="1369">
        <v>99.2</v>
      </c>
      <c r="AA29" s="1369">
        <v>99.4</v>
      </c>
      <c r="AB29" s="1369">
        <v>99.5</v>
      </c>
      <c r="AC29" s="1369">
        <v>99.5</v>
      </c>
      <c r="AD29" s="1369">
        <v>96.5</v>
      </c>
      <c r="AE29" s="1369">
        <v>95</v>
      </c>
      <c r="AF29" s="1369">
        <v>99.4</v>
      </c>
      <c r="AG29" s="1369">
        <v>98</v>
      </c>
      <c r="AH29" s="1369">
        <v>99.4</v>
      </c>
      <c r="AI29" s="1369">
        <v>99.5</v>
      </c>
      <c r="AJ29" s="1369">
        <v>99.3</v>
      </c>
      <c r="AK29" s="1369">
        <v>95.3</v>
      </c>
      <c r="AL29" s="1369">
        <f>SUM(AM29:AZ29)/14</f>
        <v>99.928571428571431</v>
      </c>
      <c r="AM29" s="1368">
        <v>100</v>
      </c>
      <c r="AN29" s="1368">
        <v>100</v>
      </c>
      <c r="AO29" s="1368">
        <v>100</v>
      </c>
      <c r="AP29" s="1368">
        <v>100</v>
      </c>
      <c r="AQ29" s="1368">
        <v>100</v>
      </c>
      <c r="AR29" s="1368">
        <v>100</v>
      </c>
      <c r="AS29" s="1368">
        <v>99</v>
      </c>
      <c r="AT29" s="1368">
        <v>100</v>
      </c>
      <c r="AU29" s="1368">
        <v>100</v>
      </c>
      <c r="AV29" s="1368">
        <v>100</v>
      </c>
      <c r="AW29" s="1368">
        <v>100</v>
      </c>
      <c r="AX29" s="1368">
        <v>100</v>
      </c>
      <c r="AY29" s="1368">
        <v>100</v>
      </c>
      <c r="AZ29" s="1368">
        <v>100</v>
      </c>
      <c r="BA29" s="1358">
        <f t="shared" si="8"/>
        <v>100.02860002860002</v>
      </c>
      <c r="BB29" s="1358">
        <f t="shared" si="9"/>
        <v>101.46504206556428</v>
      </c>
      <c r="BC29" s="1367"/>
      <c r="BD29" s="1611"/>
      <c r="BE29" s="1612"/>
    </row>
    <row r="30" spans="1:57" s="591" customFormat="1" ht="21.75" hidden="1" customHeight="1">
      <c r="A30" s="1791" t="s">
        <v>121</v>
      </c>
      <c r="B30" s="925" t="s">
        <v>416</v>
      </c>
      <c r="C30" s="1791"/>
      <c r="D30" s="1370">
        <v>0</v>
      </c>
      <c r="E30" s="1370"/>
      <c r="F30" s="1370"/>
      <c r="G30" s="1370"/>
      <c r="H30" s="1370"/>
      <c r="I30" s="1122"/>
      <c r="J30" s="1122"/>
      <c r="K30" s="1122"/>
      <c r="L30" s="1122"/>
      <c r="M30" s="1122"/>
      <c r="N30" s="1122"/>
      <c r="O30" s="1122"/>
      <c r="P30" s="1122"/>
      <c r="Q30" s="1122"/>
      <c r="R30" s="1122"/>
      <c r="S30" s="1122"/>
      <c r="T30" s="1122"/>
      <c r="U30" s="1122"/>
      <c r="V30" s="1122"/>
      <c r="W30" s="1370"/>
      <c r="X30" s="1122"/>
      <c r="Y30" s="1370"/>
      <c r="Z30" s="1370"/>
      <c r="AA30" s="1370"/>
      <c r="AB30" s="1370"/>
      <c r="AC30" s="1370"/>
      <c r="AD30" s="1370"/>
      <c r="AE30" s="1370"/>
      <c r="AF30" s="1370"/>
      <c r="AG30" s="1370"/>
      <c r="AH30" s="1370"/>
      <c r="AI30" s="1370"/>
      <c r="AJ30" s="1370"/>
      <c r="AK30" s="1370"/>
      <c r="AL30" s="1370"/>
      <c r="AM30" s="1122"/>
      <c r="AN30" s="1370"/>
      <c r="AO30" s="1370"/>
      <c r="AP30" s="1370"/>
      <c r="AQ30" s="1370"/>
      <c r="AR30" s="1370"/>
      <c r="AS30" s="1370"/>
      <c r="AT30" s="1370"/>
      <c r="AU30" s="1370"/>
      <c r="AV30" s="1370"/>
      <c r="AW30" s="1370"/>
      <c r="AX30" s="1370"/>
      <c r="AY30" s="1370"/>
      <c r="AZ30" s="1370"/>
      <c r="BA30" s="1360" t="e">
        <f t="shared" si="8"/>
        <v>#DIV/0!</v>
      </c>
      <c r="BB30" s="1360" t="e">
        <f t="shared" si="9"/>
        <v>#DIV/0!</v>
      </c>
      <c r="BC30" s="1370"/>
      <c r="BD30" s="1611"/>
      <c r="BE30" s="1613">
        <f>W30-BD30</f>
        <v>0</v>
      </c>
    </row>
    <row r="31" spans="1:57" s="404" customFormat="1" ht="21.75" hidden="1" customHeight="1">
      <c r="A31" s="947"/>
      <c r="B31" s="932" t="s">
        <v>412</v>
      </c>
      <c r="C31" s="947" t="s">
        <v>26</v>
      </c>
      <c r="D31" s="959">
        <v>0</v>
      </c>
      <c r="E31" s="959"/>
      <c r="F31" s="959"/>
      <c r="G31" s="959"/>
      <c r="H31" s="959"/>
      <c r="I31" s="1371"/>
      <c r="J31" s="1371"/>
      <c r="K31" s="1371"/>
      <c r="L31" s="1371"/>
      <c r="M31" s="1371"/>
      <c r="N31" s="1371"/>
      <c r="O31" s="1371"/>
      <c r="P31" s="1371"/>
      <c r="Q31" s="1371"/>
      <c r="R31" s="1371"/>
      <c r="S31" s="1371"/>
      <c r="T31" s="1371"/>
      <c r="U31" s="1371"/>
      <c r="V31" s="1371"/>
      <c r="W31" s="959"/>
      <c r="X31" s="1371"/>
      <c r="Y31" s="959"/>
      <c r="Z31" s="959"/>
      <c r="AA31" s="959"/>
      <c r="AB31" s="959"/>
      <c r="AC31" s="959"/>
      <c r="AD31" s="959"/>
      <c r="AE31" s="959"/>
      <c r="AF31" s="959"/>
      <c r="AG31" s="959"/>
      <c r="AH31" s="959"/>
      <c r="AI31" s="959"/>
      <c r="AJ31" s="959"/>
      <c r="AK31" s="959"/>
      <c r="AL31" s="959"/>
      <c r="AM31" s="1371"/>
      <c r="AN31" s="959"/>
      <c r="AO31" s="959"/>
      <c r="AP31" s="959"/>
      <c r="AQ31" s="959"/>
      <c r="AR31" s="959"/>
      <c r="AS31" s="959"/>
      <c r="AT31" s="959"/>
      <c r="AU31" s="959"/>
      <c r="AV31" s="959"/>
      <c r="AW31" s="959"/>
      <c r="AX31" s="959"/>
      <c r="AY31" s="959"/>
      <c r="AZ31" s="959"/>
      <c r="BA31" s="1360" t="e">
        <f t="shared" si="8"/>
        <v>#DIV/0!</v>
      </c>
      <c r="BB31" s="1360" t="e">
        <f t="shared" si="9"/>
        <v>#DIV/0!</v>
      </c>
      <c r="BC31" s="959"/>
      <c r="BD31" s="1609"/>
      <c r="BE31" s="1613">
        <f>W31-BD31</f>
        <v>0</v>
      </c>
    </row>
    <row r="32" spans="1:57" s="404" customFormat="1" ht="21.75" hidden="1" customHeight="1">
      <c r="A32" s="947"/>
      <c r="B32" s="932" t="s">
        <v>413</v>
      </c>
      <c r="C32" s="947" t="s">
        <v>26</v>
      </c>
      <c r="D32" s="945">
        <v>0</v>
      </c>
      <c r="E32" s="945"/>
      <c r="F32" s="945"/>
      <c r="G32" s="945"/>
      <c r="H32" s="945"/>
      <c r="I32" s="1306"/>
      <c r="J32" s="1306"/>
      <c r="K32" s="1306"/>
      <c r="L32" s="1306"/>
      <c r="M32" s="1306"/>
      <c r="N32" s="1306"/>
      <c r="O32" s="1306"/>
      <c r="P32" s="1306"/>
      <c r="Q32" s="1306"/>
      <c r="R32" s="1306"/>
      <c r="S32" s="1306"/>
      <c r="T32" s="1306"/>
      <c r="U32" s="1306"/>
      <c r="V32" s="1306"/>
      <c r="W32" s="945"/>
      <c r="X32" s="1306"/>
      <c r="Y32" s="945"/>
      <c r="Z32" s="945"/>
      <c r="AA32" s="945"/>
      <c r="AB32" s="945"/>
      <c r="AC32" s="945"/>
      <c r="AD32" s="945"/>
      <c r="AE32" s="945"/>
      <c r="AF32" s="945"/>
      <c r="AG32" s="945"/>
      <c r="AH32" s="945"/>
      <c r="AI32" s="945"/>
      <c r="AJ32" s="945"/>
      <c r="AK32" s="945"/>
      <c r="AL32" s="945"/>
      <c r="AM32" s="1306"/>
      <c r="AN32" s="945"/>
      <c r="AO32" s="945"/>
      <c r="AP32" s="945"/>
      <c r="AQ32" s="945"/>
      <c r="AR32" s="945"/>
      <c r="AS32" s="945"/>
      <c r="AT32" s="945"/>
      <c r="AU32" s="945"/>
      <c r="AV32" s="945"/>
      <c r="AW32" s="945"/>
      <c r="AX32" s="945"/>
      <c r="AY32" s="945"/>
      <c r="AZ32" s="945"/>
      <c r="BA32" s="1360" t="e">
        <f t="shared" si="8"/>
        <v>#DIV/0!</v>
      </c>
      <c r="BB32" s="1360" t="e">
        <f t="shared" si="9"/>
        <v>#DIV/0!</v>
      </c>
      <c r="BC32" s="945"/>
      <c r="BD32" s="1609"/>
      <c r="BE32" s="1613">
        <f>W32-BD32</f>
        <v>0</v>
      </c>
    </row>
    <row r="33" spans="1:57" s="404" customFormat="1" ht="21.75" hidden="1" customHeight="1">
      <c r="A33" s="947"/>
      <c r="B33" s="932" t="s">
        <v>414</v>
      </c>
      <c r="C33" s="947" t="s">
        <v>26</v>
      </c>
      <c r="D33" s="959">
        <v>0</v>
      </c>
      <c r="E33" s="959"/>
      <c r="F33" s="959"/>
      <c r="G33" s="959"/>
      <c r="H33" s="959"/>
      <c r="I33" s="1371"/>
      <c r="J33" s="1371"/>
      <c r="K33" s="1371"/>
      <c r="L33" s="1371"/>
      <c r="M33" s="1371"/>
      <c r="N33" s="1371"/>
      <c r="O33" s="1371"/>
      <c r="P33" s="1371"/>
      <c r="Q33" s="1371"/>
      <c r="R33" s="1371"/>
      <c r="S33" s="1371"/>
      <c r="T33" s="1371"/>
      <c r="U33" s="1371"/>
      <c r="V33" s="1371"/>
      <c r="W33" s="959"/>
      <c r="X33" s="1371"/>
      <c r="Y33" s="959"/>
      <c r="Z33" s="959"/>
      <c r="AA33" s="959"/>
      <c r="AB33" s="959"/>
      <c r="AC33" s="959"/>
      <c r="AD33" s="959"/>
      <c r="AE33" s="959"/>
      <c r="AF33" s="959"/>
      <c r="AG33" s="959"/>
      <c r="AH33" s="959"/>
      <c r="AI33" s="959"/>
      <c r="AJ33" s="959"/>
      <c r="AK33" s="959"/>
      <c r="AL33" s="959"/>
      <c r="AM33" s="1371"/>
      <c r="AN33" s="959"/>
      <c r="AO33" s="959"/>
      <c r="AP33" s="959"/>
      <c r="AQ33" s="959"/>
      <c r="AR33" s="959"/>
      <c r="AS33" s="959"/>
      <c r="AT33" s="959"/>
      <c r="AU33" s="959"/>
      <c r="AV33" s="959"/>
      <c r="AW33" s="959"/>
      <c r="AX33" s="959"/>
      <c r="AY33" s="959"/>
      <c r="AZ33" s="959"/>
      <c r="BA33" s="1360" t="e">
        <f t="shared" si="8"/>
        <v>#DIV/0!</v>
      </c>
      <c r="BB33" s="1360" t="e">
        <f t="shared" si="9"/>
        <v>#DIV/0!</v>
      </c>
      <c r="BC33" s="959"/>
      <c r="BD33" s="1609"/>
      <c r="BE33" s="1613">
        <f>W33-BD33</f>
        <v>0</v>
      </c>
    </row>
    <row r="34" spans="1:57" s="589" customFormat="1" ht="21.95" customHeight="1">
      <c r="A34" s="1791" t="s">
        <v>121</v>
      </c>
      <c r="B34" s="925" t="s">
        <v>417</v>
      </c>
      <c r="C34" s="1791" t="s">
        <v>418</v>
      </c>
      <c r="D34" s="1372">
        <v>841</v>
      </c>
      <c r="E34" s="1373" t="e">
        <f>SUM(#REF!)</f>
        <v>#REF!</v>
      </c>
      <c r="F34" s="1373">
        <v>1209</v>
      </c>
      <c r="G34" s="1373">
        <v>1209</v>
      </c>
      <c r="H34" s="1357">
        <f>SUM(I34:V34)</f>
        <v>1318</v>
      </c>
      <c r="I34" s="1374">
        <v>874</v>
      </c>
      <c r="J34" s="1374"/>
      <c r="K34" s="1374"/>
      <c r="L34" s="1374"/>
      <c r="M34" s="1374"/>
      <c r="N34" s="1374"/>
      <c r="O34" s="1374"/>
      <c r="P34" s="1374"/>
      <c r="Q34" s="1374"/>
      <c r="R34" s="1374"/>
      <c r="S34" s="1374">
        <v>444</v>
      </c>
      <c r="T34" s="1374"/>
      <c r="U34" s="1374"/>
      <c r="V34" s="1374"/>
      <c r="W34" s="1357">
        <f>SUM(X34:AK34)</f>
        <v>1375</v>
      </c>
      <c r="X34" s="1374">
        <v>955</v>
      </c>
      <c r="Y34" s="1373"/>
      <c r="Z34" s="1373"/>
      <c r="AA34" s="1373"/>
      <c r="AB34" s="1373"/>
      <c r="AC34" s="1373"/>
      <c r="AD34" s="1373"/>
      <c r="AE34" s="1373"/>
      <c r="AF34" s="1373"/>
      <c r="AG34" s="1373"/>
      <c r="AH34" s="1373">
        <v>420</v>
      </c>
      <c r="AI34" s="1373"/>
      <c r="AJ34" s="1373"/>
      <c r="AK34" s="1373"/>
      <c r="AL34" s="1357">
        <f t="shared" ref="AL34" si="21">SUM(AM34:AZ34)</f>
        <v>1334</v>
      </c>
      <c r="AM34" s="1374">
        <v>895</v>
      </c>
      <c r="AN34" s="1373"/>
      <c r="AO34" s="1373"/>
      <c r="AP34" s="1373"/>
      <c r="AQ34" s="1373"/>
      <c r="AR34" s="1373"/>
      <c r="AS34" s="1373"/>
      <c r="AT34" s="1373"/>
      <c r="AU34" s="1373"/>
      <c r="AV34" s="1373"/>
      <c r="AW34" s="1373">
        <v>439</v>
      </c>
      <c r="AX34" s="1373"/>
      <c r="AY34" s="1373"/>
      <c r="AZ34" s="1373"/>
      <c r="BA34" s="1358">
        <f t="shared" si="8"/>
        <v>110.33912324234905</v>
      </c>
      <c r="BB34" s="1358">
        <f t="shared" si="9"/>
        <v>97.018181818181816</v>
      </c>
      <c r="BC34" s="1373"/>
      <c r="BD34" s="1611">
        <v>1204</v>
      </c>
      <c r="BE34" s="1612">
        <f>W34-BD34</f>
        <v>171</v>
      </c>
    </row>
    <row r="35" spans="1:57" s="589" customFormat="1" ht="21.95" customHeight="1">
      <c r="A35" s="1791" t="s">
        <v>303</v>
      </c>
      <c r="B35" s="1442" t="s">
        <v>419</v>
      </c>
      <c r="C35" s="1791"/>
      <c r="D35" s="1400"/>
      <c r="E35" s="1400"/>
      <c r="F35" s="1400"/>
      <c r="G35" s="1400"/>
      <c r="H35" s="1400"/>
      <c r="I35" s="1791"/>
      <c r="J35" s="1791"/>
      <c r="K35" s="1791"/>
      <c r="L35" s="1791"/>
      <c r="M35" s="1791"/>
      <c r="N35" s="1791"/>
      <c r="O35" s="1791"/>
      <c r="P35" s="1791"/>
      <c r="Q35" s="1791"/>
      <c r="R35" s="1791"/>
      <c r="S35" s="1791"/>
      <c r="T35" s="1791"/>
      <c r="U35" s="1791"/>
      <c r="V35" s="1791"/>
      <c r="W35" s="1370"/>
      <c r="X35" s="1122"/>
      <c r="Y35" s="1370"/>
      <c r="Z35" s="1370"/>
      <c r="AA35" s="1370"/>
      <c r="AB35" s="1370"/>
      <c r="AC35" s="1370"/>
      <c r="AD35" s="1370"/>
      <c r="AE35" s="1370"/>
      <c r="AF35" s="1370"/>
      <c r="AG35" s="1370"/>
      <c r="AH35" s="1370"/>
      <c r="AI35" s="1370"/>
      <c r="AJ35" s="1370"/>
      <c r="AK35" s="1370"/>
      <c r="AL35" s="1370"/>
      <c r="AM35" s="1122"/>
      <c r="AN35" s="1370"/>
      <c r="AO35" s="1370"/>
      <c r="AP35" s="1370"/>
      <c r="AQ35" s="1370"/>
      <c r="AR35" s="1370"/>
      <c r="AS35" s="1370"/>
      <c r="AT35" s="1370"/>
      <c r="AU35" s="1370"/>
      <c r="AV35" s="1370"/>
      <c r="AW35" s="1370"/>
      <c r="AX35" s="1370"/>
      <c r="AY35" s="1370"/>
      <c r="AZ35" s="1370"/>
      <c r="BA35" s="1360"/>
      <c r="BB35" s="1360"/>
      <c r="BC35" s="1400"/>
      <c r="BD35" s="1611"/>
      <c r="BE35" s="1613"/>
    </row>
    <row r="36" spans="1:57" s="589" customFormat="1" ht="33" customHeight="1">
      <c r="A36" s="947">
        <v>1</v>
      </c>
      <c r="B36" s="942" t="s">
        <v>993</v>
      </c>
      <c r="C36" s="947" t="s">
        <v>38</v>
      </c>
      <c r="D36" s="1278">
        <v>14</v>
      </c>
      <c r="E36" s="1278" t="e">
        <f>SUM(#REF!)</f>
        <v>#REF!</v>
      </c>
      <c r="F36" s="1278">
        <v>14</v>
      </c>
      <c r="G36" s="1278">
        <v>14</v>
      </c>
      <c r="H36" s="1284">
        <f>SUM(I36:V36)</f>
        <v>14</v>
      </c>
      <c r="I36" s="1307">
        <v>1</v>
      </c>
      <c r="J36" s="1307">
        <v>1</v>
      </c>
      <c r="K36" s="1307">
        <v>1</v>
      </c>
      <c r="L36" s="1307">
        <v>1</v>
      </c>
      <c r="M36" s="1307">
        <v>1</v>
      </c>
      <c r="N36" s="1307">
        <v>1</v>
      </c>
      <c r="O36" s="1307">
        <v>1</v>
      </c>
      <c r="P36" s="1307">
        <v>1</v>
      </c>
      <c r="Q36" s="1307">
        <v>1</v>
      </c>
      <c r="R36" s="1307">
        <v>1</v>
      </c>
      <c r="S36" s="1307">
        <v>1</v>
      </c>
      <c r="T36" s="1307">
        <v>1</v>
      </c>
      <c r="U36" s="1307">
        <v>1</v>
      </c>
      <c r="V36" s="1307">
        <v>1</v>
      </c>
      <c r="W36" s="1284">
        <f>SUM(X36:AK36)</f>
        <v>14</v>
      </c>
      <c r="X36" s="1278">
        <v>1</v>
      </c>
      <c r="Y36" s="1278">
        <v>1</v>
      </c>
      <c r="Z36" s="1278">
        <v>1</v>
      </c>
      <c r="AA36" s="1278">
        <v>1</v>
      </c>
      <c r="AB36" s="1278">
        <v>1</v>
      </c>
      <c r="AC36" s="1278">
        <v>1</v>
      </c>
      <c r="AD36" s="1278">
        <v>1</v>
      </c>
      <c r="AE36" s="1278">
        <v>1</v>
      </c>
      <c r="AF36" s="1278">
        <v>1</v>
      </c>
      <c r="AG36" s="1278">
        <v>1</v>
      </c>
      <c r="AH36" s="1278">
        <v>1</v>
      </c>
      <c r="AI36" s="1278">
        <v>1</v>
      </c>
      <c r="AJ36" s="1278">
        <v>1</v>
      </c>
      <c r="AK36" s="1278">
        <v>1</v>
      </c>
      <c r="AL36" s="1284">
        <f>SUM(AM36:AZ36)</f>
        <v>14</v>
      </c>
      <c r="AM36" s="1307">
        <v>1</v>
      </c>
      <c r="AN36" s="1307">
        <v>1</v>
      </c>
      <c r="AO36" s="1307">
        <v>1</v>
      </c>
      <c r="AP36" s="1307">
        <v>1</v>
      </c>
      <c r="AQ36" s="1307">
        <v>1</v>
      </c>
      <c r="AR36" s="1307">
        <v>1</v>
      </c>
      <c r="AS36" s="1307">
        <v>1</v>
      </c>
      <c r="AT36" s="1307">
        <v>1</v>
      </c>
      <c r="AU36" s="1307">
        <v>1</v>
      </c>
      <c r="AV36" s="1307">
        <v>1</v>
      </c>
      <c r="AW36" s="1307">
        <v>1</v>
      </c>
      <c r="AX36" s="1307">
        <v>1</v>
      </c>
      <c r="AY36" s="1307">
        <v>1</v>
      </c>
      <c r="AZ36" s="1307">
        <v>1</v>
      </c>
      <c r="BA36" s="1360">
        <f t="shared" si="8"/>
        <v>99.999999999999986</v>
      </c>
      <c r="BB36" s="1360">
        <f t="shared" si="9"/>
        <v>99.999999999999986</v>
      </c>
      <c r="BC36" s="1278"/>
      <c r="BD36" s="1611">
        <v>14</v>
      </c>
      <c r="BE36" s="1613">
        <f t="shared" ref="BE36:BE41" si="22">W36-BD36</f>
        <v>0</v>
      </c>
    </row>
    <row r="37" spans="1:57" ht="33" customHeight="1">
      <c r="A37" s="947">
        <v>2</v>
      </c>
      <c r="B37" s="942" t="s">
        <v>994</v>
      </c>
      <c r="C37" s="947" t="s">
        <v>26</v>
      </c>
      <c r="D37" s="1304">
        <v>100</v>
      </c>
      <c r="E37" s="1304">
        <v>100</v>
      </c>
      <c r="F37" s="1304">
        <v>100</v>
      </c>
      <c r="G37" s="1304">
        <v>100</v>
      </c>
      <c r="H37" s="1306">
        <f>SUM(I37:V37)/14</f>
        <v>100</v>
      </c>
      <c r="I37" s="1361">
        <v>100</v>
      </c>
      <c r="J37" s="1361">
        <v>100</v>
      </c>
      <c r="K37" s="1361">
        <v>100</v>
      </c>
      <c r="L37" s="1361">
        <v>100</v>
      </c>
      <c r="M37" s="1361">
        <v>100</v>
      </c>
      <c r="N37" s="1361">
        <v>100</v>
      </c>
      <c r="O37" s="1361">
        <v>100</v>
      </c>
      <c r="P37" s="1361">
        <v>100</v>
      </c>
      <c r="Q37" s="1361">
        <v>100</v>
      </c>
      <c r="R37" s="1361">
        <v>100</v>
      </c>
      <c r="S37" s="1361">
        <v>100</v>
      </c>
      <c r="T37" s="1361">
        <v>100</v>
      </c>
      <c r="U37" s="1361">
        <v>100</v>
      </c>
      <c r="V37" s="1361">
        <v>100</v>
      </c>
      <c r="W37" s="945">
        <f>SUM(X37:AK37)/14</f>
        <v>100</v>
      </c>
      <c r="X37" s="935">
        <v>100</v>
      </c>
      <c r="Y37" s="935">
        <v>100</v>
      </c>
      <c r="Z37" s="935">
        <v>100</v>
      </c>
      <c r="AA37" s="935">
        <v>100</v>
      </c>
      <c r="AB37" s="935">
        <v>100</v>
      </c>
      <c r="AC37" s="935">
        <v>100</v>
      </c>
      <c r="AD37" s="935">
        <v>100</v>
      </c>
      <c r="AE37" s="935">
        <v>100</v>
      </c>
      <c r="AF37" s="935">
        <v>100</v>
      </c>
      <c r="AG37" s="935">
        <v>100</v>
      </c>
      <c r="AH37" s="935">
        <v>100</v>
      </c>
      <c r="AI37" s="935">
        <v>100</v>
      </c>
      <c r="AJ37" s="935">
        <v>100</v>
      </c>
      <c r="AK37" s="935">
        <v>100</v>
      </c>
      <c r="AL37" s="959">
        <f>SUM(AM37:AZ37)/14</f>
        <v>100</v>
      </c>
      <c r="AM37" s="1361">
        <v>100</v>
      </c>
      <c r="AN37" s="1361">
        <v>100</v>
      </c>
      <c r="AO37" s="1361">
        <v>100</v>
      </c>
      <c r="AP37" s="1361">
        <v>100</v>
      </c>
      <c r="AQ37" s="1361">
        <v>100</v>
      </c>
      <c r="AR37" s="1361">
        <v>100</v>
      </c>
      <c r="AS37" s="1361">
        <v>100</v>
      </c>
      <c r="AT37" s="1361">
        <v>100</v>
      </c>
      <c r="AU37" s="1361">
        <v>100</v>
      </c>
      <c r="AV37" s="1361">
        <v>100</v>
      </c>
      <c r="AW37" s="1361">
        <v>100</v>
      </c>
      <c r="AX37" s="1361">
        <v>100</v>
      </c>
      <c r="AY37" s="1361">
        <v>100</v>
      </c>
      <c r="AZ37" s="1361">
        <v>100</v>
      </c>
      <c r="BA37" s="1360">
        <f t="shared" si="8"/>
        <v>100</v>
      </c>
      <c r="BB37" s="1360">
        <f t="shared" si="9"/>
        <v>100</v>
      </c>
      <c r="BC37" s="1304"/>
      <c r="BD37" s="1609">
        <v>100</v>
      </c>
      <c r="BE37" s="1613">
        <f t="shared" si="22"/>
        <v>0</v>
      </c>
    </row>
    <row r="38" spans="1:57" hidden="1">
      <c r="A38" s="947">
        <v>3</v>
      </c>
      <c r="B38" s="942" t="s">
        <v>727</v>
      </c>
      <c r="C38" s="947" t="s">
        <v>26</v>
      </c>
      <c r="D38" s="935">
        <v>100</v>
      </c>
      <c r="E38" s="935" t="e">
        <f>SUM(#REF!)/14</f>
        <v>#REF!</v>
      </c>
      <c r="F38" s="935">
        <v>100</v>
      </c>
      <c r="G38" s="935">
        <v>100</v>
      </c>
      <c r="H38" s="1306">
        <f>SUM(I38:V38)/14</f>
        <v>100</v>
      </c>
      <c r="I38" s="1361">
        <v>100</v>
      </c>
      <c r="J38" s="1361">
        <v>100</v>
      </c>
      <c r="K38" s="1361">
        <v>100</v>
      </c>
      <c r="L38" s="1361">
        <v>100</v>
      </c>
      <c r="M38" s="1361">
        <v>100</v>
      </c>
      <c r="N38" s="1361">
        <v>100</v>
      </c>
      <c r="O38" s="1361">
        <v>100</v>
      </c>
      <c r="P38" s="1361">
        <v>100</v>
      </c>
      <c r="Q38" s="1361">
        <v>100</v>
      </c>
      <c r="R38" s="1361">
        <v>100</v>
      </c>
      <c r="S38" s="1361">
        <v>100</v>
      </c>
      <c r="T38" s="1361">
        <v>100</v>
      </c>
      <c r="U38" s="1361">
        <v>100</v>
      </c>
      <c r="V38" s="1361">
        <v>100</v>
      </c>
      <c r="W38" s="945">
        <f>SUM(X38:AK38)/14</f>
        <v>100</v>
      </c>
      <c r="X38" s="935">
        <v>100</v>
      </c>
      <c r="Y38" s="935">
        <v>100</v>
      </c>
      <c r="Z38" s="935">
        <v>100</v>
      </c>
      <c r="AA38" s="935">
        <v>100</v>
      </c>
      <c r="AB38" s="935">
        <v>100</v>
      </c>
      <c r="AC38" s="935">
        <v>100</v>
      </c>
      <c r="AD38" s="935">
        <v>100</v>
      </c>
      <c r="AE38" s="935">
        <v>100</v>
      </c>
      <c r="AF38" s="935">
        <v>100</v>
      </c>
      <c r="AG38" s="935">
        <v>100</v>
      </c>
      <c r="AH38" s="935">
        <v>100</v>
      </c>
      <c r="AI38" s="935">
        <v>100</v>
      </c>
      <c r="AJ38" s="935">
        <v>100</v>
      </c>
      <c r="AK38" s="935">
        <v>100</v>
      </c>
      <c r="AL38" s="945"/>
      <c r="AM38" s="935"/>
      <c r="AN38" s="935"/>
      <c r="AO38" s="935"/>
      <c r="AP38" s="935"/>
      <c r="AQ38" s="935"/>
      <c r="AR38" s="935"/>
      <c r="AS38" s="935"/>
      <c r="AT38" s="935"/>
      <c r="AU38" s="935"/>
      <c r="AV38" s="935"/>
      <c r="AW38" s="935"/>
      <c r="AX38" s="935"/>
      <c r="AY38" s="935"/>
      <c r="AZ38" s="935"/>
      <c r="BA38" s="1360">
        <f t="shared" si="8"/>
        <v>0</v>
      </c>
      <c r="BB38" s="1360">
        <f t="shared" si="9"/>
        <v>0</v>
      </c>
      <c r="BC38" s="935"/>
      <c r="BE38" s="1613">
        <f t="shared" si="22"/>
        <v>100</v>
      </c>
    </row>
    <row r="39" spans="1:57" hidden="1">
      <c r="A39" s="947">
        <v>4</v>
      </c>
      <c r="B39" s="942" t="s">
        <v>726</v>
      </c>
      <c r="C39" s="947" t="s">
        <v>26</v>
      </c>
      <c r="D39" s="935">
        <v>100</v>
      </c>
      <c r="E39" s="935" t="e">
        <f>SUM(#REF!)/14</f>
        <v>#REF!</v>
      </c>
      <c r="F39" s="935">
        <v>100</v>
      </c>
      <c r="G39" s="935">
        <v>100</v>
      </c>
      <c r="H39" s="1306">
        <f>SUM(I39:V39)/14</f>
        <v>100</v>
      </c>
      <c r="I39" s="1361">
        <v>100</v>
      </c>
      <c r="J39" s="1361">
        <v>100</v>
      </c>
      <c r="K39" s="1361">
        <v>100</v>
      </c>
      <c r="L39" s="1361">
        <v>100</v>
      </c>
      <c r="M39" s="1361">
        <v>100</v>
      </c>
      <c r="N39" s="1361">
        <v>100</v>
      </c>
      <c r="O39" s="1361">
        <v>100</v>
      </c>
      <c r="P39" s="1361">
        <v>100</v>
      </c>
      <c r="Q39" s="1361">
        <v>100</v>
      </c>
      <c r="R39" s="1361">
        <v>100</v>
      </c>
      <c r="S39" s="1361">
        <v>100</v>
      </c>
      <c r="T39" s="1361">
        <v>100</v>
      </c>
      <c r="U39" s="1361">
        <v>100</v>
      </c>
      <c r="V39" s="1361">
        <v>100</v>
      </c>
      <c r="W39" s="945">
        <f>SUM(X39:AK39)/14</f>
        <v>100</v>
      </c>
      <c r="X39" s="935">
        <v>100</v>
      </c>
      <c r="Y39" s="935">
        <v>100</v>
      </c>
      <c r="Z39" s="935">
        <v>100</v>
      </c>
      <c r="AA39" s="935">
        <v>100</v>
      </c>
      <c r="AB39" s="935">
        <v>100</v>
      </c>
      <c r="AC39" s="935">
        <v>100</v>
      </c>
      <c r="AD39" s="935">
        <v>100</v>
      </c>
      <c r="AE39" s="935">
        <v>100</v>
      </c>
      <c r="AF39" s="935">
        <v>100</v>
      </c>
      <c r="AG39" s="935">
        <v>100</v>
      </c>
      <c r="AH39" s="935">
        <v>100</v>
      </c>
      <c r="AI39" s="935">
        <v>100</v>
      </c>
      <c r="AJ39" s="935">
        <v>100</v>
      </c>
      <c r="AK39" s="935">
        <v>100</v>
      </c>
      <c r="AL39" s="945"/>
      <c r="AM39" s="935"/>
      <c r="AN39" s="935"/>
      <c r="AO39" s="935"/>
      <c r="AP39" s="935"/>
      <c r="AQ39" s="935"/>
      <c r="AR39" s="935"/>
      <c r="AS39" s="935"/>
      <c r="AT39" s="935"/>
      <c r="AU39" s="935"/>
      <c r="AV39" s="935"/>
      <c r="AW39" s="935"/>
      <c r="AX39" s="935"/>
      <c r="AY39" s="935"/>
      <c r="AZ39" s="935"/>
      <c r="BA39" s="1360">
        <f t="shared" si="8"/>
        <v>0</v>
      </c>
      <c r="BB39" s="1360">
        <f t="shared" si="9"/>
        <v>0</v>
      </c>
      <c r="BC39" s="935"/>
      <c r="BE39" s="1613">
        <f t="shared" si="22"/>
        <v>100</v>
      </c>
    </row>
    <row r="40" spans="1:57" ht="25.5" hidden="1">
      <c r="A40" s="947">
        <v>5</v>
      </c>
      <c r="B40" s="942" t="s">
        <v>728</v>
      </c>
      <c r="C40" s="947" t="s">
        <v>26</v>
      </c>
      <c r="D40" s="935">
        <v>100</v>
      </c>
      <c r="E40" s="935" t="e">
        <f>SUM(#REF!)/14</f>
        <v>#REF!</v>
      </c>
      <c r="F40" s="935">
        <v>100</v>
      </c>
      <c r="G40" s="935">
        <v>100</v>
      </c>
      <c r="H40" s="1306">
        <f>SUM(I40:V40)/14</f>
        <v>100</v>
      </c>
      <c r="I40" s="1361">
        <v>100</v>
      </c>
      <c r="J40" s="1361">
        <v>100</v>
      </c>
      <c r="K40" s="1361">
        <v>100</v>
      </c>
      <c r="L40" s="1361">
        <v>100</v>
      </c>
      <c r="M40" s="1361">
        <v>100</v>
      </c>
      <c r="N40" s="1361">
        <v>100</v>
      </c>
      <c r="O40" s="1361">
        <v>100</v>
      </c>
      <c r="P40" s="1361">
        <v>100</v>
      </c>
      <c r="Q40" s="1361">
        <v>100</v>
      </c>
      <c r="R40" s="1361">
        <v>100</v>
      </c>
      <c r="S40" s="1361">
        <v>100</v>
      </c>
      <c r="T40" s="1361">
        <v>100</v>
      </c>
      <c r="U40" s="1361">
        <v>100</v>
      </c>
      <c r="V40" s="1361">
        <v>100</v>
      </c>
      <c r="W40" s="945">
        <f>SUM(X40:AK40)/14</f>
        <v>100</v>
      </c>
      <c r="X40" s="935">
        <v>100</v>
      </c>
      <c r="Y40" s="935">
        <v>100</v>
      </c>
      <c r="Z40" s="935">
        <v>100</v>
      </c>
      <c r="AA40" s="935">
        <v>100</v>
      </c>
      <c r="AB40" s="935">
        <v>100</v>
      </c>
      <c r="AC40" s="935">
        <v>100</v>
      </c>
      <c r="AD40" s="935">
        <v>100</v>
      </c>
      <c r="AE40" s="935">
        <v>100</v>
      </c>
      <c r="AF40" s="935">
        <v>100</v>
      </c>
      <c r="AG40" s="935">
        <v>100</v>
      </c>
      <c r="AH40" s="935">
        <v>100</v>
      </c>
      <c r="AI40" s="935">
        <v>100</v>
      </c>
      <c r="AJ40" s="935">
        <v>100</v>
      </c>
      <c r="AK40" s="935">
        <v>100</v>
      </c>
      <c r="AL40" s="945"/>
      <c r="AM40" s="935"/>
      <c r="AN40" s="935"/>
      <c r="AO40" s="935"/>
      <c r="AP40" s="935"/>
      <c r="AQ40" s="935"/>
      <c r="AR40" s="935"/>
      <c r="AS40" s="935"/>
      <c r="AT40" s="935"/>
      <c r="AU40" s="935"/>
      <c r="AV40" s="935"/>
      <c r="AW40" s="935"/>
      <c r="AX40" s="935"/>
      <c r="AY40" s="935"/>
      <c r="AZ40" s="935"/>
      <c r="BA40" s="1360">
        <f t="shared" si="8"/>
        <v>0</v>
      </c>
      <c r="BB40" s="1360">
        <f t="shared" si="9"/>
        <v>0</v>
      </c>
      <c r="BC40" s="935"/>
      <c r="BE40" s="1613">
        <f t="shared" si="22"/>
        <v>100</v>
      </c>
    </row>
    <row r="41" spans="1:57" ht="33" customHeight="1">
      <c r="A41" s="947">
        <v>3</v>
      </c>
      <c r="B41" s="942" t="s">
        <v>995</v>
      </c>
      <c r="C41" s="947" t="s">
        <v>26</v>
      </c>
      <c r="D41" s="928">
        <v>92.857142857142861</v>
      </c>
      <c r="E41" s="928" t="e">
        <f>SUM(#REF!)/14</f>
        <v>#REF!</v>
      </c>
      <c r="F41" s="928">
        <v>92.9</v>
      </c>
      <c r="G41" s="928">
        <v>92.9</v>
      </c>
      <c r="H41" s="1306">
        <f>SUM(I41:V41)/14</f>
        <v>100</v>
      </c>
      <c r="I41" s="1361">
        <v>100</v>
      </c>
      <c r="J41" s="1361">
        <v>100</v>
      </c>
      <c r="K41" s="1361">
        <v>100</v>
      </c>
      <c r="L41" s="1361">
        <v>100</v>
      </c>
      <c r="M41" s="1361">
        <v>100</v>
      </c>
      <c r="N41" s="1361">
        <v>100</v>
      </c>
      <c r="O41" s="1361">
        <v>100</v>
      </c>
      <c r="P41" s="1361">
        <v>100</v>
      </c>
      <c r="Q41" s="1361">
        <v>100</v>
      </c>
      <c r="R41" s="1361">
        <v>100</v>
      </c>
      <c r="S41" s="1361">
        <v>100</v>
      </c>
      <c r="T41" s="1361">
        <v>100</v>
      </c>
      <c r="U41" s="1361">
        <v>100</v>
      </c>
      <c r="V41" s="1361">
        <v>100</v>
      </c>
      <c r="W41" s="945">
        <f>SUM(X41:AK41)/14</f>
        <v>100</v>
      </c>
      <c r="X41" s="935">
        <v>100</v>
      </c>
      <c r="Y41" s="935">
        <v>100</v>
      </c>
      <c r="Z41" s="935">
        <v>100</v>
      </c>
      <c r="AA41" s="935">
        <v>100</v>
      </c>
      <c r="AB41" s="935">
        <v>100</v>
      </c>
      <c r="AC41" s="935">
        <v>100</v>
      </c>
      <c r="AD41" s="935">
        <v>100</v>
      </c>
      <c r="AE41" s="935">
        <v>100</v>
      </c>
      <c r="AF41" s="935">
        <v>100</v>
      </c>
      <c r="AG41" s="935">
        <v>100</v>
      </c>
      <c r="AH41" s="935">
        <v>100</v>
      </c>
      <c r="AI41" s="935">
        <v>100</v>
      </c>
      <c r="AJ41" s="935">
        <v>100</v>
      </c>
      <c r="AK41" s="935">
        <v>100</v>
      </c>
      <c r="AL41" s="959">
        <f>SUM(AM41:AZ41)/14</f>
        <v>100</v>
      </c>
      <c r="AM41" s="1361">
        <v>100</v>
      </c>
      <c r="AN41" s="1361">
        <v>100</v>
      </c>
      <c r="AO41" s="1361">
        <v>100</v>
      </c>
      <c r="AP41" s="1361">
        <v>100</v>
      </c>
      <c r="AQ41" s="1361">
        <v>100</v>
      </c>
      <c r="AR41" s="1361">
        <v>100</v>
      </c>
      <c r="AS41" s="1361">
        <v>100</v>
      </c>
      <c r="AT41" s="1361">
        <v>100</v>
      </c>
      <c r="AU41" s="1361">
        <v>100</v>
      </c>
      <c r="AV41" s="1361">
        <v>100</v>
      </c>
      <c r="AW41" s="1361">
        <v>100</v>
      </c>
      <c r="AX41" s="1361">
        <v>100</v>
      </c>
      <c r="AY41" s="1361">
        <v>100</v>
      </c>
      <c r="AZ41" s="1361">
        <v>100</v>
      </c>
      <c r="BA41" s="1360">
        <f t="shared" si="8"/>
        <v>107.64262648008611</v>
      </c>
      <c r="BB41" s="1360">
        <f t="shared" si="9"/>
        <v>100</v>
      </c>
      <c r="BC41" s="928"/>
      <c r="BD41" s="1617">
        <v>100</v>
      </c>
      <c r="BE41" s="1613">
        <f t="shared" si="22"/>
        <v>0</v>
      </c>
    </row>
    <row r="42" spans="1:57" ht="21.95" customHeight="1">
      <c r="A42" s="1375" t="s">
        <v>308</v>
      </c>
      <c r="B42" s="1442" t="s">
        <v>452</v>
      </c>
      <c r="C42" s="1375"/>
      <c r="D42" s="1376"/>
      <c r="E42" s="1377"/>
      <c r="F42" s="1377"/>
      <c r="G42" s="1377"/>
      <c r="H42" s="1377"/>
      <c r="I42" s="1378"/>
      <c r="J42" s="1378"/>
      <c r="K42" s="1378"/>
      <c r="L42" s="1378"/>
      <c r="M42" s="1378"/>
      <c r="N42" s="1378"/>
      <c r="O42" s="1378"/>
      <c r="P42" s="1378"/>
      <c r="Q42" s="1378"/>
      <c r="R42" s="1378"/>
      <c r="S42" s="1378"/>
      <c r="T42" s="1378"/>
      <c r="U42" s="1378"/>
      <c r="V42" s="1378"/>
      <c r="W42" s="1377"/>
      <c r="X42" s="1378"/>
      <c r="Y42" s="1377"/>
      <c r="Z42" s="1377"/>
      <c r="AA42" s="1377"/>
      <c r="AB42" s="1377"/>
      <c r="AC42" s="1377"/>
      <c r="AD42" s="1377"/>
      <c r="AE42" s="1377"/>
      <c r="AF42" s="1377"/>
      <c r="AG42" s="1377"/>
      <c r="AH42" s="1377"/>
      <c r="AI42" s="1377"/>
      <c r="AJ42" s="1377"/>
      <c r="AK42" s="1377"/>
      <c r="AL42" s="1377"/>
      <c r="AM42" s="1378"/>
      <c r="AN42" s="1377"/>
      <c r="AO42" s="1377"/>
      <c r="AP42" s="1377"/>
      <c r="AQ42" s="1377"/>
      <c r="AR42" s="1377"/>
      <c r="AS42" s="1377"/>
      <c r="AT42" s="1377"/>
      <c r="AU42" s="1377"/>
      <c r="AV42" s="1377"/>
      <c r="AW42" s="1377"/>
      <c r="AX42" s="1377"/>
      <c r="AY42" s="1377"/>
      <c r="AZ42" s="1377"/>
      <c r="BA42" s="1360"/>
      <c r="BB42" s="1360"/>
      <c r="BC42" s="1377"/>
      <c r="BE42" s="1613"/>
    </row>
    <row r="43" spans="1:57" ht="21.95" customHeight="1">
      <c r="A43" s="1379" t="s">
        <v>578</v>
      </c>
      <c r="B43" s="1168" t="s">
        <v>572</v>
      </c>
      <c r="C43" s="947" t="s">
        <v>26</v>
      </c>
      <c r="D43" s="1380">
        <v>99.885714285714286</v>
      </c>
      <c r="E43" s="1371" t="e">
        <f>SUM(#REF!)/14</f>
        <v>#REF!</v>
      </c>
      <c r="F43" s="1371">
        <v>99.9</v>
      </c>
      <c r="G43" s="1371">
        <v>99.9</v>
      </c>
      <c r="H43" s="1371">
        <f>SUM(I43:V43)/14</f>
        <v>99.928571428571431</v>
      </c>
      <c r="I43" s="1361">
        <v>100</v>
      </c>
      <c r="J43" s="1361">
        <v>100</v>
      </c>
      <c r="K43" s="1361">
        <v>100</v>
      </c>
      <c r="L43" s="1361">
        <v>100</v>
      </c>
      <c r="M43" s="1361">
        <v>100</v>
      </c>
      <c r="N43" s="1361">
        <v>100</v>
      </c>
      <c r="O43" s="1361">
        <v>99</v>
      </c>
      <c r="P43" s="1361">
        <v>100</v>
      </c>
      <c r="Q43" s="1361">
        <v>100</v>
      </c>
      <c r="R43" s="1361">
        <v>100</v>
      </c>
      <c r="S43" s="1361">
        <v>100</v>
      </c>
      <c r="T43" s="1361">
        <v>100</v>
      </c>
      <c r="U43" s="1361">
        <v>100</v>
      </c>
      <c r="V43" s="1361">
        <v>100</v>
      </c>
      <c r="W43" s="959">
        <f>SUM(X43:AK43)/14</f>
        <v>98.48571428571428</v>
      </c>
      <c r="X43" s="1371">
        <v>99.4</v>
      </c>
      <c r="Y43" s="959">
        <v>99.4</v>
      </c>
      <c r="Z43" s="959">
        <v>99.2</v>
      </c>
      <c r="AA43" s="959">
        <v>99.4</v>
      </c>
      <c r="AB43" s="959">
        <v>99.5</v>
      </c>
      <c r="AC43" s="959">
        <v>99.5</v>
      </c>
      <c r="AD43" s="959">
        <v>96.5</v>
      </c>
      <c r="AE43" s="959">
        <v>95</v>
      </c>
      <c r="AF43" s="959">
        <v>99.4</v>
      </c>
      <c r="AG43" s="959">
        <v>98</v>
      </c>
      <c r="AH43" s="959">
        <v>99.4</v>
      </c>
      <c r="AI43" s="959">
        <v>99.5</v>
      </c>
      <c r="AJ43" s="959">
        <v>99.3</v>
      </c>
      <c r="AK43" s="959">
        <v>95.3</v>
      </c>
      <c r="AL43" s="959">
        <f>SUM(AM43:AZ43)/14</f>
        <v>99.928571428571431</v>
      </c>
      <c r="AM43" s="1361">
        <v>100</v>
      </c>
      <c r="AN43" s="1361">
        <v>100</v>
      </c>
      <c r="AO43" s="1361">
        <v>100</v>
      </c>
      <c r="AP43" s="1361">
        <v>100</v>
      </c>
      <c r="AQ43" s="1361">
        <v>100</v>
      </c>
      <c r="AR43" s="1361">
        <v>100</v>
      </c>
      <c r="AS43" s="1361">
        <v>99</v>
      </c>
      <c r="AT43" s="1361">
        <v>100</v>
      </c>
      <c r="AU43" s="1361">
        <v>100</v>
      </c>
      <c r="AV43" s="1361">
        <v>100</v>
      </c>
      <c r="AW43" s="1361">
        <v>100</v>
      </c>
      <c r="AX43" s="1361">
        <v>100</v>
      </c>
      <c r="AY43" s="1361">
        <v>100</v>
      </c>
      <c r="AZ43" s="1361">
        <v>100</v>
      </c>
      <c r="BA43" s="1360">
        <f t="shared" si="8"/>
        <v>100.02860002860002</v>
      </c>
      <c r="BB43" s="1360">
        <f t="shared" si="9"/>
        <v>101.46504206556428</v>
      </c>
      <c r="BC43" s="1371"/>
      <c r="BD43" s="1617">
        <v>98.5</v>
      </c>
      <c r="BE43" s="1613">
        <f t="shared" ref="BE43:BE86" si="23">W43-BD43</f>
        <v>-1.4285714285719564E-2</v>
      </c>
    </row>
    <row r="44" spans="1:57" ht="33" customHeight="1">
      <c r="A44" s="1379" t="s">
        <v>578</v>
      </c>
      <c r="B44" s="932" t="s">
        <v>573</v>
      </c>
      <c r="C44" s="947" t="s">
        <v>26</v>
      </c>
      <c r="D44" s="1380">
        <v>100</v>
      </c>
      <c r="E44" s="1371" t="e">
        <f>SUM(#REF!)/14</f>
        <v>#REF!</v>
      </c>
      <c r="F44" s="1371">
        <v>99.9</v>
      </c>
      <c r="G44" s="1371">
        <v>99.9</v>
      </c>
      <c r="H44" s="1371">
        <v>99.9</v>
      </c>
      <c r="I44" s="945">
        <v>100</v>
      </c>
      <c r="J44" s="945">
        <v>100</v>
      </c>
      <c r="K44" s="945">
        <v>100</v>
      </c>
      <c r="L44" s="959">
        <v>99.9</v>
      </c>
      <c r="M44" s="945">
        <v>100</v>
      </c>
      <c r="N44" s="945">
        <v>100</v>
      </c>
      <c r="O44" s="959">
        <v>99.9</v>
      </c>
      <c r="P44" s="959">
        <v>99.9</v>
      </c>
      <c r="Q44" s="959">
        <v>99.7</v>
      </c>
      <c r="R44" s="959">
        <v>98.6</v>
      </c>
      <c r="S44" s="945">
        <v>100</v>
      </c>
      <c r="T44" s="945">
        <v>100</v>
      </c>
      <c r="U44" s="945">
        <v>100</v>
      </c>
      <c r="V44" s="959">
        <v>99.9</v>
      </c>
      <c r="W44" s="959">
        <f>SUM(X44:AK44)/14</f>
        <v>99.850000000000009</v>
      </c>
      <c r="X44" s="1306">
        <v>100</v>
      </c>
      <c r="Y44" s="945">
        <v>100</v>
      </c>
      <c r="Z44" s="945">
        <v>100</v>
      </c>
      <c r="AA44" s="959">
        <v>99.9</v>
      </c>
      <c r="AB44" s="945">
        <v>100</v>
      </c>
      <c r="AC44" s="945">
        <v>100</v>
      </c>
      <c r="AD44" s="959">
        <v>99.9</v>
      </c>
      <c r="AE44" s="959">
        <v>99.9</v>
      </c>
      <c r="AF44" s="959">
        <v>99.7</v>
      </c>
      <c r="AG44" s="959">
        <v>98.6</v>
      </c>
      <c r="AH44" s="945">
        <v>100</v>
      </c>
      <c r="AI44" s="945">
        <v>100</v>
      </c>
      <c r="AJ44" s="945">
        <v>100</v>
      </c>
      <c r="AK44" s="959">
        <v>99.9</v>
      </c>
      <c r="AL44" s="959">
        <f>SUM(AM44:AZ44)/14</f>
        <v>99.850000000000009</v>
      </c>
      <c r="AM44" s="945">
        <v>100</v>
      </c>
      <c r="AN44" s="945">
        <v>100</v>
      </c>
      <c r="AO44" s="945">
        <v>100</v>
      </c>
      <c r="AP44" s="959">
        <v>99.9</v>
      </c>
      <c r="AQ44" s="945">
        <v>100</v>
      </c>
      <c r="AR44" s="945">
        <v>100</v>
      </c>
      <c r="AS44" s="959">
        <v>99.9</v>
      </c>
      <c r="AT44" s="959">
        <v>99.9</v>
      </c>
      <c r="AU44" s="959">
        <v>99.7</v>
      </c>
      <c r="AV44" s="959">
        <v>98.6</v>
      </c>
      <c r="AW44" s="945">
        <v>100</v>
      </c>
      <c r="AX44" s="945">
        <v>100</v>
      </c>
      <c r="AY44" s="945">
        <v>100</v>
      </c>
      <c r="AZ44" s="959">
        <v>99.9</v>
      </c>
      <c r="BA44" s="1360">
        <f t="shared" si="8"/>
        <v>99.949949949949954</v>
      </c>
      <c r="BB44" s="1360">
        <f t="shared" si="9"/>
        <v>100</v>
      </c>
      <c r="BC44" s="1371"/>
      <c r="BD44" s="1617">
        <v>99.9</v>
      </c>
      <c r="BE44" s="1613">
        <f t="shared" si="23"/>
        <v>-4.9999999999997158E-2</v>
      </c>
    </row>
    <row r="45" spans="1:57" ht="33" customHeight="1">
      <c r="A45" s="1379" t="s">
        <v>578</v>
      </c>
      <c r="B45" s="1443" t="s">
        <v>574</v>
      </c>
      <c r="C45" s="947" t="s">
        <v>26</v>
      </c>
      <c r="D45" s="1380">
        <v>96.75</v>
      </c>
      <c r="E45" s="1371" t="e">
        <f>SUM(#REF!)/14</f>
        <v>#REF!</v>
      </c>
      <c r="F45" s="1371">
        <v>96.6</v>
      </c>
      <c r="G45" s="1371">
        <v>96.6</v>
      </c>
      <c r="H45" s="1371">
        <v>96.8</v>
      </c>
      <c r="I45" s="959">
        <v>98.5</v>
      </c>
      <c r="J45" s="959">
        <v>98.5</v>
      </c>
      <c r="K45" s="959">
        <v>96.5</v>
      </c>
      <c r="L45" s="959">
        <v>96.5</v>
      </c>
      <c r="M45" s="959">
        <v>98</v>
      </c>
      <c r="N45" s="959">
        <v>97</v>
      </c>
      <c r="O45" s="959">
        <v>95.5</v>
      </c>
      <c r="P45" s="959">
        <v>94</v>
      </c>
      <c r="Q45" s="959">
        <v>96</v>
      </c>
      <c r="R45" s="959">
        <v>96</v>
      </c>
      <c r="S45" s="959">
        <v>98</v>
      </c>
      <c r="T45" s="959">
        <v>97</v>
      </c>
      <c r="U45" s="959">
        <v>98</v>
      </c>
      <c r="V45" s="959">
        <v>95</v>
      </c>
      <c r="W45" s="959">
        <f>SUM(X45:AK45)/14</f>
        <v>96.75</v>
      </c>
      <c r="X45" s="1371">
        <v>98.5</v>
      </c>
      <c r="Y45" s="959">
        <v>98.5</v>
      </c>
      <c r="Z45" s="959">
        <v>96.5</v>
      </c>
      <c r="AA45" s="959">
        <v>96.5</v>
      </c>
      <c r="AB45" s="959">
        <v>98</v>
      </c>
      <c r="AC45" s="959">
        <v>97</v>
      </c>
      <c r="AD45" s="959">
        <v>95.5</v>
      </c>
      <c r="AE45" s="959">
        <v>94</v>
      </c>
      <c r="AF45" s="959">
        <v>96</v>
      </c>
      <c r="AG45" s="959">
        <v>96</v>
      </c>
      <c r="AH45" s="959">
        <v>98</v>
      </c>
      <c r="AI45" s="959">
        <v>97</v>
      </c>
      <c r="AJ45" s="959">
        <v>98</v>
      </c>
      <c r="AK45" s="959">
        <v>95</v>
      </c>
      <c r="AL45" s="959">
        <f>SUM(AM45:AZ45)/14</f>
        <v>96.75</v>
      </c>
      <c r="AM45" s="959">
        <v>98.5</v>
      </c>
      <c r="AN45" s="959">
        <v>98.5</v>
      </c>
      <c r="AO45" s="959">
        <v>96.5</v>
      </c>
      <c r="AP45" s="959">
        <v>96.5</v>
      </c>
      <c r="AQ45" s="959">
        <v>98</v>
      </c>
      <c r="AR45" s="959">
        <v>97</v>
      </c>
      <c r="AS45" s="959">
        <v>95.5</v>
      </c>
      <c r="AT45" s="959">
        <v>94</v>
      </c>
      <c r="AU45" s="959">
        <v>96</v>
      </c>
      <c r="AV45" s="959">
        <v>96</v>
      </c>
      <c r="AW45" s="959">
        <v>98</v>
      </c>
      <c r="AX45" s="959">
        <v>97</v>
      </c>
      <c r="AY45" s="959">
        <v>98</v>
      </c>
      <c r="AZ45" s="959">
        <v>95</v>
      </c>
      <c r="BA45" s="1360">
        <f t="shared" si="8"/>
        <v>100.15527950310559</v>
      </c>
      <c r="BB45" s="1360">
        <f t="shared" si="9"/>
        <v>100</v>
      </c>
      <c r="BC45" s="1371"/>
      <c r="BD45" s="1617">
        <v>96.8</v>
      </c>
      <c r="BE45" s="1613">
        <f t="shared" si="23"/>
        <v>-4.9999999999997158E-2</v>
      </c>
    </row>
    <row r="46" spans="1:57" ht="33" customHeight="1">
      <c r="A46" s="1379" t="s">
        <v>578</v>
      </c>
      <c r="B46" s="1443" t="str">
        <f>'B1 Bieu TH '!B41</f>
        <v>- Tỷ lệ học sinh trong độ tuổi trung học phổ thông đến trường</v>
      </c>
      <c r="C46" s="947" t="s">
        <v>26</v>
      </c>
      <c r="D46" s="1380">
        <v>59.092857142857149</v>
      </c>
      <c r="E46" s="1371" t="e">
        <f>SUM(#REF!)/14</f>
        <v>#REF!</v>
      </c>
      <c r="F46" s="1371">
        <v>57.2</v>
      </c>
      <c r="G46" s="1371">
        <v>57.2</v>
      </c>
      <c r="H46" s="1371">
        <f>SUM(I46:V46)/14</f>
        <v>58.01428571428572</v>
      </c>
      <c r="I46" s="959">
        <v>70.099999999999994</v>
      </c>
      <c r="J46" s="959">
        <v>65</v>
      </c>
      <c r="K46" s="959">
        <v>62</v>
      </c>
      <c r="L46" s="959">
        <v>57</v>
      </c>
      <c r="M46" s="959">
        <v>57.5</v>
      </c>
      <c r="N46" s="959">
        <v>60.1</v>
      </c>
      <c r="O46" s="959">
        <v>50</v>
      </c>
      <c r="P46" s="959">
        <v>49.5</v>
      </c>
      <c r="Q46" s="959">
        <v>50</v>
      </c>
      <c r="R46" s="959">
        <v>48</v>
      </c>
      <c r="S46" s="959">
        <v>63.5</v>
      </c>
      <c r="T46" s="959">
        <v>63</v>
      </c>
      <c r="U46" s="959">
        <v>60</v>
      </c>
      <c r="V46" s="959">
        <v>56.5</v>
      </c>
      <c r="W46" s="959">
        <f>SUM(X46:AK46)/14</f>
        <v>58.300000000000004</v>
      </c>
      <c r="X46" s="1371">
        <v>74.099999999999994</v>
      </c>
      <c r="Y46" s="959">
        <v>65</v>
      </c>
      <c r="Z46" s="959">
        <v>62</v>
      </c>
      <c r="AA46" s="959">
        <v>57</v>
      </c>
      <c r="AB46" s="959">
        <v>57.5</v>
      </c>
      <c r="AC46" s="959">
        <v>60.1</v>
      </c>
      <c r="AD46" s="959">
        <v>50</v>
      </c>
      <c r="AE46" s="959">
        <v>49.5</v>
      </c>
      <c r="AF46" s="959">
        <v>50</v>
      </c>
      <c r="AG46" s="959">
        <v>48</v>
      </c>
      <c r="AH46" s="959">
        <v>63.5</v>
      </c>
      <c r="AI46" s="959">
        <v>63</v>
      </c>
      <c r="AJ46" s="959">
        <v>60</v>
      </c>
      <c r="AK46" s="959">
        <v>56.5</v>
      </c>
      <c r="AL46" s="959">
        <f>SUM(AM46:AZ46)/14</f>
        <v>58.292857142857144</v>
      </c>
      <c r="AM46" s="959">
        <v>74</v>
      </c>
      <c r="AN46" s="959">
        <v>65</v>
      </c>
      <c r="AO46" s="959">
        <v>62</v>
      </c>
      <c r="AP46" s="959">
        <v>57</v>
      </c>
      <c r="AQ46" s="959">
        <v>57.5</v>
      </c>
      <c r="AR46" s="959">
        <v>60.1</v>
      </c>
      <c r="AS46" s="959">
        <v>50</v>
      </c>
      <c r="AT46" s="959">
        <v>49.5</v>
      </c>
      <c r="AU46" s="959">
        <v>50</v>
      </c>
      <c r="AV46" s="959">
        <v>48</v>
      </c>
      <c r="AW46" s="959">
        <v>63.5</v>
      </c>
      <c r="AX46" s="959">
        <v>63</v>
      </c>
      <c r="AY46" s="959">
        <v>60</v>
      </c>
      <c r="AZ46" s="959">
        <v>56.5</v>
      </c>
      <c r="BA46" s="1360">
        <f t="shared" si="8"/>
        <v>101.9105894105894</v>
      </c>
      <c r="BB46" s="1360">
        <f t="shared" si="9"/>
        <v>99.987748100955642</v>
      </c>
      <c r="BC46" s="1371"/>
      <c r="BD46" s="1617">
        <v>58.3</v>
      </c>
      <c r="BE46" s="1613">
        <f t="shared" si="23"/>
        <v>0</v>
      </c>
    </row>
    <row r="47" spans="1:57" s="589" customFormat="1" ht="21.95" customHeight="1">
      <c r="A47" s="1791" t="s">
        <v>312</v>
      </c>
      <c r="B47" s="925" t="s">
        <v>420</v>
      </c>
      <c r="C47" s="1791" t="s">
        <v>49</v>
      </c>
      <c r="D47" s="1366">
        <v>1016</v>
      </c>
      <c r="E47" s="1366" t="e">
        <f t="shared" ref="E47:G47" si="24">E49+E51+E53+E55+E57</f>
        <v>#REF!</v>
      </c>
      <c r="F47" s="944">
        <f t="shared" si="24"/>
        <v>1007</v>
      </c>
      <c r="G47" s="944">
        <f t="shared" si="24"/>
        <v>1007</v>
      </c>
      <c r="H47" s="1357">
        <f>SUM(I47:V47)</f>
        <v>991</v>
      </c>
      <c r="I47" s="944">
        <f t="shared" ref="I47:V47" si="25">I49+I51+I53+I55+I57</f>
        <v>137</v>
      </c>
      <c r="J47" s="944">
        <f t="shared" si="25"/>
        <v>52</v>
      </c>
      <c r="K47" s="944">
        <f t="shared" si="25"/>
        <v>60</v>
      </c>
      <c r="L47" s="944">
        <f t="shared" si="25"/>
        <v>40</v>
      </c>
      <c r="M47" s="944">
        <f t="shared" si="25"/>
        <v>70</v>
      </c>
      <c r="N47" s="944">
        <f t="shared" si="25"/>
        <v>41</v>
      </c>
      <c r="O47" s="944">
        <f t="shared" si="25"/>
        <v>77</v>
      </c>
      <c r="P47" s="944">
        <f t="shared" si="25"/>
        <v>91</v>
      </c>
      <c r="Q47" s="944">
        <f t="shared" si="25"/>
        <v>78</v>
      </c>
      <c r="R47" s="944">
        <f t="shared" si="25"/>
        <v>42</v>
      </c>
      <c r="S47" s="944">
        <f t="shared" si="25"/>
        <v>70</v>
      </c>
      <c r="T47" s="944">
        <f t="shared" si="25"/>
        <v>46</v>
      </c>
      <c r="U47" s="944">
        <f t="shared" si="25"/>
        <v>56</v>
      </c>
      <c r="V47" s="944">
        <f t="shared" si="25"/>
        <v>131</v>
      </c>
      <c r="W47" s="1357">
        <f>SUM(X47:AK47)</f>
        <v>1117</v>
      </c>
      <c r="X47" s="944">
        <f t="shared" ref="X47:AK47" si="26">X49+X51+X53+X55+X57</f>
        <v>173</v>
      </c>
      <c r="Y47" s="944">
        <f t="shared" si="26"/>
        <v>56</v>
      </c>
      <c r="Z47" s="944">
        <f t="shared" si="26"/>
        <v>64</v>
      </c>
      <c r="AA47" s="944">
        <f t="shared" si="26"/>
        <v>47</v>
      </c>
      <c r="AB47" s="944">
        <f t="shared" si="26"/>
        <v>74</v>
      </c>
      <c r="AC47" s="944">
        <f t="shared" si="26"/>
        <v>45</v>
      </c>
      <c r="AD47" s="944">
        <f t="shared" si="26"/>
        <v>81</v>
      </c>
      <c r="AE47" s="944">
        <f t="shared" si="26"/>
        <v>101</v>
      </c>
      <c r="AF47" s="944">
        <f t="shared" si="26"/>
        <v>83</v>
      </c>
      <c r="AG47" s="944">
        <f t="shared" si="26"/>
        <v>42</v>
      </c>
      <c r="AH47" s="944">
        <f t="shared" si="26"/>
        <v>76</v>
      </c>
      <c r="AI47" s="944">
        <f t="shared" si="26"/>
        <v>50</v>
      </c>
      <c r="AJ47" s="944">
        <f t="shared" si="26"/>
        <v>60</v>
      </c>
      <c r="AK47" s="944">
        <f t="shared" si="26"/>
        <v>165</v>
      </c>
      <c r="AL47" s="1357">
        <f t="shared" ref="AL47" si="27">SUM(AM47:AZ47)</f>
        <v>1002</v>
      </c>
      <c r="AM47" s="944">
        <f>AM49+AM51+AM53+AM55+AM57</f>
        <v>139</v>
      </c>
      <c r="AN47" s="944">
        <f t="shared" ref="AN47:AZ47" si="28">AN49+AN51+AN53+AN55+AN57</f>
        <v>53</v>
      </c>
      <c r="AO47" s="944">
        <f t="shared" si="28"/>
        <v>60</v>
      </c>
      <c r="AP47" s="944">
        <f t="shared" si="28"/>
        <v>40</v>
      </c>
      <c r="AQ47" s="944">
        <f t="shared" si="28"/>
        <v>70</v>
      </c>
      <c r="AR47" s="944">
        <f t="shared" si="28"/>
        <v>41</v>
      </c>
      <c r="AS47" s="944">
        <f t="shared" si="28"/>
        <v>78</v>
      </c>
      <c r="AT47" s="944">
        <f t="shared" si="28"/>
        <v>93</v>
      </c>
      <c r="AU47" s="944">
        <f t="shared" si="28"/>
        <v>79</v>
      </c>
      <c r="AV47" s="944">
        <f t="shared" si="28"/>
        <v>42</v>
      </c>
      <c r="AW47" s="944">
        <f t="shared" si="28"/>
        <v>74</v>
      </c>
      <c r="AX47" s="944">
        <f t="shared" si="28"/>
        <v>43</v>
      </c>
      <c r="AY47" s="944">
        <f t="shared" si="28"/>
        <v>53</v>
      </c>
      <c r="AZ47" s="944">
        <f t="shared" si="28"/>
        <v>137</v>
      </c>
      <c r="BA47" s="1358">
        <f t="shared" si="8"/>
        <v>99.503475670307836</v>
      </c>
      <c r="BB47" s="1358">
        <f t="shared" si="9"/>
        <v>89.704565801253352</v>
      </c>
      <c r="BC47" s="1366"/>
      <c r="BD47" s="1611">
        <v>1117</v>
      </c>
      <c r="BE47" s="1612">
        <f t="shared" si="23"/>
        <v>0</v>
      </c>
    </row>
    <row r="48" spans="1:57" s="592" customFormat="1" ht="21.95" customHeight="1">
      <c r="A48" s="948"/>
      <c r="B48" s="949" t="s">
        <v>421</v>
      </c>
      <c r="C48" s="948" t="s">
        <v>26</v>
      </c>
      <c r="D48" s="1381">
        <v>86.318897637795274</v>
      </c>
      <c r="E48" s="1381" t="e">
        <f>960/E47*100</f>
        <v>#REF!</v>
      </c>
      <c r="F48" s="1382">
        <f>899/F47*100</f>
        <v>89.275074478649458</v>
      </c>
      <c r="G48" s="1383">
        <f>899/G47*100</f>
        <v>89.275074478649458</v>
      </c>
      <c r="H48" s="1381">
        <f>899/H47*100</f>
        <v>90.716448032290614</v>
      </c>
      <c r="I48" s="1381">
        <f>132/I47*100</f>
        <v>96.350364963503651</v>
      </c>
      <c r="J48" s="1381">
        <f>48/J47*100</f>
        <v>92.307692307692307</v>
      </c>
      <c r="K48" s="1381">
        <f>57/K47*100</f>
        <v>95</v>
      </c>
      <c r="L48" s="1381">
        <f>36/L47*100</f>
        <v>90</v>
      </c>
      <c r="M48" s="1381">
        <f>59/M47*100</f>
        <v>84.285714285714292</v>
      </c>
      <c r="N48" s="1381">
        <f>37/N47*100</f>
        <v>90.243902439024396</v>
      </c>
      <c r="O48" s="1381">
        <f>68/O47*100</f>
        <v>88.311688311688314</v>
      </c>
      <c r="P48" s="1381">
        <f>81/P47*100</f>
        <v>89.010989010989007</v>
      </c>
      <c r="Q48" s="1381">
        <f>72/Q47*100</f>
        <v>92.307692307692307</v>
      </c>
      <c r="R48" s="1381">
        <f>36/R47*100</f>
        <v>85.714285714285708</v>
      </c>
      <c r="S48" s="1381">
        <f>70/S47*100</f>
        <v>100</v>
      </c>
      <c r="T48" s="1381">
        <f>43/T47*100</f>
        <v>93.478260869565219</v>
      </c>
      <c r="U48" s="1381">
        <f>44/U47*100</f>
        <v>78.571428571428569</v>
      </c>
      <c r="V48" s="1381">
        <f>116/V47*100</f>
        <v>88.549618320610691</v>
      </c>
      <c r="W48" s="1381">
        <f>1021/W47*100</f>
        <v>91.405550581915847</v>
      </c>
      <c r="X48" s="1381">
        <f>168/X47*100</f>
        <v>97.109826589595372</v>
      </c>
      <c r="Y48" s="1381">
        <f>51/Y47*100</f>
        <v>91.071428571428569</v>
      </c>
      <c r="Z48" s="1381">
        <f>60/Z47*100</f>
        <v>93.75</v>
      </c>
      <c r="AA48" s="1381">
        <f>43/AA47*100</f>
        <v>91.489361702127653</v>
      </c>
      <c r="AB48" s="1381">
        <f>63/AB47*100</f>
        <v>85.13513513513513</v>
      </c>
      <c r="AC48" s="1381">
        <f>41/AC47*100</f>
        <v>91.111111111111114</v>
      </c>
      <c r="AD48" s="1381">
        <f>71/AD47*100</f>
        <v>87.654320987654316</v>
      </c>
      <c r="AE48" s="1381">
        <f>91/AE47*100</f>
        <v>90.099009900990097</v>
      </c>
      <c r="AF48" s="1381">
        <f>77/AF47*100</f>
        <v>92.771084337349393</v>
      </c>
      <c r="AG48" s="1381">
        <f>36/AG47*100</f>
        <v>85.714285714285708</v>
      </c>
      <c r="AH48" s="1381">
        <f>76/AH47*100</f>
        <v>100</v>
      </c>
      <c r="AI48" s="1381">
        <f>47/AI47*100</f>
        <v>94</v>
      </c>
      <c r="AJ48" s="1381">
        <f>48/AJ47*100</f>
        <v>80</v>
      </c>
      <c r="AK48" s="1381">
        <f>149/AK47*100</f>
        <v>90.303030303030312</v>
      </c>
      <c r="AL48" s="1381">
        <f>926/AL47*100</f>
        <v>92.415169660678643</v>
      </c>
      <c r="AM48" s="1381">
        <f>135/AM47*100</f>
        <v>97.122302158273371</v>
      </c>
      <c r="AN48" s="1381">
        <f>50/AN47*100</f>
        <v>94.339622641509436</v>
      </c>
      <c r="AO48" s="1381">
        <f>57/AO47*100</f>
        <v>95</v>
      </c>
      <c r="AP48" s="1381">
        <f>35/AP47*100</f>
        <v>87.5</v>
      </c>
      <c r="AQ48" s="1381">
        <f>63/AQ47*100</f>
        <v>90</v>
      </c>
      <c r="AR48" s="1381">
        <f>37/AR47*100</f>
        <v>90.243902439024396</v>
      </c>
      <c r="AS48" s="1381">
        <f>69/AS47*100</f>
        <v>88.461538461538453</v>
      </c>
      <c r="AT48" s="1381">
        <f>84/AT47*100</f>
        <v>90.322580645161281</v>
      </c>
      <c r="AU48" s="1381">
        <f>74/AU47*100</f>
        <v>93.670886075949369</v>
      </c>
      <c r="AV48" s="1381">
        <f>38/AV47*100</f>
        <v>90.476190476190482</v>
      </c>
      <c r="AW48" s="1381">
        <f>74/AW47*100</f>
        <v>100</v>
      </c>
      <c r="AX48" s="1381">
        <f>40/AX47*100</f>
        <v>93.023255813953483</v>
      </c>
      <c r="AY48" s="1381">
        <f>47/AY47*100</f>
        <v>88.679245283018872</v>
      </c>
      <c r="AZ48" s="1381">
        <f>123/AZ47*100</f>
        <v>89.78102189781022</v>
      </c>
      <c r="BA48" s="1989">
        <f t="shared" si="8"/>
        <v>103.51732574894703</v>
      </c>
      <c r="BB48" s="1989">
        <f t="shared" si="9"/>
        <v>101.10454898234872</v>
      </c>
      <c r="BC48" s="1381"/>
      <c r="BD48" s="1618">
        <v>91.2</v>
      </c>
      <c r="BE48" s="1615">
        <f t="shared" si="23"/>
        <v>0.20555058191584408</v>
      </c>
    </row>
    <row r="49" spans="1:57" s="593" customFormat="1" ht="21.95" customHeight="1">
      <c r="A49" s="640"/>
      <c r="B49" s="1186" t="s">
        <v>422</v>
      </c>
      <c r="C49" s="640" t="s">
        <v>49</v>
      </c>
      <c r="D49" s="1278">
        <v>340</v>
      </c>
      <c r="E49" s="1278" t="e">
        <f>SUM(#REF!)</f>
        <v>#REF!</v>
      </c>
      <c r="F49" s="1384">
        <v>340</v>
      </c>
      <c r="G49" s="1385">
        <v>340</v>
      </c>
      <c r="H49" s="1284">
        <f>SUM(I49:V49)</f>
        <v>333</v>
      </c>
      <c r="I49" s="1278">
        <v>39</v>
      </c>
      <c r="J49" s="1278">
        <v>17</v>
      </c>
      <c r="K49" s="1278">
        <v>20</v>
      </c>
      <c r="L49" s="1278">
        <v>16</v>
      </c>
      <c r="M49" s="1278">
        <v>29</v>
      </c>
      <c r="N49" s="1278">
        <v>14</v>
      </c>
      <c r="O49" s="1278">
        <v>25</v>
      </c>
      <c r="P49" s="1278">
        <v>32</v>
      </c>
      <c r="Q49" s="1278">
        <v>32</v>
      </c>
      <c r="R49" s="1278">
        <v>14</v>
      </c>
      <c r="S49" s="1278">
        <v>14</v>
      </c>
      <c r="T49" s="1278">
        <v>15</v>
      </c>
      <c r="U49" s="1278">
        <v>22</v>
      </c>
      <c r="V49" s="1278">
        <v>44</v>
      </c>
      <c r="W49" s="1284">
        <f>SUM(X49:AK49)</f>
        <v>347</v>
      </c>
      <c r="X49" s="1278">
        <v>39</v>
      </c>
      <c r="Y49" s="1278">
        <v>18</v>
      </c>
      <c r="Z49" s="1278">
        <v>21</v>
      </c>
      <c r="AA49" s="1278">
        <v>16</v>
      </c>
      <c r="AB49" s="1278">
        <v>29</v>
      </c>
      <c r="AC49" s="1278">
        <v>14</v>
      </c>
      <c r="AD49" s="1278">
        <v>25</v>
      </c>
      <c r="AE49" s="1278">
        <v>33</v>
      </c>
      <c r="AF49" s="1278">
        <v>32</v>
      </c>
      <c r="AG49" s="1278">
        <v>14</v>
      </c>
      <c r="AH49" s="1278">
        <v>15</v>
      </c>
      <c r="AI49" s="1278">
        <v>15</v>
      </c>
      <c r="AJ49" s="1278">
        <v>23</v>
      </c>
      <c r="AK49" s="1278">
        <v>53</v>
      </c>
      <c r="AL49" s="1284">
        <f t="shared" ref="AL49" si="29">SUM(AM49:AZ49)</f>
        <v>340</v>
      </c>
      <c r="AM49" s="1278">
        <v>39</v>
      </c>
      <c r="AN49" s="1278">
        <v>18</v>
      </c>
      <c r="AO49" s="1278">
        <v>21</v>
      </c>
      <c r="AP49" s="1278">
        <v>16</v>
      </c>
      <c r="AQ49" s="1278">
        <v>29</v>
      </c>
      <c r="AR49" s="1278">
        <v>14</v>
      </c>
      <c r="AS49" s="1278">
        <v>25</v>
      </c>
      <c r="AT49" s="1278">
        <v>32</v>
      </c>
      <c r="AU49" s="1278">
        <v>32</v>
      </c>
      <c r="AV49" s="1278">
        <v>14</v>
      </c>
      <c r="AW49" s="1278">
        <v>15</v>
      </c>
      <c r="AX49" s="1278">
        <v>15</v>
      </c>
      <c r="AY49" s="1278">
        <v>22</v>
      </c>
      <c r="AZ49" s="1278">
        <v>48</v>
      </c>
      <c r="BA49" s="1360">
        <f t="shared" si="8"/>
        <v>100</v>
      </c>
      <c r="BB49" s="1360">
        <f t="shared" si="9"/>
        <v>97.982708933717575</v>
      </c>
      <c r="BC49" s="1278"/>
      <c r="BD49" s="1619">
        <v>347</v>
      </c>
      <c r="BE49" s="1613">
        <f t="shared" si="23"/>
        <v>0</v>
      </c>
    </row>
    <row r="50" spans="1:57" s="592" customFormat="1" ht="21.95" customHeight="1">
      <c r="A50" s="948"/>
      <c r="B50" s="949" t="s">
        <v>421</v>
      </c>
      <c r="C50" s="948" t="s">
        <v>26</v>
      </c>
      <c r="D50" s="1381">
        <v>88.529411764705884</v>
      </c>
      <c r="E50" s="1381" t="e">
        <f>313/E49*100</f>
        <v>#REF!</v>
      </c>
      <c r="F50" s="1382">
        <f>309/F49*100</f>
        <v>90.882352941176464</v>
      </c>
      <c r="G50" s="1383">
        <f>309/G49*100</f>
        <v>90.882352941176464</v>
      </c>
      <c r="H50" s="1386">
        <f>310/H49*100</f>
        <v>93.093093093093088</v>
      </c>
      <c r="I50" s="1381">
        <f>38/I49*100</f>
        <v>97.435897435897431</v>
      </c>
      <c r="J50" s="1381">
        <f>17/J49*100</f>
        <v>100</v>
      </c>
      <c r="K50" s="1381">
        <f>20/K49*100</f>
        <v>100</v>
      </c>
      <c r="L50" s="1381">
        <f>16/L49*100</f>
        <v>100</v>
      </c>
      <c r="M50" s="1381">
        <f>27/M49*100</f>
        <v>93.103448275862064</v>
      </c>
      <c r="N50" s="1381">
        <f>13/N49*100</f>
        <v>92.857142857142861</v>
      </c>
      <c r="O50" s="1381">
        <f>24/O49*100</f>
        <v>96</v>
      </c>
      <c r="P50" s="1381">
        <f>31/P49*100</f>
        <v>96.875</v>
      </c>
      <c r="Q50" s="1381">
        <f>29/Q49*100</f>
        <v>90.625</v>
      </c>
      <c r="R50" s="1381">
        <f>10/R49*100</f>
        <v>71.428571428571431</v>
      </c>
      <c r="S50" s="1381">
        <f>14/S49*100</f>
        <v>100</v>
      </c>
      <c r="T50" s="1381">
        <f>14/T49*100</f>
        <v>93.333333333333329</v>
      </c>
      <c r="U50" s="1381">
        <f>15/U49*100</f>
        <v>68.181818181818173</v>
      </c>
      <c r="V50" s="1381">
        <f>42/V49*100</f>
        <v>95.454545454545453</v>
      </c>
      <c r="W50" s="1381">
        <f>324/W49*100</f>
        <v>93.371757925072046</v>
      </c>
      <c r="X50" s="1381">
        <f>38/X49*100</f>
        <v>97.435897435897431</v>
      </c>
      <c r="Y50" s="1381">
        <f>18/Y49*100</f>
        <v>100</v>
      </c>
      <c r="Z50" s="1381">
        <f>21/Z49*100</f>
        <v>100</v>
      </c>
      <c r="AA50" s="1381">
        <f>16/AA49*100</f>
        <v>100</v>
      </c>
      <c r="AB50" s="1381">
        <f>27/AB49*100</f>
        <v>93.103448275862064</v>
      </c>
      <c r="AC50" s="1381">
        <f>13/AC49*100</f>
        <v>92.857142857142861</v>
      </c>
      <c r="AD50" s="1381">
        <f>24/AD49*100</f>
        <v>96</v>
      </c>
      <c r="AE50" s="1381">
        <f>32/AE49*100</f>
        <v>96.969696969696969</v>
      </c>
      <c r="AF50" s="1381">
        <f>29/AF49*100</f>
        <v>90.625</v>
      </c>
      <c r="AG50" s="1381">
        <f>10/AG49*100</f>
        <v>71.428571428571431</v>
      </c>
      <c r="AH50" s="1381">
        <f>15/AH49*100</f>
        <v>100</v>
      </c>
      <c r="AI50" s="1381">
        <f>14/AI49*100</f>
        <v>93.333333333333329</v>
      </c>
      <c r="AJ50" s="1381">
        <f>16/AJ49*100</f>
        <v>69.565217391304344</v>
      </c>
      <c r="AK50" s="1381">
        <f>51/AK49*100</f>
        <v>96.226415094339629</v>
      </c>
      <c r="AL50" s="1381">
        <f>329/AL49*100</f>
        <v>96.764705882352942</v>
      </c>
      <c r="AM50" s="1381">
        <f>39/AM49*100</f>
        <v>100</v>
      </c>
      <c r="AN50" s="1381">
        <f>18/AN49*100</f>
        <v>100</v>
      </c>
      <c r="AO50" s="1381">
        <f>21/AO49*100</f>
        <v>100</v>
      </c>
      <c r="AP50" s="1381">
        <f>16/AP49*100</f>
        <v>100</v>
      </c>
      <c r="AQ50" s="1381">
        <f>28/AQ49*100</f>
        <v>96.551724137931032</v>
      </c>
      <c r="AR50" s="1381">
        <f>13/AR49*100</f>
        <v>92.857142857142861</v>
      </c>
      <c r="AS50" s="1381">
        <f>25/AS49*100</f>
        <v>100</v>
      </c>
      <c r="AT50" s="1381">
        <f>32/AT49*100</f>
        <v>100</v>
      </c>
      <c r="AU50" s="1381">
        <f>29/AU49*100</f>
        <v>90.625</v>
      </c>
      <c r="AV50" s="1381">
        <f>12/AV49*100</f>
        <v>85.714285714285708</v>
      </c>
      <c r="AW50" s="1381">
        <f>15/AW49*100</f>
        <v>100</v>
      </c>
      <c r="AX50" s="1381">
        <f>14/AX49*100</f>
        <v>93.333333333333329</v>
      </c>
      <c r="AY50" s="1381">
        <f>21/AY49*100</f>
        <v>95.454545454545453</v>
      </c>
      <c r="AZ50" s="1381">
        <f>46/AZ49*100</f>
        <v>95.833333333333343</v>
      </c>
      <c r="BA50" s="1989">
        <f t="shared" si="8"/>
        <v>106.47249190938513</v>
      </c>
      <c r="BB50" s="1989">
        <f t="shared" si="9"/>
        <v>103.63380537400145</v>
      </c>
      <c r="BC50" s="1381"/>
      <c r="BD50" s="1620">
        <v>93.4</v>
      </c>
      <c r="BE50" s="1615">
        <f t="shared" si="23"/>
        <v>-2.8242074927959493E-2</v>
      </c>
    </row>
    <row r="51" spans="1:57" s="593" customFormat="1" ht="21.95" customHeight="1">
      <c r="A51" s="640"/>
      <c r="B51" s="1186" t="s">
        <v>423</v>
      </c>
      <c r="C51" s="640" t="s">
        <v>49</v>
      </c>
      <c r="D51" s="1278">
        <v>407</v>
      </c>
      <c r="E51" s="1278" t="e">
        <f>SUM(#REF!)</f>
        <v>#REF!</v>
      </c>
      <c r="F51" s="1384">
        <v>401</v>
      </c>
      <c r="G51" s="1385">
        <v>401</v>
      </c>
      <c r="H51" s="1284">
        <f>SUM(I51:V51)</f>
        <v>394</v>
      </c>
      <c r="I51" s="1278">
        <v>38</v>
      </c>
      <c r="J51" s="1278">
        <v>23</v>
      </c>
      <c r="K51" s="1278">
        <v>24</v>
      </c>
      <c r="L51" s="1278">
        <v>18</v>
      </c>
      <c r="M51" s="1278">
        <v>32</v>
      </c>
      <c r="N51" s="1278">
        <v>17</v>
      </c>
      <c r="O51" s="1278">
        <v>36</v>
      </c>
      <c r="P51" s="1278">
        <v>42</v>
      </c>
      <c r="Q51" s="1278">
        <v>31</v>
      </c>
      <c r="R51" s="1278">
        <v>15</v>
      </c>
      <c r="S51" s="1278">
        <v>19</v>
      </c>
      <c r="T51" s="1278">
        <v>17</v>
      </c>
      <c r="U51" s="1278">
        <v>22</v>
      </c>
      <c r="V51" s="1278">
        <v>60</v>
      </c>
      <c r="W51" s="1284">
        <f>SUM(X51:AK51)</f>
        <v>402</v>
      </c>
      <c r="X51" s="1278">
        <v>38</v>
      </c>
      <c r="Y51" s="1278">
        <v>24</v>
      </c>
      <c r="Z51" s="1278">
        <v>24</v>
      </c>
      <c r="AA51" s="1278">
        <v>19</v>
      </c>
      <c r="AB51" s="1278">
        <v>32</v>
      </c>
      <c r="AC51" s="1278">
        <v>17</v>
      </c>
      <c r="AD51" s="1278">
        <v>37</v>
      </c>
      <c r="AE51" s="1278">
        <v>42</v>
      </c>
      <c r="AF51" s="1278">
        <v>31</v>
      </c>
      <c r="AG51" s="1278">
        <v>15</v>
      </c>
      <c r="AH51" s="1278">
        <v>19</v>
      </c>
      <c r="AI51" s="1278">
        <v>17</v>
      </c>
      <c r="AJ51" s="1278">
        <v>22</v>
      </c>
      <c r="AK51" s="1278">
        <v>65</v>
      </c>
      <c r="AL51" s="1284">
        <f t="shared" ref="AL51" si="30">SUM(AM51:AZ51)</f>
        <v>394</v>
      </c>
      <c r="AM51" s="1278">
        <v>38</v>
      </c>
      <c r="AN51" s="1278">
        <v>23</v>
      </c>
      <c r="AO51" s="1278">
        <v>24</v>
      </c>
      <c r="AP51" s="1278">
        <v>19</v>
      </c>
      <c r="AQ51" s="1278">
        <v>31</v>
      </c>
      <c r="AR51" s="1278">
        <v>17</v>
      </c>
      <c r="AS51" s="1278">
        <v>36</v>
      </c>
      <c r="AT51" s="1278">
        <v>42</v>
      </c>
      <c r="AU51" s="1278">
        <v>31</v>
      </c>
      <c r="AV51" s="1278">
        <v>15</v>
      </c>
      <c r="AW51" s="1278">
        <v>19</v>
      </c>
      <c r="AX51" s="1278">
        <v>16</v>
      </c>
      <c r="AY51" s="1278">
        <v>21</v>
      </c>
      <c r="AZ51" s="1278">
        <v>62</v>
      </c>
      <c r="BA51" s="1360">
        <f t="shared" si="8"/>
        <v>98.254364089775564</v>
      </c>
      <c r="BB51" s="1360">
        <f t="shared" si="9"/>
        <v>98.009950248756226</v>
      </c>
      <c r="BC51" s="1278"/>
      <c r="BD51" s="1619">
        <v>402</v>
      </c>
      <c r="BE51" s="1613">
        <f t="shared" si="23"/>
        <v>0</v>
      </c>
    </row>
    <row r="52" spans="1:57" s="592" customFormat="1" ht="21.95" customHeight="1">
      <c r="A52" s="948"/>
      <c r="B52" s="949" t="s">
        <v>421</v>
      </c>
      <c r="C52" s="948" t="s">
        <v>26</v>
      </c>
      <c r="D52" s="1381">
        <v>79.852579852579851</v>
      </c>
      <c r="E52" s="1381" t="e">
        <f>333/E51*100</f>
        <v>#REF!</v>
      </c>
      <c r="F52" s="1382">
        <f>341/F51*100</f>
        <v>85.037406483790519</v>
      </c>
      <c r="G52" s="1383">
        <f>341/G51*100</f>
        <v>85.037406483790519</v>
      </c>
      <c r="H52" s="1386">
        <f>339/H51*100</f>
        <v>86.040609137055839</v>
      </c>
      <c r="I52" s="1381">
        <f>35/I51*100</f>
        <v>92.10526315789474</v>
      </c>
      <c r="J52" s="1381">
        <f>20/J51*100</f>
        <v>86.956521739130437</v>
      </c>
      <c r="K52" s="1381">
        <f>22/K51*100</f>
        <v>91.666666666666657</v>
      </c>
      <c r="L52" s="1381">
        <f>14/L51*100</f>
        <v>77.777777777777786</v>
      </c>
      <c r="M52" s="1381">
        <f>26/M51*100</f>
        <v>81.25</v>
      </c>
      <c r="N52" s="1381">
        <f>14/N51*100</f>
        <v>82.35294117647058</v>
      </c>
      <c r="O52" s="1381">
        <f>30/O51*100</f>
        <v>83.333333333333343</v>
      </c>
      <c r="P52" s="1381">
        <f>35/P51*100</f>
        <v>83.333333333333343</v>
      </c>
      <c r="Q52" s="1381">
        <f>29/Q51*100</f>
        <v>93.548387096774192</v>
      </c>
      <c r="R52" s="1381">
        <f>13/R51*100</f>
        <v>86.666666666666671</v>
      </c>
      <c r="S52" s="1381">
        <f>19/S51*100</f>
        <v>100</v>
      </c>
      <c r="T52" s="1381">
        <f>16/T51*100</f>
        <v>94.117647058823522</v>
      </c>
      <c r="U52" s="1381">
        <f>18/U51*100</f>
        <v>81.818181818181827</v>
      </c>
      <c r="V52" s="1381">
        <f>48/V51*100</f>
        <v>80</v>
      </c>
      <c r="W52" s="1381">
        <f>347/W51*100</f>
        <v>86.318407960199011</v>
      </c>
      <c r="X52" s="1381">
        <f>35/X51*100</f>
        <v>92.10526315789474</v>
      </c>
      <c r="Y52" s="1381">
        <f>21/Y51*100</f>
        <v>87.5</v>
      </c>
      <c r="Z52" s="1381">
        <f>22/Z51*100</f>
        <v>91.666666666666657</v>
      </c>
      <c r="AA52" s="1381">
        <f>15/AA51*100</f>
        <v>78.94736842105263</v>
      </c>
      <c r="AB52" s="1381">
        <f>26/AB51*100</f>
        <v>81.25</v>
      </c>
      <c r="AC52" s="1381">
        <f>14/AC51*100</f>
        <v>82.35294117647058</v>
      </c>
      <c r="AD52" s="1381">
        <f>31/AD51*100</f>
        <v>83.78378378378379</v>
      </c>
      <c r="AE52" s="1381">
        <f>35/AE51*100</f>
        <v>83.333333333333343</v>
      </c>
      <c r="AF52" s="1381">
        <f>29/AF51*100</f>
        <v>93.548387096774192</v>
      </c>
      <c r="AG52" s="1381">
        <f>13/AG51*100</f>
        <v>86.666666666666671</v>
      </c>
      <c r="AH52" s="1381">
        <f>19/AH51*100</f>
        <v>100</v>
      </c>
      <c r="AI52" s="1381">
        <f>16/AI51*100</f>
        <v>94.117647058823522</v>
      </c>
      <c r="AJ52" s="1381">
        <f>18/AJ51*100</f>
        <v>81.818181818181827</v>
      </c>
      <c r="AK52" s="1381">
        <f>53/AK51*100</f>
        <v>81.538461538461533</v>
      </c>
      <c r="AL52" s="1381">
        <f>343/AL51*100</f>
        <v>87.055837563451774</v>
      </c>
      <c r="AM52" s="1381">
        <f>35/AM51*100</f>
        <v>92.10526315789474</v>
      </c>
      <c r="AN52" s="1381">
        <f>20/AN51*100</f>
        <v>86.956521739130437</v>
      </c>
      <c r="AO52" s="1381">
        <f>22/AO51*100</f>
        <v>91.666666666666657</v>
      </c>
      <c r="AP52" s="1381">
        <f>14/AP51*100</f>
        <v>73.68421052631578</v>
      </c>
      <c r="AQ52" s="1381">
        <f>28/AQ51*100</f>
        <v>90.322580645161281</v>
      </c>
      <c r="AR52" s="1381">
        <f>14/AR51*100</f>
        <v>82.35294117647058</v>
      </c>
      <c r="AS52" s="1381">
        <f>30/AS51*100</f>
        <v>83.333333333333343</v>
      </c>
      <c r="AT52" s="1381">
        <f>35/AT51*100</f>
        <v>83.333333333333343</v>
      </c>
      <c r="AU52" s="1381">
        <f>30/AU51*100</f>
        <v>96.774193548387103</v>
      </c>
      <c r="AV52" s="1381">
        <f>13/AV51*100</f>
        <v>86.666666666666671</v>
      </c>
      <c r="AW52" s="1381">
        <f>19/AW51*100</f>
        <v>100</v>
      </c>
      <c r="AX52" s="1381">
        <f>15/AX51*100</f>
        <v>93.75</v>
      </c>
      <c r="AY52" s="1381">
        <f>17/AY51*100</f>
        <v>80.952380952380949</v>
      </c>
      <c r="AZ52" s="1381">
        <f>51/AZ51*100</f>
        <v>82.258064516129039</v>
      </c>
      <c r="BA52" s="1989">
        <f t="shared" si="8"/>
        <v>102.37358024323801</v>
      </c>
      <c r="BB52" s="1989">
        <f t="shared" si="9"/>
        <v>100.85431325794701</v>
      </c>
      <c r="BC52" s="1381"/>
      <c r="BD52" s="1620">
        <v>86.3</v>
      </c>
      <c r="BE52" s="1615">
        <f t="shared" si="23"/>
        <v>1.8407960199013473E-2</v>
      </c>
    </row>
    <row r="53" spans="1:57" s="593" customFormat="1" ht="20.100000000000001" customHeight="1">
      <c r="A53" s="640"/>
      <c r="B53" s="1186" t="s">
        <v>424</v>
      </c>
      <c r="C53" s="640" t="s">
        <v>49</v>
      </c>
      <c r="D53" s="1278">
        <v>204</v>
      </c>
      <c r="E53" s="1278" t="e">
        <f>SUM(#REF!)</f>
        <v>#REF!</v>
      </c>
      <c r="F53" s="1384">
        <v>199</v>
      </c>
      <c r="G53" s="1385">
        <v>199</v>
      </c>
      <c r="H53" s="1284">
        <f>SUM(I53:V53)</f>
        <v>197</v>
      </c>
      <c r="I53" s="1278">
        <v>17</v>
      </c>
      <c r="J53" s="1278">
        <v>12</v>
      </c>
      <c r="K53" s="1278">
        <v>16</v>
      </c>
      <c r="L53" s="1278">
        <v>6</v>
      </c>
      <c r="M53" s="1278">
        <v>9</v>
      </c>
      <c r="N53" s="1278">
        <v>10</v>
      </c>
      <c r="O53" s="1278">
        <v>16</v>
      </c>
      <c r="P53" s="1278">
        <v>17</v>
      </c>
      <c r="Q53" s="1278">
        <v>15</v>
      </c>
      <c r="R53" s="1278">
        <v>13</v>
      </c>
      <c r="S53" s="1278">
        <v>13</v>
      </c>
      <c r="T53" s="1278">
        <v>14</v>
      </c>
      <c r="U53" s="1278">
        <v>12</v>
      </c>
      <c r="V53" s="1278">
        <v>27</v>
      </c>
      <c r="W53" s="1284">
        <f>SUM(X53:AK53)</f>
        <v>273</v>
      </c>
      <c r="X53" s="1278">
        <v>25</v>
      </c>
      <c r="Y53" s="1278">
        <v>14</v>
      </c>
      <c r="Z53" s="1278">
        <v>19</v>
      </c>
      <c r="AA53" s="1278">
        <v>12</v>
      </c>
      <c r="AB53" s="1278">
        <v>13</v>
      </c>
      <c r="AC53" s="1278">
        <v>14</v>
      </c>
      <c r="AD53" s="1278">
        <v>19</v>
      </c>
      <c r="AE53" s="1278">
        <v>26</v>
      </c>
      <c r="AF53" s="1278">
        <v>20</v>
      </c>
      <c r="AG53" s="1278">
        <v>13</v>
      </c>
      <c r="AH53" s="1278">
        <v>18</v>
      </c>
      <c r="AI53" s="1278">
        <v>18</v>
      </c>
      <c r="AJ53" s="1278">
        <v>15</v>
      </c>
      <c r="AK53" s="1278">
        <v>47</v>
      </c>
      <c r="AL53" s="1284">
        <f t="shared" ref="AL53" si="31">SUM(AM53:AZ53)</f>
        <v>201</v>
      </c>
      <c r="AM53" s="1278">
        <v>19</v>
      </c>
      <c r="AN53" s="1278">
        <v>12</v>
      </c>
      <c r="AO53" s="1278">
        <v>15</v>
      </c>
      <c r="AP53" s="1278">
        <v>5</v>
      </c>
      <c r="AQ53" s="1278">
        <v>10</v>
      </c>
      <c r="AR53" s="1278">
        <v>10</v>
      </c>
      <c r="AS53" s="1278">
        <v>17</v>
      </c>
      <c r="AT53" s="1278">
        <v>19</v>
      </c>
      <c r="AU53" s="1278">
        <v>16</v>
      </c>
      <c r="AV53" s="1278">
        <v>13</v>
      </c>
      <c r="AW53" s="1278">
        <v>16</v>
      </c>
      <c r="AX53" s="1278">
        <v>12</v>
      </c>
      <c r="AY53" s="1278">
        <v>10</v>
      </c>
      <c r="AZ53" s="1278">
        <v>27</v>
      </c>
      <c r="BA53" s="1360">
        <f t="shared" si="8"/>
        <v>101.00502512562814</v>
      </c>
      <c r="BB53" s="1360">
        <f t="shared" si="9"/>
        <v>73.626373626373621</v>
      </c>
      <c r="BC53" s="1278"/>
      <c r="BD53" s="1619">
        <v>273</v>
      </c>
      <c r="BE53" s="1613">
        <f t="shared" si="23"/>
        <v>0</v>
      </c>
    </row>
    <row r="54" spans="1:57" s="592" customFormat="1" ht="21.95" customHeight="1">
      <c r="A54" s="948"/>
      <c r="B54" s="949" t="s">
        <v>421</v>
      </c>
      <c r="C54" s="948" t="s">
        <v>26</v>
      </c>
      <c r="D54" s="1381">
        <v>91.17647058823529</v>
      </c>
      <c r="E54" s="1381" t="e">
        <f>244/E53*100</f>
        <v>#REF!</v>
      </c>
      <c r="F54" s="1382">
        <f>182/F53*100</f>
        <v>91.457286432160799</v>
      </c>
      <c r="G54" s="1383">
        <f>182/G53*100</f>
        <v>91.457286432160799</v>
      </c>
      <c r="H54" s="1381">
        <f>183/H53*100</f>
        <v>92.89340101522842</v>
      </c>
      <c r="I54" s="1381">
        <f>16/I53*100</f>
        <v>94.117647058823522</v>
      </c>
      <c r="J54" s="1381">
        <f>11/J53*100</f>
        <v>91.666666666666657</v>
      </c>
      <c r="K54" s="1381">
        <f>15/K53*100</f>
        <v>93.75</v>
      </c>
      <c r="L54" s="1381">
        <f>6/L53*100</f>
        <v>100</v>
      </c>
      <c r="M54" s="1381">
        <f>6/M53*100</f>
        <v>66.666666666666657</v>
      </c>
      <c r="N54" s="1381">
        <f>10/N53*100</f>
        <v>100</v>
      </c>
      <c r="O54" s="1381">
        <f>14/O53*100</f>
        <v>87.5</v>
      </c>
      <c r="P54" s="1381">
        <f>15/P53*100</f>
        <v>88.235294117647058</v>
      </c>
      <c r="Q54" s="1381">
        <f>14/Q53*100</f>
        <v>93.333333333333329</v>
      </c>
      <c r="R54" s="1381">
        <f>13/R53*100</f>
        <v>100</v>
      </c>
      <c r="S54" s="1381">
        <f>13/S53*100</f>
        <v>100</v>
      </c>
      <c r="T54" s="1381">
        <f>13/T53*100</f>
        <v>92.857142857142861</v>
      </c>
      <c r="U54" s="1381">
        <f>11/U53*100</f>
        <v>91.666666666666657</v>
      </c>
      <c r="V54" s="1381">
        <f>26/V53*100</f>
        <v>96.296296296296291</v>
      </c>
      <c r="W54" s="1381">
        <f>255/W53*100</f>
        <v>93.406593406593402</v>
      </c>
      <c r="X54" s="1381">
        <f>24/X53*100</f>
        <v>96</v>
      </c>
      <c r="Y54" s="1381">
        <f>12/Y53*100</f>
        <v>85.714285714285708</v>
      </c>
      <c r="Z54" s="1381">
        <f>17/Z53*100</f>
        <v>89.473684210526315</v>
      </c>
      <c r="AA54" s="1381">
        <f>12/AA53*100</f>
        <v>100</v>
      </c>
      <c r="AB54" s="1381">
        <f>10/AB53*100</f>
        <v>76.923076923076934</v>
      </c>
      <c r="AC54" s="1381">
        <f>14/AC53*100</f>
        <v>100</v>
      </c>
      <c r="AD54" s="1381">
        <f>16/AD53*100</f>
        <v>84.210526315789465</v>
      </c>
      <c r="AE54" s="1381">
        <f>24/AE53*100</f>
        <v>92.307692307692307</v>
      </c>
      <c r="AF54" s="1381">
        <f>19/AF53*100</f>
        <v>95</v>
      </c>
      <c r="AG54" s="1381">
        <f>13/AG53*100</f>
        <v>100</v>
      </c>
      <c r="AH54" s="1381">
        <f>18/AH53*100</f>
        <v>100</v>
      </c>
      <c r="AI54" s="1381">
        <f>17/AI53*100</f>
        <v>94.444444444444443</v>
      </c>
      <c r="AJ54" s="1381">
        <f>14/AJ53*100</f>
        <v>93.333333333333329</v>
      </c>
      <c r="AK54" s="1381">
        <f>45/AK53*100</f>
        <v>95.744680851063833</v>
      </c>
      <c r="AL54" s="1381">
        <f>187/AL53*100</f>
        <v>93.03482587064677</v>
      </c>
      <c r="AM54" s="1381">
        <f>18/AM53*100</f>
        <v>94.73684210526315</v>
      </c>
      <c r="AN54" s="1381">
        <f>12/AN53*100</f>
        <v>100</v>
      </c>
      <c r="AO54" s="1381">
        <f>14/AO53*100</f>
        <v>93.333333333333329</v>
      </c>
      <c r="AP54" s="1381">
        <f>5/AP53*100</f>
        <v>100</v>
      </c>
      <c r="AQ54" s="1381">
        <f>7/AQ53*100</f>
        <v>70</v>
      </c>
      <c r="AR54" s="1381">
        <f>10/AR53*100</f>
        <v>100</v>
      </c>
      <c r="AS54" s="1381">
        <f>14/AS53*100</f>
        <v>82.35294117647058</v>
      </c>
      <c r="AT54" s="1381">
        <f>17/AT53*100</f>
        <v>89.473684210526315</v>
      </c>
      <c r="AU54" s="1381">
        <f>15/AU53*100</f>
        <v>93.75</v>
      </c>
      <c r="AV54" s="1381">
        <f>13/AV53*100</f>
        <v>100</v>
      </c>
      <c r="AW54" s="1381">
        <f>16/AW53*100</f>
        <v>100</v>
      </c>
      <c r="AX54" s="1381">
        <f>11/AX53*100</f>
        <v>91.666666666666657</v>
      </c>
      <c r="AY54" s="1381">
        <f>9/AY53*100</f>
        <v>90</v>
      </c>
      <c r="AZ54" s="1381">
        <f>26/AZ53*100</f>
        <v>96.296296296296291</v>
      </c>
      <c r="BA54" s="1989">
        <f t="shared" si="8"/>
        <v>101.72489202339949</v>
      </c>
      <c r="BB54" s="1989">
        <f t="shared" si="9"/>
        <v>99.601990049751265</v>
      </c>
      <c r="BC54" s="1381"/>
      <c r="BD54" s="1620">
        <v>93.4</v>
      </c>
      <c r="BE54" s="1615">
        <f t="shared" si="23"/>
        <v>6.5934065933959118E-3</v>
      </c>
    </row>
    <row r="55" spans="1:57" s="593" customFormat="1" ht="21.95" customHeight="1">
      <c r="A55" s="640"/>
      <c r="B55" s="1186" t="s">
        <v>425</v>
      </c>
      <c r="C55" s="640" t="s">
        <v>49</v>
      </c>
      <c r="D55" s="1278">
        <v>57</v>
      </c>
      <c r="E55" s="1278" t="e">
        <f>SUM(#REF!)</f>
        <v>#REF!</v>
      </c>
      <c r="F55" s="1384">
        <v>60</v>
      </c>
      <c r="G55" s="1385">
        <v>60</v>
      </c>
      <c r="H55" s="1284">
        <f>SUM(I55:V55)</f>
        <v>58</v>
      </c>
      <c r="I55" s="1278">
        <v>34</v>
      </c>
      <c r="J55" s="1278"/>
      <c r="K55" s="1278"/>
      <c r="L55" s="1278"/>
      <c r="M55" s="1278"/>
      <c r="N55" s="1278"/>
      <c r="O55" s="1278"/>
      <c r="P55" s="1278"/>
      <c r="Q55" s="1278"/>
      <c r="R55" s="1278"/>
      <c r="S55" s="1278">
        <v>24</v>
      </c>
      <c r="T55" s="1278"/>
      <c r="U55" s="1278"/>
      <c r="V55" s="1278"/>
      <c r="W55" s="1284">
        <f>SUM(X55:AK55)</f>
        <v>85</v>
      </c>
      <c r="X55" s="1278">
        <v>61</v>
      </c>
      <c r="Y55" s="1278"/>
      <c r="Z55" s="1278"/>
      <c r="AA55" s="1278"/>
      <c r="AB55" s="1278"/>
      <c r="AC55" s="1278"/>
      <c r="AD55" s="1278"/>
      <c r="AE55" s="1278"/>
      <c r="AF55" s="1278"/>
      <c r="AG55" s="1278"/>
      <c r="AH55" s="1278">
        <v>24</v>
      </c>
      <c r="AI55" s="1278"/>
      <c r="AJ55" s="1278"/>
      <c r="AK55" s="1278"/>
      <c r="AL55" s="1284">
        <f t="shared" ref="AL55" si="32">SUM(AM55:AZ55)</f>
        <v>57</v>
      </c>
      <c r="AM55" s="1278">
        <v>33</v>
      </c>
      <c r="AN55" s="1278"/>
      <c r="AO55" s="1278"/>
      <c r="AP55" s="1278"/>
      <c r="AQ55" s="1278"/>
      <c r="AR55" s="1278"/>
      <c r="AS55" s="1278"/>
      <c r="AT55" s="1278"/>
      <c r="AU55" s="1278"/>
      <c r="AV55" s="1278"/>
      <c r="AW55" s="1278">
        <v>24</v>
      </c>
      <c r="AX55" s="1278"/>
      <c r="AY55" s="1278"/>
      <c r="AZ55" s="1278"/>
      <c r="BA55" s="1360">
        <f t="shared" si="8"/>
        <v>95</v>
      </c>
      <c r="BB55" s="1360">
        <f t="shared" si="9"/>
        <v>67.058823529411768</v>
      </c>
      <c r="BC55" s="1278"/>
      <c r="BD55" s="1621">
        <v>85</v>
      </c>
      <c r="BE55" s="1613">
        <f t="shared" si="23"/>
        <v>0</v>
      </c>
    </row>
    <row r="56" spans="1:57" s="592" customFormat="1" ht="21.95" customHeight="1">
      <c r="A56" s="948"/>
      <c r="B56" s="949" t="s">
        <v>421</v>
      </c>
      <c r="C56" s="948" t="s">
        <v>26</v>
      </c>
      <c r="D56" s="1381">
        <v>100</v>
      </c>
      <c r="E56" s="1381" t="e">
        <f>55/E55*100</f>
        <v>#REF!</v>
      </c>
      <c r="F56" s="1387">
        <v>100</v>
      </c>
      <c r="G56" s="1388">
        <v>100</v>
      </c>
      <c r="H56" s="1381">
        <f>58/H55*100</f>
        <v>100</v>
      </c>
      <c r="I56" s="1381">
        <f>34/I55*100</f>
        <v>100</v>
      </c>
      <c r="J56" s="1381"/>
      <c r="K56" s="1381"/>
      <c r="L56" s="1381"/>
      <c r="M56" s="1381"/>
      <c r="N56" s="1381"/>
      <c r="O56" s="1381"/>
      <c r="P56" s="1381"/>
      <c r="Q56" s="1381"/>
      <c r="R56" s="1381"/>
      <c r="S56" s="1381">
        <f>24/S55*100</f>
        <v>100</v>
      </c>
      <c r="T56" s="1381"/>
      <c r="U56" s="1381"/>
      <c r="V56" s="1381"/>
      <c r="W56" s="1381">
        <v>100</v>
      </c>
      <c r="X56" s="1381">
        <v>100</v>
      </c>
      <c r="Y56" s="1381"/>
      <c r="Z56" s="1381"/>
      <c r="AA56" s="1381"/>
      <c r="AB56" s="1381"/>
      <c r="AC56" s="1381"/>
      <c r="AD56" s="1381"/>
      <c r="AE56" s="1381"/>
      <c r="AF56" s="1381"/>
      <c r="AG56" s="1381"/>
      <c r="AH56" s="1381">
        <v>100</v>
      </c>
      <c r="AI56" s="1381"/>
      <c r="AJ56" s="1381"/>
      <c r="AK56" s="1381"/>
      <c r="AL56" s="1381">
        <f>57/AL55*100</f>
        <v>100</v>
      </c>
      <c r="AM56" s="1381">
        <f>33/AM55*100</f>
        <v>100</v>
      </c>
      <c r="AN56" s="1381"/>
      <c r="AO56" s="1381"/>
      <c r="AP56" s="1381"/>
      <c r="AQ56" s="1381"/>
      <c r="AR56" s="1381"/>
      <c r="AS56" s="1381"/>
      <c r="AT56" s="1381"/>
      <c r="AU56" s="1381"/>
      <c r="AV56" s="1381"/>
      <c r="AW56" s="1381">
        <f>24/AW55*100</f>
        <v>100</v>
      </c>
      <c r="AX56" s="1381"/>
      <c r="AY56" s="1381"/>
      <c r="AZ56" s="1381"/>
      <c r="BA56" s="1989">
        <f t="shared" si="8"/>
        <v>100</v>
      </c>
      <c r="BB56" s="1989">
        <f t="shared" si="9"/>
        <v>100</v>
      </c>
      <c r="BC56" s="1381"/>
      <c r="BD56" s="1620">
        <v>100</v>
      </c>
      <c r="BE56" s="1615">
        <f t="shared" si="23"/>
        <v>0</v>
      </c>
    </row>
    <row r="57" spans="1:57" s="594" customFormat="1" ht="21.95" customHeight="1">
      <c r="A57" s="640"/>
      <c r="B57" s="1186" t="s">
        <v>426</v>
      </c>
      <c r="C57" s="640" t="s">
        <v>49</v>
      </c>
      <c r="D57" s="1278">
        <v>8</v>
      </c>
      <c r="E57" s="1278" t="e">
        <f>SUM(#REF!)</f>
        <v>#REF!</v>
      </c>
      <c r="F57" s="1384">
        <v>7</v>
      </c>
      <c r="G57" s="1385">
        <v>7</v>
      </c>
      <c r="H57" s="1284">
        <f t="shared" ref="H57" si="33">SUM(I57:V57)</f>
        <v>9</v>
      </c>
      <c r="I57" s="1278">
        <v>9</v>
      </c>
      <c r="J57" s="1278"/>
      <c r="K57" s="1278"/>
      <c r="L57" s="1278"/>
      <c r="M57" s="1278"/>
      <c r="N57" s="1278"/>
      <c r="O57" s="1278"/>
      <c r="P57" s="1278"/>
      <c r="Q57" s="1278"/>
      <c r="R57" s="1278"/>
      <c r="S57" s="1278"/>
      <c r="T57" s="1278"/>
      <c r="U57" s="1278"/>
      <c r="V57" s="1278"/>
      <c r="W57" s="1284">
        <f>SUM(X57:AK57)</f>
        <v>10</v>
      </c>
      <c r="X57" s="1278">
        <v>10</v>
      </c>
      <c r="Y57" s="1278"/>
      <c r="Z57" s="1278"/>
      <c r="AA57" s="1278"/>
      <c r="AB57" s="1278"/>
      <c r="AC57" s="1278"/>
      <c r="AD57" s="1278"/>
      <c r="AE57" s="1278"/>
      <c r="AF57" s="1278"/>
      <c r="AG57" s="1278"/>
      <c r="AH57" s="1278"/>
      <c r="AI57" s="1278"/>
      <c r="AJ57" s="1278"/>
      <c r="AK57" s="1278"/>
      <c r="AL57" s="1284">
        <f t="shared" ref="AL57" si="34">SUM(AM57:AZ57)</f>
        <v>10</v>
      </c>
      <c r="AM57" s="1278">
        <v>10</v>
      </c>
      <c r="AN57" s="1278"/>
      <c r="AO57" s="1278"/>
      <c r="AP57" s="1278"/>
      <c r="AQ57" s="1278"/>
      <c r="AR57" s="1278"/>
      <c r="AS57" s="1278"/>
      <c r="AT57" s="1278"/>
      <c r="AU57" s="1278"/>
      <c r="AV57" s="1278"/>
      <c r="AW57" s="1278"/>
      <c r="AX57" s="1278"/>
      <c r="AY57" s="1278"/>
      <c r="AZ57" s="1278"/>
      <c r="BA57" s="1360">
        <f t="shared" si="8"/>
        <v>142.85714285714283</v>
      </c>
      <c r="BB57" s="1360">
        <f t="shared" si="9"/>
        <v>100</v>
      </c>
      <c r="BC57" s="1278"/>
      <c r="BD57" s="1621">
        <v>10</v>
      </c>
      <c r="BE57" s="1613">
        <f t="shared" si="23"/>
        <v>0</v>
      </c>
    </row>
    <row r="58" spans="1:57" s="592" customFormat="1" ht="21.95" customHeight="1">
      <c r="A58" s="948"/>
      <c r="B58" s="949" t="s">
        <v>421</v>
      </c>
      <c r="C58" s="948" t="s">
        <v>26</v>
      </c>
      <c r="D58" s="1381">
        <v>100</v>
      </c>
      <c r="E58" s="1381" t="e">
        <f>12/E57*100</f>
        <v>#REF!</v>
      </c>
      <c r="F58" s="1387">
        <v>100</v>
      </c>
      <c r="G58" s="1388">
        <v>100</v>
      </c>
      <c r="H58" s="1389">
        <f>9/H57*100</f>
        <v>100</v>
      </c>
      <c r="I58" s="1381">
        <f>9/I57*100</f>
        <v>100</v>
      </c>
      <c r="J58" s="1381"/>
      <c r="K58" s="1381"/>
      <c r="L58" s="1381"/>
      <c r="M58" s="1381"/>
      <c r="N58" s="1381"/>
      <c r="O58" s="1381"/>
      <c r="P58" s="1381"/>
      <c r="Q58" s="1381"/>
      <c r="R58" s="1381"/>
      <c r="S58" s="1381"/>
      <c r="T58" s="1381"/>
      <c r="U58" s="1381"/>
      <c r="V58" s="1381"/>
      <c r="W58" s="1381">
        <v>100</v>
      </c>
      <c r="X58" s="1389">
        <f>10/X57*100</f>
        <v>100</v>
      </c>
      <c r="Y58" s="1381"/>
      <c r="Z58" s="1381"/>
      <c r="AA58" s="1381"/>
      <c r="AB58" s="1381"/>
      <c r="AC58" s="1381"/>
      <c r="AD58" s="1381"/>
      <c r="AE58" s="1381"/>
      <c r="AF58" s="1381"/>
      <c r="AG58" s="1381"/>
      <c r="AH58" s="1381"/>
      <c r="AI58" s="1381"/>
      <c r="AJ58" s="1381"/>
      <c r="AK58" s="1381"/>
      <c r="AL58" s="1381">
        <f>10/AL57*100</f>
        <v>100</v>
      </c>
      <c r="AM58" s="1381">
        <f>10/AM57*100</f>
        <v>100</v>
      </c>
      <c r="AN58" s="1381"/>
      <c r="AO58" s="1381"/>
      <c r="AP58" s="1381"/>
      <c r="AQ58" s="1381"/>
      <c r="AR58" s="1381"/>
      <c r="AS58" s="1381"/>
      <c r="AT58" s="1381"/>
      <c r="AU58" s="1381"/>
      <c r="AV58" s="1381"/>
      <c r="AW58" s="1381"/>
      <c r="AX58" s="1381"/>
      <c r="AY58" s="1381"/>
      <c r="AZ58" s="1381"/>
      <c r="BA58" s="1989">
        <f t="shared" si="8"/>
        <v>100</v>
      </c>
      <c r="BB58" s="1989">
        <f t="shared" si="9"/>
        <v>100</v>
      </c>
      <c r="BC58" s="1381"/>
      <c r="BD58" s="1620">
        <v>100</v>
      </c>
      <c r="BE58" s="1615">
        <f t="shared" si="23"/>
        <v>0</v>
      </c>
    </row>
    <row r="59" spans="1:57" s="589" customFormat="1" ht="21.95" customHeight="1">
      <c r="A59" s="1791" t="s">
        <v>427</v>
      </c>
      <c r="B59" s="925" t="s">
        <v>428</v>
      </c>
      <c r="C59" s="1791" t="s">
        <v>437</v>
      </c>
      <c r="D59" s="936">
        <v>40</v>
      </c>
      <c r="E59" s="936" t="e">
        <f>SUM(E61:E66)</f>
        <v>#REF!</v>
      </c>
      <c r="F59" s="936">
        <f t="shared" ref="F59:G59" si="35">SUM(F61:F66)</f>
        <v>40</v>
      </c>
      <c r="G59" s="936">
        <f t="shared" si="35"/>
        <v>40</v>
      </c>
      <c r="H59" s="1357">
        <f t="shared" ref="H59:H66" si="36">SUM(I59:V59)</f>
        <v>40</v>
      </c>
      <c r="I59" s="936">
        <f t="shared" ref="I59:V59" si="37">SUM(I61:I66)</f>
        <v>6</v>
      </c>
      <c r="J59" s="936">
        <f t="shared" si="37"/>
        <v>2</v>
      </c>
      <c r="K59" s="936">
        <f t="shared" si="37"/>
        <v>2</v>
      </c>
      <c r="L59" s="936">
        <f t="shared" si="37"/>
        <v>2</v>
      </c>
      <c r="M59" s="936">
        <f t="shared" si="37"/>
        <v>3</v>
      </c>
      <c r="N59" s="936">
        <f t="shared" si="37"/>
        <v>2</v>
      </c>
      <c r="O59" s="936">
        <f t="shared" si="37"/>
        <v>3</v>
      </c>
      <c r="P59" s="936">
        <f t="shared" si="37"/>
        <v>3</v>
      </c>
      <c r="Q59" s="936">
        <f t="shared" si="37"/>
        <v>2</v>
      </c>
      <c r="R59" s="936">
        <f t="shared" si="37"/>
        <v>2</v>
      </c>
      <c r="S59" s="936">
        <f t="shared" si="37"/>
        <v>4</v>
      </c>
      <c r="T59" s="936">
        <f t="shared" si="37"/>
        <v>3</v>
      </c>
      <c r="U59" s="936">
        <f t="shared" si="37"/>
        <v>3</v>
      </c>
      <c r="V59" s="936">
        <f t="shared" si="37"/>
        <v>3</v>
      </c>
      <c r="W59" s="1357">
        <f t="shared" ref="W59:W66" si="38">SUM(X59:AK59)</f>
        <v>40</v>
      </c>
      <c r="X59" s="1368">
        <f t="shared" ref="X59:AK59" si="39">SUM(X61:X66)</f>
        <v>6</v>
      </c>
      <c r="Y59" s="936">
        <f t="shared" si="39"/>
        <v>2</v>
      </c>
      <c r="Z59" s="936">
        <f t="shared" si="39"/>
        <v>2</v>
      </c>
      <c r="AA59" s="936">
        <f t="shared" si="39"/>
        <v>2</v>
      </c>
      <c r="AB59" s="936">
        <f t="shared" si="39"/>
        <v>3</v>
      </c>
      <c r="AC59" s="936">
        <f t="shared" si="39"/>
        <v>2</v>
      </c>
      <c r="AD59" s="936">
        <f t="shared" si="39"/>
        <v>3</v>
      </c>
      <c r="AE59" s="936">
        <f t="shared" si="39"/>
        <v>3</v>
      </c>
      <c r="AF59" s="936">
        <f t="shared" si="39"/>
        <v>2</v>
      </c>
      <c r="AG59" s="936">
        <f t="shared" si="39"/>
        <v>2</v>
      </c>
      <c r="AH59" s="936">
        <f t="shared" si="39"/>
        <v>4</v>
      </c>
      <c r="AI59" s="936">
        <f t="shared" si="39"/>
        <v>3</v>
      </c>
      <c r="AJ59" s="936">
        <f t="shared" si="39"/>
        <v>3</v>
      </c>
      <c r="AK59" s="936">
        <f t="shared" si="39"/>
        <v>3</v>
      </c>
      <c r="AL59" s="1357">
        <f>SUM(AM59:AZ59)</f>
        <v>40</v>
      </c>
      <c r="AM59" s="1368">
        <f>SUM(AM61:AM66)</f>
        <v>6</v>
      </c>
      <c r="AN59" s="1368">
        <f t="shared" ref="AN59:AZ59" si="40">SUM(AN61:AN66)</f>
        <v>2</v>
      </c>
      <c r="AO59" s="1368">
        <f t="shared" si="40"/>
        <v>2</v>
      </c>
      <c r="AP59" s="1368">
        <f t="shared" si="40"/>
        <v>2</v>
      </c>
      <c r="AQ59" s="1368">
        <f t="shared" si="40"/>
        <v>3</v>
      </c>
      <c r="AR59" s="1368">
        <f t="shared" si="40"/>
        <v>2</v>
      </c>
      <c r="AS59" s="1368">
        <f t="shared" si="40"/>
        <v>3</v>
      </c>
      <c r="AT59" s="1368">
        <f t="shared" si="40"/>
        <v>3</v>
      </c>
      <c r="AU59" s="1368">
        <f t="shared" si="40"/>
        <v>2</v>
      </c>
      <c r="AV59" s="1368">
        <f t="shared" si="40"/>
        <v>2</v>
      </c>
      <c r="AW59" s="1368">
        <f t="shared" si="40"/>
        <v>4</v>
      </c>
      <c r="AX59" s="1368">
        <f t="shared" si="40"/>
        <v>3</v>
      </c>
      <c r="AY59" s="1368">
        <f t="shared" si="40"/>
        <v>3</v>
      </c>
      <c r="AZ59" s="1368">
        <f t="shared" si="40"/>
        <v>3</v>
      </c>
      <c r="BA59" s="1358">
        <f t="shared" si="8"/>
        <v>100</v>
      </c>
      <c r="BB59" s="1358">
        <f t="shared" si="9"/>
        <v>100</v>
      </c>
      <c r="BC59" s="936"/>
      <c r="BD59" s="1611">
        <v>40</v>
      </c>
      <c r="BE59" s="1612">
        <f t="shared" si="23"/>
        <v>0</v>
      </c>
    </row>
    <row r="60" spans="1:57" s="590" customFormat="1" ht="33" customHeight="1">
      <c r="A60" s="951"/>
      <c r="B60" s="943" t="s">
        <v>430</v>
      </c>
      <c r="C60" s="951" t="s">
        <v>429</v>
      </c>
      <c r="D60" s="1309">
        <v>2</v>
      </c>
      <c r="E60" s="1203" t="e">
        <f>SUM(#REF!)</f>
        <v>#REF!</v>
      </c>
      <c r="F60" s="1203">
        <v>2</v>
      </c>
      <c r="G60" s="1203">
        <v>2</v>
      </c>
      <c r="H60" s="1362">
        <f t="shared" si="36"/>
        <v>2</v>
      </c>
      <c r="I60" s="1310">
        <v>1</v>
      </c>
      <c r="J60" s="1310"/>
      <c r="K60" s="1310"/>
      <c r="L60" s="1310"/>
      <c r="M60" s="1310"/>
      <c r="N60" s="1310"/>
      <c r="O60" s="1310"/>
      <c r="P60" s="1310"/>
      <c r="Q60" s="1310"/>
      <c r="R60" s="1310"/>
      <c r="S60" s="1310">
        <v>1</v>
      </c>
      <c r="T60" s="1310"/>
      <c r="U60" s="1310"/>
      <c r="V60" s="1310"/>
      <c r="W60" s="1362">
        <f t="shared" si="38"/>
        <v>2</v>
      </c>
      <c r="X60" s="1203">
        <v>1</v>
      </c>
      <c r="Y60" s="1203"/>
      <c r="Z60" s="1203"/>
      <c r="AA60" s="1203"/>
      <c r="AB60" s="1203"/>
      <c r="AC60" s="1203"/>
      <c r="AD60" s="1203"/>
      <c r="AE60" s="1203"/>
      <c r="AF60" s="1203"/>
      <c r="AG60" s="1203"/>
      <c r="AH60" s="1203">
        <v>1</v>
      </c>
      <c r="AI60" s="1203"/>
      <c r="AJ60" s="1203"/>
      <c r="AK60" s="1203"/>
      <c r="AL60" s="1362">
        <f>SUM(AM60:AZ60)</f>
        <v>2</v>
      </c>
      <c r="AM60" s="1310">
        <v>1</v>
      </c>
      <c r="AN60" s="1310"/>
      <c r="AO60" s="1310"/>
      <c r="AP60" s="1310"/>
      <c r="AQ60" s="1310"/>
      <c r="AR60" s="1310"/>
      <c r="AS60" s="1310"/>
      <c r="AT60" s="1310"/>
      <c r="AU60" s="1310"/>
      <c r="AV60" s="1310"/>
      <c r="AW60" s="1310">
        <v>1</v>
      </c>
      <c r="AX60" s="1310"/>
      <c r="AY60" s="1310"/>
      <c r="AZ60" s="1310"/>
      <c r="BA60" s="1989">
        <f t="shared" si="8"/>
        <v>100</v>
      </c>
      <c r="BB60" s="1989">
        <f t="shared" si="9"/>
        <v>100</v>
      </c>
      <c r="BC60" s="1203"/>
      <c r="BD60" s="1614">
        <v>2</v>
      </c>
      <c r="BE60" s="1615">
        <f t="shared" si="23"/>
        <v>0</v>
      </c>
    </row>
    <row r="61" spans="1:57" ht="21.95" customHeight="1">
      <c r="A61" s="947"/>
      <c r="B61" s="932" t="s">
        <v>431</v>
      </c>
      <c r="C61" s="947" t="s">
        <v>429</v>
      </c>
      <c r="D61" s="1278">
        <v>14</v>
      </c>
      <c r="E61" s="1278" t="e">
        <f>SUM(#REF!)</f>
        <v>#REF!</v>
      </c>
      <c r="F61" s="1278">
        <v>14</v>
      </c>
      <c r="G61" s="1278">
        <v>14</v>
      </c>
      <c r="H61" s="1284">
        <f t="shared" si="36"/>
        <v>14</v>
      </c>
      <c r="I61" s="1307">
        <v>1</v>
      </c>
      <c r="J61" s="1307">
        <v>1</v>
      </c>
      <c r="K61" s="1307">
        <v>1</v>
      </c>
      <c r="L61" s="1307">
        <v>1</v>
      </c>
      <c r="M61" s="1307">
        <v>1</v>
      </c>
      <c r="N61" s="1307">
        <v>1</v>
      </c>
      <c r="O61" s="1307">
        <v>1</v>
      </c>
      <c r="P61" s="1307">
        <v>1</v>
      </c>
      <c r="Q61" s="1307">
        <v>1</v>
      </c>
      <c r="R61" s="1307">
        <v>1</v>
      </c>
      <c r="S61" s="1307">
        <v>1</v>
      </c>
      <c r="T61" s="1307">
        <v>1</v>
      </c>
      <c r="U61" s="1307">
        <v>1</v>
      </c>
      <c r="V61" s="1307">
        <v>1</v>
      </c>
      <c r="W61" s="1284">
        <f t="shared" si="38"/>
        <v>14</v>
      </c>
      <c r="X61" s="1278">
        <v>1</v>
      </c>
      <c r="Y61" s="1278">
        <v>1</v>
      </c>
      <c r="Z61" s="1278">
        <v>1</v>
      </c>
      <c r="AA61" s="1278">
        <v>1</v>
      </c>
      <c r="AB61" s="1278">
        <v>1</v>
      </c>
      <c r="AC61" s="1278">
        <v>1</v>
      </c>
      <c r="AD61" s="1278">
        <v>1</v>
      </c>
      <c r="AE61" s="1278">
        <v>1</v>
      </c>
      <c r="AF61" s="1278">
        <v>1</v>
      </c>
      <c r="AG61" s="1278">
        <v>1</v>
      </c>
      <c r="AH61" s="1278">
        <v>1</v>
      </c>
      <c r="AI61" s="1278">
        <v>1</v>
      </c>
      <c r="AJ61" s="1278">
        <v>1</v>
      </c>
      <c r="AK61" s="1278">
        <v>1</v>
      </c>
      <c r="AL61" s="1362">
        <f t="shared" ref="AL61:AL66" si="41">SUM(AM61:AZ61)</f>
        <v>14</v>
      </c>
      <c r="AM61" s="1307">
        <v>1</v>
      </c>
      <c r="AN61" s="1307">
        <v>1</v>
      </c>
      <c r="AO61" s="1307">
        <v>1</v>
      </c>
      <c r="AP61" s="1307">
        <v>1</v>
      </c>
      <c r="AQ61" s="1307">
        <v>1</v>
      </c>
      <c r="AR61" s="1307">
        <v>1</v>
      </c>
      <c r="AS61" s="1307">
        <v>1</v>
      </c>
      <c r="AT61" s="1307">
        <v>1</v>
      </c>
      <c r="AU61" s="1307">
        <v>1</v>
      </c>
      <c r="AV61" s="1307">
        <v>1</v>
      </c>
      <c r="AW61" s="1307">
        <v>1</v>
      </c>
      <c r="AX61" s="1307">
        <v>1</v>
      </c>
      <c r="AY61" s="1307">
        <v>1</v>
      </c>
      <c r="AZ61" s="1307">
        <v>1</v>
      </c>
      <c r="BA61" s="1360">
        <f t="shared" si="8"/>
        <v>99.999999999999986</v>
      </c>
      <c r="BB61" s="1360">
        <f t="shared" si="9"/>
        <v>99.999999999999986</v>
      </c>
      <c r="BC61" s="1278"/>
      <c r="BD61" s="1609">
        <v>14</v>
      </c>
      <c r="BE61" s="1613">
        <f t="shared" si="23"/>
        <v>0</v>
      </c>
    </row>
    <row r="62" spans="1:57" ht="21.95" customHeight="1">
      <c r="A62" s="947"/>
      <c r="B62" s="932" t="s">
        <v>432</v>
      </c>
      <c r="C62" s="947" t="s">
        <v>429</v>
      </c>
      <c r="D62" s="1278">
        <v>7</v>
      </c>
      <c r="E62" s="1278" t="e">
        <f>SUM(#REF!)</f>
        <v>#REF!</v>
      </c>
      <c r="F62" s="1278">
        <v>7</v>
      </c>
      <c r="G62" s="1278">
        <v>7</v>
      </c>
      <c r="H62" s="1284">
        <f t="shared" si="36"/>
        <v>7</v>
      </c>
      <c r="I62" s="1307">
        <v>1</v>
      </c>
      <c r="J62" s="1307"/>
      <c r="K62" s="1307"/>
      <c r="L62" s="1307"/>
      <c r="M62" s="1307">
        <v>1</v>
      </c>
      <c r="N62" s="1307"/>
      <c r="O62" s="1307">
        <v>1</v>
      </c>
      <c r="P62" s="1307">
        <v>1</v>
      </c>
      <c r="Q62" s="1307"/>
      <c r="R62" s="1307"/>
      <c r="S62" s="1307">
        <v>1</v>
      </c>
      <c r="T62" s="1307">
        <v>1</v>
      </c>
      <c r="U62" s="1307">
        <v>1</v>
      </c>
      <c r="V62" s="1307"/>
      <c r="W62" s="1284">
        <f t="shared" si="38"/>
        <v>7</v>
      </c>
      <c r="X62" s="1278">
        <v>1</v>
      </c>
      <c r="Y62" s="1278"/>
      <c r="Z62" s="1278"/>
      <c r="AA62" s="1278"/>
      <c r="AB62" s="1278">
        <v>1</v>
      </c>
      <c r="AC62" s="1278"/>
      <c r="AD62" s="1278">
        <v>1</v>
      </c>
      <c r="AE62" s="1278">
        <v>1</v>
      </c>
      <c r="AF62" s="1278"/>
      <c r="AG62" s="1278"/>
      <c r="AH62" s="1278">
        <v>1</v>
      </c>
      <c r="AI62" s="1278">
        <v>1</v>
      </c>
      <c r="AJ62" s="1278">
        <v>1</v>
      </c>
      <c r="AK62" s="1278"/>
      <c r="AL62" s="1362">
        <f t="shared" si="41"/>
        <v>7</v>
      </c>
      <c r="AM62" s="1307">
        <v>1</v>
      </c>
      <c r="AN62" s="1307"/>
      <c r="AO62" s="1307"/>
      <c r="AP62" s="1307"/>
      <c r="AQ62" s="1307">
        <v>1</v>
      </c>
      <c r="AR62" s="1307"/>
      <c r="AS62" s="1307">
        <v>1</v>
      </c>
      <c r="AT62" s="1307">
        <v>1</v>
      </c>
      <c r="AU62" s="1307"/>
      <c r="AV62" s="1307"/>
      <c r="AW62" s="1307">
        <v>1</v>
      </c>
      <c r="AX62" s="1307">
        <v>1</v>
      </c>
      <c r="AY62" s="1307">
        <v>1</v>
      </c>
      <c r="AZ62" s="1307"/>
      <c r="BA62" s="1360">
        <f t="shared" si="8"/>
        <v>99.999999999999986</v>
      </c>
      <c r="BB62" s="1360">
        <f t="shared" si="9"/>
        <v>99.999999999999986</v>
      </c>
      <c r="BC62" s="1278"/>
      <c r="BD62" s="1609">
        <v>7</v>
      </c>
      <c r="BE62" s="1613">
        <f t="shared" si="23"/>
        <v>0</v>
      </c>
    </row>
    <row r="63" spans="1:57" ht="21.95" customHeight="1">
      <c r="A63" s="947"/>
      <c r="B63" s="932" t="s">
        <v>804</v>
      </c>
      <c r="C63" s="947" t="s">
        <v>429</v>
      </c>
      <c r="D63" s="1278">
        <v>8</v>
      </c>
      <c r="E63" s="1278" t="e">
        <f>SUM(#REF!)</f>
        <v>#REF!</v>
      </c>
      <c r="F63" s="1278">
        <v>8</v>
      </c>
      <c r="G63" s="1278">
        <v>8</v>
      </c>
      <c r="H63" s="1284">
        <f t="shared" si="36"/>
        <v>8</v>
      </c>
      <c r="I63" s="1307"/>
      <c r="J63" s="1307">
        <v>1</v>
      </c>
      <c r="K63" s="1307">
        <v>1</v>
      </c>
      <c r="L63" s="1307">
        <v>1</v>
      </c>
      <c r="M63" s="1307"/>
      <c r="N63" s="1307">
        <v>1</v>
      </c>
      <c r="O63" s="1307"/>
      <c r="P63" s="1307"/>
      <c r="Q63" s="1307">
        <v>1</v>
      </c>
      <c r="R63" s="1307">
        <v>1</v>
      </c>
      <c r="S63" s="1307"/>
      <c r="T63" s="1307"/>
      <c r="U63" s="1307"/>
      <c r="V63" s="1307">
        <v>2</v>
      </c>
      <c r="W63" s="1284">
        <f t="shared" si="38"/>
        <v>8</v>
      </c>
      <c r="X63" s="1278"/>
      <c r="Y63" s="1278">
        <v>1</v>
      </c>
      <c r="Z63" s="1278">
        <v>1</v>
      </c>
      <c r="AA63" s="1278">
        <v>1</v>
      </c>
      <c r="AB63" s="1278"/>
      <c r="AC63" s="1278">
        <v>1</v>
      </c>
      <c r="AD63" s="1278"/>
      <c r="AE63" s="1278"/>
      <c r="AF63" s="1278">
        <v>1</v>
      </c>
      <c r="AG63" s="1278">
        <v>1</v>
      </c>
      <c r="AH63" s="1278"/>
      <c r="AI63" s="1278"/>
      <c r="AJ63" s="1278"/>
      <c r="AK63" s="1278">
        <v>2</v>
      </c>
      <c r="AL63" s="1362">
        <f t="shared" si="41"/>
        <v>8</v>
      </c>
      <c r="AM63" s="1307"/>
      <c r="AN63" s="1307">
        <v>1</v>
      </c>
      <c r="AO63" s="1307">
        <v>1</v>
      </c>
      <c r="AP63" s="1307">
        <v>1</v>
      </c>
      <c r="AQ63" s="1307"/>
      <c r="AR63" s="1307">
        <v>1</v>
      </c>
      <c r="AS63" s="1307"/>
      <c r="AT63" s="1307"/>
      <c r="AU63" s="1307">
        <v>1</v>
      </c>
      <c r="AV63" s="1307">
        <v>1</v>
      </c>
      <c r="AW63" s="1307"/>
      <c r="AX63" s="1307"/>
      <c r="AY63" s="1307"/>
      <c r="AZ63" s="1307">
        <v>2</v>
      </c>
      <c r="BA63" s="1360">
        <f t="shared" si="8"/>
        <v>100</v>
      </c>
      <c r="BB63" s="1360">
        <f t="shared" si="9"/>
        <v>100</v>
      </c>
      <c r="BC63" s="1278"/>
      <c r="BD63" s="1609">
        <v>8</v>
      </c>
      <c r="BE63" s="1613">
        <f t="shared" si="23"/>
        <v>0</v>
      </c>
    </row>
    <row r="64" spans="1:57" ht="21.95" customHeight="1">
      <c r="A64" s="947"/>
      <c r="B64" s="932" t="s">
        <v>433</v>
      </c>
      <c r="C64" s="947" t="s">
        <v>429</v>
      </c>
      <c r="D64" s="1278">
        <v>7</v>
      </c>
      <c r="E64" s="1278" t="e">
        <f>SUM(#REF!)</f>
        <v>#REF!</v>
      </c>
      <c r="F64" s="1278">
        <v>7</v>
      </c>
      <c r="G64" s="1278">
        <v>7</v>
      </c>
      <c r="H64" s="1284">
        <f t="shared" si="36"/>
        <v>7</v>
      </c>
      <c r="I64" s="1307">
        <v>1</v>
      </c>
      <c r="J64" s="1307"/>
      <c r="K64" s="1307"/>
      <c r="L64" s="1307"/>
      <c r="M64" s="1307">
        <v>1</v>
      </c>
      <c r="N64" s="1307"/>
      <c r="O64" s="1307">
        <v>1</v>
      </c>
      <c r="P64" s="1307">
        <v>1</v>
      </c>
      <c r="Q64" s="1307"/>
      <c r="R64" s="1307"/>
      <c r="S64" s="1307">
        <v>1</v>
      </c>
      <c r="T64" s="1307">
        <v>1</v>
      </c>
      <c r="U64" s="1307">
        <v>1</v>
      </c>
      <c r="V64" s="1307"/>
      <c r="W64" s="1284">
        <f t="shared" si="38"/>
        <v>7</v>
      </c>
      <c r="X64" s="1278">
        <v>1</v>
      </c>
      <c r="Y64" s="1278"/>
      <c r="Z64" s="1278"/>
      <c r="AA64" s="1278"/>
      <c r="AB64" s="1278">
        <v>1</v>
      </c>
      <c r="AC64" s="1278"/>
      <c r="AD64" s="1278">
        <v>1</v>
      </c>
      <c r="AE64" s="1278">
        <v>1</v>
      </c>
      <c r="AF64" s="1278"/>
      <c r="AG64" s="1278"/>
      <c r="AH64" s="1278">
        <v>1</v>
      </c>
      <c r="AI64" s="1278">
        <v>1</v>
      </c>
      <c r="AJ64" s="1278">
        <v>1</v>
      </c>
      <c r="AK64" s="1278"/>
      <c r="AL64" s="1362">
        <f t="shared" si="41"/>
        <v>7</v>
      </c>
      <c r="AM64" s="1307">
        <v>1</v>
      </c>
      <c r="AN64" s="1307"/>
      <c r="AO64" s="1307"/>
      <c r="AP64" s="1307"/>
      <c r="AQ64" s="1307">
        <v>1</v>
      </c>
      <c r="AR64" s="1307"/>
      <c r="AS64" s="1307">
        <v>1</v>
      </c>
      <c r="AT64" s="1307">
        <v>1</v>
      </c>
      <c r="AU64" s="1307"/>
      <c r="AV64" s="1307"/>
      <c r="AW64" s="1307">
        <v>1</v>
      </c>
      <c r="AX64" s="1307">
        <v>1</v>
      </c>
      <c r="AY64" s="1307">
        <v>1</v>
      </c>
      <c r="AZ64" s="1307"/>
      <c r="BA64" s="1360">
        <f t="shared" si="8"/>
        <v>99.999999999999986</v>
      </c>
      <c r="BB64" s="1360">
        <f t="shared" si="9"/>
        <v>99.999999999999986</v>
      </c>
      <c r="BC64" s="1278"/>
      <c r="BD64" s="1609">
        <v>7</v>
      </c>
      <c r="BE64" s="1613">
        <f t="shared" si="23"/>
        <v>0</v>
      </c>
    </row>
    <row r="65" spans="1:57" ht="50.1" customHeight="1">
      <c r="A65" s="947"/>
      <c r="B65" s="932" t="s">
        <v>665</v>
      </c>
      <c r="C65" s="947" t="s">
        <v>429</v>
      </c>
      <c r="D65" s="1278">
        <v>3</v>
      </c>
      <c r="E65" s="1278" t="e">
        <f>SUM(#REF!)</f>
        <v>#REF!</v>
      </c>
      <c r="F65" s="1278">
        <v>3</v>
      </c>
      <c r="G65" s="1278">
        <v>3</v>
      </c>
      <c r="H65" s="1284">
        <f t="shared" si="36"/>
        <v>3</v>
      </c>
      <c r="I65" s="1307">
        <v>2</v>
      </c>
      <c r="J65" s="1307"/>
      <c r="K65" s="1307"/>
      <c r="L65" s="1307"/>
      <c r="M65" s="1307"/>
      <c r="N65" s="1307"/>
      <c r="O65" s="1307"/>
      <c r="P65" s="1307"/>
      <c r="Q65" s="1307"/>
      <c r="R65" s="1307"/>
      <c r="S65" s="1307">
        <v>1</v>
      </c>
      <c r="T65" s="1307"/>
      <c r="U65" s="1307"/>
      <c r="V65" s="1307"/>
      <c r="W65" s="1284">
        <f t="shared" si="38"/>
        <v>3</v>
      </c>
      <c r="X65" s="1278">
        <v>2</v>
      </c>
      <c r="Y65" s="1278"/>
      <c r="Z65" s="1278"/>
      <c r="AA65" s="1278"/>
      <c r="AB65" s="1278"/>
      <c r="AC65" s="1278"/>
      <c r="AD65" s="1278"/>
      <c r="AE65" s="1278"/>
      <c r="AF65" s="1278"/>
      <c r="AG65" s="1278"/>
      <c r="AH65" s="1278">
        <v>1</v>
      </c>
      <c r="AI65" s="1278"/>
      <c r="AJ65" s="1278"/>
      <c r="AK65" s="1278"/>
      <c r="AL65" s="1362">
        <f t="shared" si="41"/>
        <v>3</v>
      </c>
      <c r="AM65" s="1307">
        <v>2</v>
      </c>
      <c r="AN65" s="1307"/>
      <c r="AO65" s="1307"/>
      <c r="AP65" s="1307"/>
      <c r="AQ65" s="1307"/>
      <c r="AR65" s="1307"/>
      <c r="AS65" s="1307"/>
      <c r="AT65" s="1307"/>
      <c r="AU65" s="1307"/>
      <c r="AV65" s="1307"/>
      <c r="AW65" s="1307">
        <v>1</v>
      </c>
      <c r="AX65" s="1307"/>
      <c r="AY65" s="1307"/>
      <c r="AZ65" s="1307"/>
      <c r="BA65" s="1360">
        <f t="shared" si="8"/>
        <v>100</v>
      </c>
      <c r="BB65" s="1360">
        <f t="shared" si="9"/>
        <v>100</v>
      </c>
      <c r="BC65" s="1278"/>
      <c r="BD65" s="1609">
        <v>3</v>
      </c>
      <c r="BE65" s="1613">
        <f t="shared" si="23"/>
        <v>0</v>
      </c>
    </row>
    <row r="66" spans="1:57" ht="21.95" customHeight="1">
      <c r="A66" s="947"/>
      <c r="B66" s="932" t="s">
        <v>434</v>
      </c>
      <c r="C66" s="947" t="s">
        <v>429</v>
      </c>
      <c r="D66" s="1278">
        <v>1</v>
      </c>
      <c r="E66" s="1278" t="e">
        <f>SUM(#REF!)</f>
        <v>#REF!</v>
      </c>
      <c r="F66" s="1278">
        <v>1</v>
      </c>
      <c r="G66" s="1278">
        <v>1</v>
      </c>
      <c r="H66" s="1284">
        <f t="shared" si="36"/>
        <v>1</v>
      </c>
      <c r="I66" s="1307">
        <v>1</v>
      </c>
      <c r="J66" s="1307"/>
      <c r="K66" s="1307"/>
      <c r="L66" s="1307"/>
      <c r="M66" s="1307"/>
      <c r="N66" s="1307"/>
      <c r="O66" s="1307"/>
      <c r="P66" s="1307"/>
      <c r="Q66" s="1307"/>
      <c r="R66" s="1307"/>
      <c r="S66" s="1307"/>
      <c r="T66" s="1307"/>
      <c r="U66" s="1307"/>
      <c r="V66" s="1307"/>
      <c r="W66" s="1284">
        <f t="shared" si="38"/>
        <v>1</v>
      </c>
      <c r="X66" s="1278">
        <v>1</v>
      </c>
      <c r="Y66" s="1278"/>
      <c r="Z66" s="1278"/>
      <c r="AA66" s="1278"/>
      <c r="AB66" s="1278"/>
      <c r="AC66" s="1278"/>
      <c r="AD66" s="1278"/>
      <c r="AE66" s="1278"/>
      <c r="AF66" s="1278"/>
      <c r="AG66" s="1278"/>
      <c r="AH66" s="1278"/>
      <c r="AI66" s="1278"/>
      <c r="AJ66" s="1278"/>
      <c r="AK66" s="1278"/>
      <c r="AL66" s="1362">
        <f t="shared" si="41"/>
        <v>1</v>
      </c>
      <c r="AM66" s="1307">
        <v>1</v>
      </c>
      <c r="AN66" s="1307"/>
      <c r="AO66" s="1307"/>
      <c r="AP66" s="1307"/>
      <c r="AQ66" s="1307"/>
      <c r="AR66" s="1307"/>
      <c r="AS66" s="1307"/>
      <c r="AT66" s="1307"/>
      <c r="AU66" s="1307"/>
      <c r="AV66" s="1307"/>
      <c r="AW66" s="1307"/>
      <c r="AX66" s="1307"/>
      <c r="AY66" s="1307"/>
      <c r="AZ66" s="1307"/>
      <c r="BA66" s="1360">
        <f t="shared" si="8"/>
        <v>100</v>
      </c>
      <c r="BB66" s="1360">
        <f t="shared" si="9"/>
        <v>100</v>
      </c>
      <c r="BC66" s="1278"/>
      <c r="BD66" s="1609">
        <v>1</v>
      </c>
      <c r="BE66" s="1613">
        <f t="shared" si="23"/>
        <v>0</v>
      </c>
    </row>
    <row r="67" spans="1:57" ht="21.95" customHeight="1">
      <c r="A67" s="947"/>
      <c r="B67" s="932" t="s">
        <v>667</v>
      </c>
      <c r="C67" s="947" t="s">
        <v>26</v>
      </c>
      <c r="D67" s="1306">
        <v>100</v>
      </c>
      <c r="E67" s="1306" t="e">
        <f>SUM(#REF!)/14</f>
        <v>#REF!</v>
      </c>
      <c r="F67" s="1371">
        <v>100</v>
      </c>
      <c r="G67" s="1371">
        <v>100</v>
      </c>
      <c r="H67" s="1371">
        <f>SUM(I67:V67)/14</f>
        <v>100</v>
      </c>
      <c r="I67" s="1371">
        <v>100</v>
      </c>
      <c r="J67" s="1371">
        <v>100</v>
      </c>
      <c r="K67" s="1371">
        <v>100</v>
      </c>
      <c r="L67" s="1371">
        <v>100</v>
      </c>
      <c r="M67" s="1371">
        <v>100</v>
      </c>
      <c r="N67" s="1371">
        <v>100</v>
      </c>
      <c r="O67" s="1371">
        <v>100</v>
      </c>
      <c r="P67" s="1371">
        <v>100</v>
      </c>
      <c r="Q67" s="1371">
        <v>100</v>
      </c>
      <c r="R67" s="1371">
        <v>100</v>
      </c>
      <c r="S67" s="1371">
        <v>100</v>
      </c>
      <c r="T67" s="1371">
        <v>100</v>
      </c>
      <c r="U67" s="1371">
        <v>100</v>
      </c>
      <c r="V67" s="1371">
        <v>100</v>
      </c>
      <c r="W67" s="1306">
        <f>SUM(X67:AK67)/14</f>
        <v>100</v>
      </c>
      <c r="X67" s="1306">
        <v>100</v>
      </c>
      <c r="Y67" s="1306">
        <v>100</v>
      </c>
      <c r="Z67" s="1306">
        <v>100</v>
      </c>
      <c r="AA67" s="1306">
        <v>100</v>
      </c>
      <c r="AB67" s="1306">
        <v>100</v>
      </c>
      <c r="AC67" s="1306">
        <v>100</v>
      </c>
      <c r="AD67" s="1306">
        <v>100</v>
      </c>
      <c r="AE67" s="1306">
        <v>100</v>
      </c>
      <c r="AF67" s="1306">
        <v>100</v>
      </c>
      <c r="AG67" s="1306">
        <v>100</v>
      </c>
      <c r="AH67" s="1306">
        <v>100</v>
      </c>
      <c r="AI67" s="1306">
        <v>100</v>
      </c>
      <c r="AJ67" s="1306">
        <v>100</v>
      </c>
      <c r="AK67" s="1306">
        <v>100</v>
      </c>
      <c r="AL67" s="959">
        <f>SUM(AM67:AZ67)/14</f>
        <v>100</v>
      </c>
      <c r="AM67" s="1371">
        <v>100</v>
      </c>
      <c r="AN67" s="1371">
        <v>100</v>
      </c>
      <c r="AO67" s="1371">
        <v>100</v>
      </c>
      <c r="AP67" s="1371">
        <v>100</v>
      </c>
      <c r="AQ67" s="1371">
        <v>100</v>
      </c>
      <c r="AR67" s="1371">
        <v>100</v>
      </c>
      <c r="AS67" s="1371">
        <v>100</v>
      </c>
      <c r="AT67" s="1371">
        <v>100</v>
      </c>
      <c r="AU67" s="1371">
        <v>100</v>
      </c>
      <c r="AV67" s="1371">
        <v>100</v>
      </c>
      <c r="AW67" s="1371">
        <v>100</v>
      </c>
      <c r="AX67" s="1371">
        <v>100</v>
      </c>
      <c r="AY67" s="1371">
        <v>100</v>
      </c>
      <c r="AZ67" s="1371">
        <v>100</v>
      </c>
      <c r="BA67" s="1360">
        <f t="shared" si="8"/>
        <v>100</v>
      </c>
      <c r="BB67" s="1360">
        <f t="shared" si="9"/>
        <v>100</v>
      </c>
      <c r="BC67" s="1371"/>
      <c r="BD67" s="1609">
        <v>100</v>
      </c>
      <c r="BE67" s="1613">
        <f t="shared" si="23"/>
        <v>0</v>
      </c>
    </row>
    <row r="68" spans="1:57" s="589" customFormat="1" ht="21.95" customHeight="1">
      <c r="A68" s="1791" t="s">
        <v>435</v>
      </c>
      <c r="B68" s="925" t="s">
        <v>436</v>
      </c>
      <c r="C68" s="1791" t="s">
        <v>437</v>
      </c>
      <c r="D68" s="1372" t="e">
        <f>SUM(E68:R68)</f>
        <v>#REF!</v>
      </c>
      <c r="E68" s="1372" t="e">
        <f>SUM(#REF!)</f>
        <v>#REF!</v>
      </c>
      <c r="F68" s="1372">
        <v>23</v>
      </c>
      <c r="G68" s="1372">
        <v>23</v>
      </c>
      <c r="H68" s="1357">
        <f t="shared" ref="H68:H70" si="42">SUM(I68:V68)</f>
        <v>24</v>
      </c>
      <c r="I68" s="1366">
        <v>3</v>
      </c>
      <c r="J68" s="1366">
        <v>2</v>
      </c>
      <c r="K68" s="1366">
        <v>1</v>
      </c>
      <c r="L68" s="1366">
        <v>2</v>
      </c>
      <c r="M68" s="1366">
        <v>3</v>
      </c>
      <c r="N68" s="1366">
        <v>2</v>
      </c>
      <c r="O68" s="1366"/>
      <c r="P68" s="1366">
        <v>1</v>
      </c>
      <c r="Q68" s="1366">
        <v>1</v>
      </c>
      <c r="R68" s="1366"/>
      <c r="S68" s="1366">
        <v>3</v>
      </c>
      <c r="T68" s="1366">
        <v>3</v>
      </c>
      <c r="U68" s="1366">
        <v>3</v>
      </c>
      <c r="V68" s="1366"/>
      <c r="W68" s="1357">
        <f>SUM(X68:AK68)</f>
        <v>26</v>
      </c>
      <c r="X68" s="1366">
        <v>3</v>
      </c>
      <c r="Y68" s="944">
        <v>2</v>
      </c>
      <c r="Z68" s="944">
        <v>1</v>
      </c>
      <c r="AA68" s="944">
        <v>2</v>
      </c>
      <c r="AB68" s="944">
        <v>3</v>
      </c>
      <c r="AC68" s="944">
        <v>2</v>
      </c>
      <c r="AD68" s="944">
        <v>1</v>
      </c>
      <c r="AE68" s="944">
        <v>2</v>
      </c>
      <c r="AF68" s="944">
        <v>1</v>
      </c>
      <c r="AG68" s="944">
        <v>0</v>
      </c>
      <c r="AH68" s="944">
        <v>3</v>
      </c>
      <c r="AI68" s="944">
        <v>3</v>
      </c>
      <c r="AJ68" s="944">
        <v>3</v>
      </c>
      <c r="AK68" s="944">
        <v>0</v>
      </c>
      <c r="AL68" s="1357">
        <f t="shared" ref="AL68:AL70" si="43">SUM(AM68:AZ68)</f>
        <v>24</v>
      </c>
      <c r="AM68" s="1366">
        <v>3</v>
      </c>
      <c r="AN68" s="1366">
        <v>2</v>
      </c>
      <c r="AO68" s="1366">
        <v>1</v>
      </c>
      <c r="AP68" s="1366">
        <v>2</v>
      </c>
      <c r="AQ68" s="1366">
        <v>3</v>
      </c>
      <c r="AR68" s="1366">
        <v>2</v>
      </c>
      <c r="AS68" s="1366"/>
      <c r="AT68" s="1366">
        <v>1</v>
      </c>
      <c r="AU68" s="1366">
        <v>1</v>
      </c>
      <c r="AV68" s="1366"/>
      <c r="AW68" s="1366">
        <v>3</v>
      </c>
      <c r="AX68" s="1366">
        <v>3</v>
      </c>
      <c r="AY68" s="1366">
        <v>3</v>
      </c>
      <c r="AZ68" s="1366"/>
      <c r="BA68" s="1358">
        <f t="shared" si="8"/>
        <v>104.34782608695652</v>
      </c>
      <c r="BB68" s="1358">
        <f t="shared" si="9"/>
        <v>92.307692307692307</v>
      </c>
      <c r="BC68" s="1372"/>
      <c r="BD68" s="1611">
        <v>26</v>
      </c>
      <c r="BE68" s="1612">
        <f t="shared" si="23"/>
        <v>0</v>
      </c>
    </row>
    <row r="69" spans="1:57" s="400" customFormat="1" ht="21.95" customHeight="1">
      <c r="A69" s="947"/>
      <c r="B69" s="932" t="s">
        <v>438</v>
      </c>
      <c r="C69" s="947" t="s">
        <v>26</v>
      </c>
      <c r="D69" s="928">
        <f>23/39*100</f>
        <v>58.974358974358978</v>
      </c>
      <c r="E69" s="928">
        <f>24/39*100</f>
        <v>61.53846153846154</v>
      </c>
      <c r="F69" s="928">
        <f>23/39*100</f>
        <v>58.974358974358978</v>
      </c>
      <c r="G69" s="928">
        <f t="shared" ref="G69" si="44">23/39*100</f>
        <v>58.974358974358978</v>
      </c>
      <c r="H69" s="928">
        <f>24/39*100</f>
        <v>61.53846153846154</v>
      </c>
      <c r="I69" s="1390">
        <f>3/5*100</f>
        <v>60</v>
      </c>
      <c r="J69" s="1390">
        <f>2/2*100</f>
        <v>100</v>
      </c>
      <c r="K69" s="1390">
        <f>1/2*100</f>
        <v>50</v>
      </c>
      <c r="L69" s="1390">
        <f>2/2*100</f>
        <v>100</v>
      </c>
      <c r="M69" s="1390">
        <f>3/3*100</f>
        <v>100</v>
      </c>
      <c r="N69" s="1390">
        <f>2/2*100</f>
        <v>100</v>
      </c>
      <c r="O69" s="1390">
        <v>0</v>
      </c>
      <c r="P69" s="1390">
        <f>1/3*100</f>
        <v>33.333333333333329</v>
      </c>
      <c r="Q69" s="1390">
        <f>1/2*100</f>
        <v>50</v>
      </c>
      <c r="R69" s="1390">
        <v>0</v>
      </c>
      <c r="S69" s="1390">
        <f>3/4*100</f>
        <v>75</v>
      </c>
      <c r="T69" s="1390">
        <f>3/3*100</f>
        <v>100</v>
      </c>
      <c r="U69" s="1390">
        <f>3/3*100</f>
        <v>100</v>
      </c>
      <c r="V69" s="1390">
        <v>0</v>
      </c>
      <c r="W69" s="928">
        <f>26/39*100</f>
        <v>66.666666666666657</v>
      </c>
      <c r="X69" s="1391">
        <f>X68/5*100</f>
        <v>60</v>
      </c>
      <c r="Y69" s="1392">
        <f>Y68/2*100</f>
        <v>100</v>
      </c>
      <c r="Z69" s="1392">
        <f>Z68/2*100</f>
        <v>50</v>
      </c>
      <c r="AA69" s="1392">
        <f t="shared" ref="AA69:AK69" si="45">AA68/2*100</f>
        <v>100</v>
      </c>
      <c r="AB69" s="1392">
        <f>AB68/3*100</f>
        <v>100</v>
      </c>
      <c r="AC69" s="1392">
        <f t="shared" si="45"/>
        <v>100</v>
      </c>
      <c r="AD69" s="1392">
        <f>AD68/3*100</f>
        <v>33.333333333333329</v>
      </c>
      <c r="AE69" s="1392">
        <f>AE68/3*100</f>
        <v>66.666666666666657</v>
      </c>
      <c r="AF69" s="1392">
        <f t="shared" si="45"/>
        <v>50</v>
      </c>
      <c r="AG69" s="1392">
        <f t="shared" si="45"/>
        <v>0</v>
      </c>
      <c r="AH69" s="1392">
        <f>AH68/4*100</f>
        <v>75</v>
      </c>
      <c r="AI69" s="1392">
        <f>AI68/3*100</f>
        <v>100</v>
      </c>
      <c r="AJ69" s="1392">
        <f>AJ68/3*100</f>
        <v>100</v>
      </c>
      <c r="AK69" s="1392">
        <f t="shared" si="45"/>
        <v>0</v>
      </c>
      <c r="AL69" s="928">
        <f>24/39*100</f>
        <v>61.53846153846154</v>
      </c>
      <c r="AM69" s="1390">
        <f>3/5*100</f>
        <v>60</v>
      </c>
      <c r="AN69" s="1390">
        <f>2/2*100</f>
        <v>100</v>
      </c>
      <c r="AO69" s="1390">
        <f>1/2*100</f>
        <v>50</v>
      </c>
      <c r="AP69" s="1390">
        <f>2/2*100</f>
        <v>100</v>
      </c>
      <c r="AQ69" s="1390">
        <f>3/3*100</f>
        <v>100</v>
      </c>
      <c r="AR69" s="1390">
        <f>2/2*100</f>
        <v>100</v>
      </c>
      <c r="AS69" s="1390">
        <v>0</v>
      </c>
      <c r="AT69" s="1390">
        <f>1/3*100</f>
        <v>33.333333333333329</v>
      </c>
      <c r="AU69" s="1390">
        <f>1/2*100</f>
        <v>50</v>
      </c>
      <c r="AV69" s="1390">
        <v>0</v>
      </c>
      <c r="AW69" s="1390">
        <f>3/4*100</f>
        <v>75</v>
      </c>
      <c r="AX69" s="1390">
        <f>3/3*100</f>
        <v>100</v>
      </c>
      <c r="AY69" s="1390">
        <f>3/3*100</f>
        <v>100</v>
      </c>
      <c r="AZ69" s="1390">
        <v>0</v>
      </c>
      <c r="BA69" s="1360">
        <f t="shared" si="8"/>
        <v>104.34782608695652</v>
      </c>
      <c r="BB69" s="1360">
        <f t="shared" si="9"/>
        <v>92.307692307692335</v>
      </c>
      <c r="BC69" s="928"/>
      <c r="BD69" s="1617">
        <v>66.7</v>
      </c>
      <c r="BE69" s="1613">
        <f t="shared" si="23"/>
        <v>-3.3333333333345649E-2</v>
      </c>
    </row>
    <row r="70" spans="1:57" s="590" customFormat="1" ht="21.95" customHeight="1">
      <c r="A70" s="951"/>
      <c r="B70" s="943" t="s">
        <v>439</v>
      </c>
      <c r="C70" s="951" t="s">
        <v>437</v>
      </c>
      <c r="D70" s="1203" t="e">
        <f>SUM(E70:R70)</f>
        <v>#REF!</v>
      </c>
      <c r="E70" s="1203" t="e">
        <f>SUM(#REF!)</f>
        <v>#REF!</v>
      </c>
      <c r="F70" s="1203"/>
      <c r="G70" s="1203"/>
      <c r="H70" s="1359">
        <f t="shared" si="42"/>
        <v>1</v>
      </c>
      <c r="I70" s="1309"/>
      <c r="J70" s="1309"/>
      <c r="K70" s="1309"/>
      <c r="L70" s="1309">
        <v>1</v>
      </c>
      <c r="M70" s="1309"/>
      <c r="N70" s="1309"/>
      <c r="O70" s="1309"/>
      <c r="P70" s="1309"/>
      <c r="Q70" s="1309"/>
      <c r="R70" s="1309"/>
      <c r="S70" s="1309"/>
      <c r="T70" s="1309"/>
      <c r="U70" s="1309"/>
      <c r="V70" s="1309"/>
      <c r="W70" s="1359">
        <f>SUM(X70:AK70)</f>
        <v>2</v>
      </c>
      <c r="X70" s="1309"/>
      <c r="Y70" s="1308"/>
      <c r="Z70" s="1308"/>
      <c r="AA70" s="1308"/>
      <c r="AB70" s="1308"/>
      <c r="AC70" s="1308"/>
      <c r="AD70" s="1308">
        <v>1</v>
      </c>
      <c r="AE70" s="1308">
        <v>1</v>
      </c>
      <c r="AF70" s="1308"/>
      <c r="AG70" s="1308"/>
      <c r="AH70" s="1308"/>
      <c r="AI70" s="1308"/>
      <c r="AJ70" s="1308"/>
      <c r="AK70" s="1308"/>
      <c r="AL70" s="1362">
        <f t="shared" si="43"/>
        <v>0</v>
      </c>
      <c r="AM70" s="1309"/>
      <c r="AN70" s="1309"/>
      <c r="AO70" s="1309"/>
      <c r="AP70" s="1309"/>
      <c r="AQ70" s="1309"/>
      <c r="AR70" s="1309"/>
      <c r="AS70" s="1309"/>
      <c r="AT70" s="1309"/>
      <c r="AU70" s="1309"/>
      <c r="AV70" s="1309"/>
      <c r="AW70" s="1309"/>
      <c r="AX70" s="1309"/>
      <c r="AY70" s="1309"/>
      <c r="AZ70" s="1309"/>
      <c r="BA70" s="1360"/>
      <c r="BB70" s="1360"/>
      <c r="BC70" s="1203"/>
      <c r="BD70" s="1618">
        <v>2</v>
      </c>
      <c r="BE70" s="1615">
        <f t="shared" si="23"/>
        <v>0</v>
      </c>
    </row>
    <row r="71" spans="1:57" s="590" customFormat="1" ht="21.95" customHeight="1">
      <c r="A71" s="951"/>
      <c r="B71" s="932" t="s">
        <v>440</v>
      </c>
      <c r="C71" s="947" t="s">
        <v>26</v>
      </c>
      <c r="D71" s="928">
        <f>10/14*100</f>
        <v>71.428571428571431</v>
      </c>
      <c r="E71" s="928">
        <f>10/14*100</f>
        <v>71.428571428571431</v>
      </c>
      <c r="F71" s="928">
        <f>10/14*100</f>
        <v>71.428571428571431</v>
      </c>
      <c r="G71" s="928">
        <f>10/14*100</f>
        <v>71.428571428571431</v>
      </c>
      <c r="H71" s="928">
        <f>10/14*100</f>
        <v>71.428571428571431</v>
      </c>
      <c r="I71" s="1308">
        <v>100</v>
      </c>
      <c r="J71" s="1308">
        <v>100</v>
      </c>
      <c r="K71" s="1308"/>
      <c r="L71" s="1308">
        <v>100</v>
      </c>
      <c r="M71" s="1308">
        <v>100</v>
      </c>
      <c r="N71" s="1308">
        <v>100</v>
      </c>
      <c r="O71" s="1308"/>
      <c r="P71" s="1308">
        <v>100</v>
      </c>
      <c r="Q71" s="1308">
        <v>100</v>
      </c>
      <c r="R71" s="1308"/>
      <c r="S71" s="1308">
        <v>100</v>
      </c>
      <c r="T71" s="1308">
        <v>100</v>
      </c>
      <c r="U71" s="1308">
        <v>100</v>
      </c>
      <c r="V71" s="1308"/>
      <c r="W71" s="928">
        <f>10/14*100</f>
        <v>71.428571428571431</v>
      </c>
      <c r="X71" s="1371">
        <v>100</v>
      </c>
      <c r="Y71" s="959">
        <v>100</v>
      </c>
      <c r="Z71" s="959"/>
      <c r="AA71" s="959">
        <v>100</v>
      </c>
      <c r="AB71" s="959">
        <v>100</v>
      </c>
      <c r="AC71" s="959">
        <v>100</v>
      </c>
      <c r="AD71" s="959"/>
      <c r="AE71" s="959">
        <v>100</v>
      </c>
      <c r="AF71" s="959">
        <v>100</v>
      </c>
      <c r="AG71" s="959"/>
      <c r="AH71" s="959">
        <v>100</v>
      </c>
      <c r="AI71" s="959">
        <v>100</v>
      </c>
      <c r="AJ71" s="959">
        <v>100</v>
      </c>
      <c r="AK71" s="959"/>
      <c r="AL71" s="928">
        <f>10/14*100</f>
        <v>71.428571428571431</v>
      </c>
      <c r="AM71" s="1308">
        <v>100</v>
      </c>
      <c r="AN71" s="1308">
        <v>100</v>
      </c>
      <c r="AO71" s="1308"/>
      <c r="AP71" s="1308">
        <v>100</v>
      </c>
      <c r="AQ71" s="1308">
        <v>100</v>
      </c>
      <c r="AR71" s="1308">
        <v>100</v>
      </c>
      <c r="AS71" s="1308"/>
      <c r="AT71" s="1308">
        <v>100</v>
      </c>
      <c r="AU71" s="1308">
        <v>100</v>
      </c>
      <c r="AV71" s="1308"/>
      <c r="AW71" s="1308">
        <v>100</v>
      </c>
      <c r="AX71" s="1308">
        <v>100</v>
      </c>
      <c r="AY71" s="1308">
        <v>100</v>
      </c>
      <c r="AZ71" s="1308"/>
      <c r="BA71" s="1360">
        <f t="shared" si="8"/>
        <v>100</v>
      </c>
      <c r="BB71" s="1360">
        <f t="shared" si="9"/>
        <v>100</v>
      </c>
      <c r="BC71" s="928"/>
      <c r="BD71" s="1618">
        <v>71.400000000000006</v>
      </c>
      <c r="BE71" s="1613">
        <f t="shared" si="23"/>
        <v>2.8571428571424917E-2</v>
      </c>
    </row>
    <row r="72" spans="1:57" s="590" customFormat="1" ht="21.95" customHeight="1">
      <c r="A72" s="951"/>
      <c r="B72" s="932" t="s">
        <v>423</v>
      </c>
      <c r="C72" s="947" t="s">
        <v>26</v>
      </c>
      <c r="D72" s="928">
        <f>5/7*100</f>
        <v>71.428571428571431</v>
      </c>
      <c r="E72" s="928">
        <f>5/7*100</f>
        <v>71.428571428571431</v>
      </c>
      <c r="F72" s="928">
        <f>5/7*100</f>
        <v>71.428571428571431</v>
      </c>
      <c r="G72" s="928">
        <f>5/7*100</f>
        <v>71.428571428571431</v>
      </c>
      <c r="H72" s="928">
        <f>5/7*100</f>
        <v>71.428571428571431</v>
      </c>
      <c r="I72" s="1308">
        <v>100</v>
      </c>
      <c r="J72" s="1308"/>
      <c r="K72" s="1308"/>
      <c r="L72" s="1308"/>
      <c r="M72" s="1308">
        <v>100</v>
      </c>
      <c r="N72" s="1308"/>
      <c r="O72" s="1308"/>
      <c r="P72" s="1308"/>
      <c r="Q72" s="1308"/>
      <c r="R72" s="1308"/>
      <c r="S72" s="1308">
        <v>100</v>
      </c>
      <c r="T72" s="1308">
        <v>100</v>
      </c>
      <c r="U72" s="1308">
        <v>100</v>
      </c>
      <c r="V72" s="1308"/>
      <c r="W72" s="928">
        <f>7/7*100</f>
        <v>100</v>
      </c>
      <c r="X72" s="1371">
        <v>100</v>
      </c>
      <c r="Y72" s="959"/>
      <c r="Z72" s="959"/>
      <c r="AA72" s="959"/>
      <c r="AB72" s="959">
        <v>100</v>
      </c>
      <c r="AC72" s="959"/>
      <c r="AD72" s="959">
        <v>100</v>
      </c>
      <c r="AE72" s="959">
        <v>100</v>
      </c>
      <c r="AF72" s="959"/>
      <c r="AG72" s="959"/>
      <c r="AH72" s="959">
        <v>100</v>
      </c>
      <c r="AI72" s="959">
        <v>100</v>
      </c>
      <c r="AJ72" s="959">
        <v>100</v>
      </c>
      <c r="AK72" s="959"/>
      <c r="AL72" s="928">
        <f>5/7*100</f>
        <v>71.428571428571431</v>
      </c>
      <c r="AM72" s="1308">
        <v>100</v>
      </c>
      <c r="AN72" s="1308"/>
      <c r="AO72" s="1308"/>
      <c r="AP72" s="1308"/>
      <c r="AQ72" s="1308">
        <v>100</v>
      </c>
      <c r="AR72" s="1308"/>
      <c r="AS72" s="1308"/>
      <c r="AT72" s="1308"/>
      <c r="AU72" s="1308"/>
      <c r="AV72" s="1308"/>
      <c r="AW72" s="1308">
        <v>100</v>
      </c>
      <c r="AX72" s="1308">
        <v>100</v>
      </c>
      <c r="AY72" s="1308">
        <v>100</v>
      </c>
      <c r="AZ72" s="1308"/>
      <c r="BA72" s="1360">
        <f t="shared" si="8"/>
        <v>100</v>
      </c>
      <c r="BB72" s="1360">
        <f t="shared" si="9"/>
        <v>71.428571428571431</v>
      </c>
      <c r="BC72" s="928"/>
      <c r="BD72" s="1618">
        <v>100</v>
      </c>
      <c r="BE72" s="1613">
        <f t="shared" si="23"/>
        <v>0</v>
      </c>
    </row>
    <row r="73" spans="1:57" s="590" customFormat="1" ht="21.95" customHeight="1">
      <c r="A73" s="951"/>
      <c r="B73" s="932" t="s">
        <v>441</v>
      </c>
      <c r="C73" s="947" t="s">
        <v>26</v>
      </c>
      <c r="D73" s="928">
        <f>7/15*100</f>
        <v>46.666666666666664</v>
      </c>
      <c r="E73" s="928">
        <f>8/15*100</f>
        <v>53.333333333333336</v>
      </c>
      <c r="F73" s="928">
        <f>7/15*100</f>
        <v>46.666666666666664</v>
      </c>
      <c r="G73" s="928">
        <f>7/15*100</f>
        <v>46.666666666666664</v>
      </c>
      <c r="H73" s="928">
        <f>8/15*100</f>
        <v>53.333333333333336</v>
      </c>
      <c r="I73" s="1308">
        <v>100</v>
      </c>
      <c r="J73" s="1308">
        <v>100</v>
      </c>
      <c r="K73" s="1308">
        <v>100</v>
      </c>
      <c r="L73" s="1308">
        <v>100</v>
      </c>
      <c r="M73" s="1308">
        <v>100</v>
      </c>
      <c r="N73" s="1308">
        <v>100</v>
      </c>
      <c r="O73" s="1308"/>
      <c r="P73" s="1308"/>
      <c r="Q73" s="1308"/>
      <c r="R73" s="1308"/>
      <c r="S73" s="1308"/>
      <c r="T73" s="1308">
        <v>100</v>
      </c>
      <c r="U73" s="1308">
        <v>100</v>
      </c>
      <c r="V73" s="1308"/>
      <c r="W73" s="928">
        <f>8/15*100</f>
        <v>53.333333333333336</v>
      </c>
      <c r="X73" s="1371">
        <v>100</v>
      </c>
      <c r="Y73" s="959">
        <v>100</v>
      </c>
      <c r="Z73" s="959">
        <v>100</v>
      </c>
      <c r="AA73" s="959">
        <v>100</v>
      </c>
      <c r="AB73" s="959">
        <v>100</v>
      </c>
      <c r="AC73" s="959">
        <v>100</v>
      </c>
      <c r="AD73" s="1308"/>
      <c r="AE73" s="1308"/>
      <c r="AF73" s="1308"/>
      <c r="AG73" s="1308"/>
      <c r="AH73" s="1308"/>
      <c r="AI73" s="959">
        <v>100</v>
      </c>
      <c r="AJ73" s="959">
        <v>100</v>
      </c>
      <c r="AK73" s="1308"/>
      <c r="AL73" s="928">
        <f>8/15*100</f>
        <v>53.333333333333336</v>
      </c>
      <c r="AM73" s="1308">
        <v>100</v>
      </c>
      <c r="AN73" s="1308">
        <v>100</v>
      </c>
      <c r="AO73" s="1308">
        <v>100</v>
      </c>
      <c r="AP73" s="1308">
        <v>100</v>
      </c>
      <c r="AQ73" s="1308">
        <v>100</v>
      </c>
      <c r="AR73" s="1308">
        <v>100</v>
      </c>
      <c r="AS73" s="1308"/>
      <c r="AT73" s="1308"/>
      <c r="AU73" s="1308"/>
      <c r="AV73" s="1308"/>
      <c r="AW73" s="1308"/>
      <c r="AX73" s="1308">
        <v>100</v>
      </c>
      <c r="AY73" s="1308">
        <v>100</v>
      </c>
      <c r="AZ73" s="1308"/>
      <c r="BA73" s="1360">
        <f t="shared" si="8"/>
        <v>114.28571428571431</v>
      </c>
      <c r="BB73" s="1360">
        <f t="shared" si="9"/>
        <v>100</v>
      </c>
      <c r="BC73" s="928"/>
      <c r="BD73" s="1618">
        <v>53.3</v>
      </c>
      <c r="BE73" s="1613">
        <f t="shared" si="23"/>
        <v>3.3333333333338544E-2</v>
      </c>
    </row>
    <row r="74" spans="1:57" s="590" customFormat="1" ht="21.95" customHeight="1">
      <c r="A74" s="951"/>
      <c r="B74" s="932" t="s">
        <v>425</v>
      </c>
      <c r="C74" s="947" t="s">
        <v>26</v>
      </c>
      <c r="D74" s="928">
        <f>1/3*100</f>
        <v>33.333333333333329</v>
      </c>
      <c r="E74" s="928">
        <f>1/3*100</f>
        <v>33.333333333333329</v>
      </c>
      <c r="F74" s="928">
        <f>1/3*100</f>
        <v>33.333333333333329</v>
      </c>
      <c r="G74" s="928">
        <f>1/3*100</f>
        <v>33.333333333333329</v>
      </c>
      <c r="H74" s="928">
        <f>1/3*100</f>
        <v>33.333333333333329</v>
      </c>
      <c r="I74" s="1308"/>
      <c r="J74" s="1308"/>
      <c r="K74" s="1308"/>
      <c r="L74" s="1308"/>
      <c r="M74" s="1308"/>
      <c r="N74" s="1308"/>
      <c r="O74" s="1308"/>
      <c r="P74" s="1308"/>
      <c r="Q74" s="1308"/>
      <c r="R74" s="1308"/>
      <c r="S74" s="1308">
        <v>100</v>
      </c>
      <c r="T74" s="1308"/>
      <c r="U74" s="1308"/>
      <c r="V74" s="1308"/>
      <c r="W74" s="928">
        <f>1/3*100</f>
        <v>33.333333333333329</v>
      </c>
      <c r="X74" s="1309"/>
      <c r="Y74" s="1308"/>
      <c r="Z74" s="1308"/>
      <c r="AA74" s="1308"/>
      <c r="AB74" s="1308"/>
      <c r="AC74" s="1308"/>
      <c r="AD74" s="1308"/>
      <c r="AE74" s="1308"/>
      <c r="AF74" s="1308"/>
      <c r="AG74" s="1308"/>
      <c r="AH74" s="959">
        <v>100</v>
      </c>
      <c r="AI74" s="1308"/>
      <c r="AJ74" s="1308"/>
      <c r="AK74" s="1308"/>
      <c r="AL74" s="928">
        <f>1/3*100</f>
        <v>33.333333333333329</v>
      </c>
      <c r="AM74" s="1308"/>
      <c r="AN74" s="1308"/>
      <c r="AO74" s="1308"/>
      <c r="AP74" s="1308"/>
      <c r="AQ74" s="1308"/>
      <c r="AR74" s="1308"/>
      <c r="AS74" s="1308"/>
      <c r="AT74" s="1308"/>
      <c r="AU74" s="1308"/>
      <c r="AV74" s="1308"/>
      <c r="AW74" s="1308">
        <v>100</v>
      </c>
      <c r="AX74" s="1308"/>
      <c r="AY74" s="1308"/>
      <c r="AZ74" s="1308"/>
      <c r="BA74" s="1360">
        <f t="shared" si="8"/>
        <v>100.00000000000001</v>
      </c>
      <c r="BB74" s="1360">
        <f t="shared" si="9"/>
        <v>100.00000000000001</v>
      </c>
      <c r="BC74" s="928"/>
      <c r="BD74" s="1618">
        <v>33.299999999999997</v>
      </c>
      <c r="BE74" s="1613">
        <f t="shared" si="23"/>
        <v>3.3333333333331439E-2</v>
      </c>
    </row>
    <row r="75" spans="1:57" s="589" customFormat="1" ht="21.95" customHeight="1">
      <c r="A75" s="1791" t="s">
        <v>442</v>
      </c>
      <c r="B75" s="925" t="s">
        <v>443</v>
      </c>
      <c r="C75" s="1440" t="s">
        <v>204</v>
      </c>
      <c r="D75" s="944">
        <v>942</v>
      </c>
      <c r="E75" s="944" t="e">
        <f>E77+E79+E81+E83+E85</f>
        <v>#REF!</v>
      </c>
      <c r="F75" s="944">
        <f>F77+F79+F81+F83+F85</f>
        <v>941</v>
      </c>
      <c r="G75" s="944">
        <f t="shared" ref="G75" si="46">G77+G79+G81+G83+G85</f>
        <v>941</v>
      </c>
      <c r="H75" s="1357">
        <f>SUM(I75:V75)</f>
        <v>943</v>
      </c>
      <c r="I75" s="944">
        <f t="shared" ref="I75:V75" si="47">I77+I79+I81+I83+I85</f>
        <v>116</v>
      </c>
      <c r="J75" s="944">
        <f t="shared" si="47"/>
        <v>57</v>
      </c>
      <c r="K75" s="944">
        <f t="shared" si="47"/>
        <v>66</v>
      </c>
      <c r="L75" s="944">
        <f t="shared" si="47"/>
        <v>40</v>
      </c>
      <c r="M75" s="944">
        <f t="shared" si="47"/>
        <v>70</v>
      </c>
      <c r="N75" s="944">
        <f t="shared" si="47"/>
        <v>40</v>
      </c>
      <c r="O75" s="944">
        <f t="shared" si="47"/>
        <v>62</v>
      </c>
      <c r="P75" s="944">
        <f t="shared" si="47"/>
        <v>82</v>
      </c>
      <c r="Q75" s="944">
        <f t="shared" si="47"/>
        <v>66</v>
      </c>
      <c r="R75" s="944">
        <f t="shared" si="47"/>
        <v>37</v>
      </c>
      <c r="S75" s="944">
        <f t="shared" si="47"/>
        <v>81</v>
      </c>
      <c r="T75" s="944">
        <f t="shared" si="47"/>
        <v>60</v>
      </c>
      <c r="U75" s="944">
        <f t="shared" si="47"/>
        <v>49</v>
      </c>
      <c r="V75" s="944">
        <f t="shared" si="47"/>
        <v>117</v>
      </c>
      <c r="W75" s="1357">
        <f>SUM(X75:AK75)</f>
        <v>943</v>
      </c>
      <c r="X75" s="1366">
        <f t="shared" ref="X75:AK75" si="48">X77+X79+X81+X83+X85</f>
        <v>116</v>
      </c>
      <c r="Y75" s="944">
        <f t="shared" si="48"/>
        <v>57</v>
      </c>
      <c r="Z75" s="944">
        <f t="shared" si="48"/>
        <v>66</v>
      </c>
      <c r="AA75" s="944">
        <f t="shared" si="48"/>
        <v>40</v>
      </c>
      <c r="AB75" s="944">
        <f t="shared" si="48"/>
        <v>70</v>
      </c>
      <c r="AC75" s="944">
        <f t="shared" si="48"/>
        <v>40</v>
      </c>
      <c r="AD75" s="944">
        <f t="shared" si="48"/>
        <v>62</v>
      </c>
      <c r="AE75" s="944">
        <f t="shared" si="48"/>
        <v>82</v>
      </c>
      <c r="AF75" s="944">
        <f t="shared" si="48"/>
        <v>66</v>
      </c>
      <c r="AG75" s="944">
        <f t="shared" si="48"/>
        <v>37</v>
      </c>
      <c r="AH75" s="944">
        <f t="shared" si="48"/>
        <v>81</v>
      </c>
      <c r="AI75" s="944">
        <f t="shared" si="48"/>
        <v>60</v>
      </c>
      <c r="AJ75" s="944">
        <f t="shared" si="48"/>
        <v>49</v>
      </c>
      <c r="AK75" s="944">
        <f t="shared" si="48"/>
        <v>117</v>
      </c>
      <c r="AL75" s="1357">
        <f>SUM(AM75:AZ75)</f>
        <v>943</v>
      </c>
      <c r="AM75" s="944">
        <f>AM77+AM79+AM81+AM83+AM85</f>
        <v>116</v>
      </c>
      <c r="AN75" s="944">
        <f>AN77+AN79+AN81+AN83+AN85</f>
        <v>57</v>
      </c>
      <c r="AO75" s="944">
        <f t="shared" ref="AO75:AZ75" si="49">AO77+AO79+AO81+AO83+AO85</f>
        <v>66</v>
      </c>
      <c r="AP75" s="944">
        <f t="shared" si="49"/>
        <v>40</v>
      </c>
      <c r="AQ75" s="944">
        <f t="shared" si="49"/>
        <v>70</v>
      </c>
      <c r="AR75" s="944">
        <f t="shared" si="49"/>
        <v>40</v>
      </c>
      <c r="AS75" s="944">
        <f t="shared" si="49"/>
        <v>62</v>
      </c>
      <c r="AT75" s="944">
        <f t="shared" si="49"/>
        <v>82</v>
      </c>
      <c r="AU75" s="944">
        <f t="shared" si="49"/>
        <v>66</v>
      </c>
      <c r="AV75" s="944">
        <f t="shared" si="49"/>
        <v>37</v>
      </c>
      <c r="AW75" s="944">
        <f t="shared" si="49"/>
        <v>81</v>
      </c>
      <c r="AX75" s="944">
        <f t="shared" si="49"/>
        <v>60</v>
      </c>
      <c r="AY75" s="944">
        <f t="shared" si="49"/>
        <v>49</v>
      </c>
      <c r="AZ75" s="944">
        <f t="shared" si="49"/>
        <v>117</v>
      </c>
      <c r="BA75" s="1358">
        <f t="shared" ref="BA75:BA86" si="50">AL75/F75%</f>
        <v>100.2125398512221</v>
      </c>
      <c r="BB75" s="1358">
        <f t="shared" ref="BB75:BB86" si="51">AL75/W75%</f>
        <v>100</v>
      </c>
      <c r="BC75" s="944"/>
      <c r="BD75" s="1611">
        <v>942</v>
      </c>
      <c r="BE75" s="1612">
        <f t="shared" si="23"/>
        <v>1</v>
      </c>
    </row>
    <row r="76" spans="1:57" s="590" customFormat="1" ht="21.95" customHeight="1">
      <c r="A76" s="951"/>
      <c r="B76" s="943" t="s">
        <v>444</v>
      </c>
      <c r="C76" s="951" t="s">
        <v>26</v>
      </c>
      <c r="D76" s="1393">
        <v>98.301486199575379</v>
      </c>
      <c r="E76" s="1393" t="e">
        <f>926/E75*100</f>
        <v>#REF!</v>
      </c>
      <c r="F76" s="1382">
        <f>930/F75*100</f>
        <v>98.831030818278435</v>
      </c>
      <c r="G76" s="1382">
        <f>930/G75*100</f>
        <v>98.831030818278435</v>
      </c>
      <c r="H76" s="1382">
        <f>935/H75*100</f>
        <v>99.151643690349943</v>
      </c>
      <c r="I76" s="1393">
        <f>116/I75*100</f>
        <v>100</v>
      </c>
      <c r="J76" s="1393">
        <f>57/J75*100</f>
        <v>100</v>
      </c>
      <c r="K76" s="1393">
        <f>66/K75*100</f>
        <v>100</v>
      </c>
      <c r="L76" s="1393">
        <f>40/L75*100</f>
        <v>100</v>
      </c>
      <c r="M76" s="1393">
        <f>70/M75*100</f>
        <v>100</v>
      </c>
      <c r="N76" s="1393">
        <f>40/N75*100</f>
        <v>100</v>
      </c>
      <c r="O76" s="1393">
        <f>62/O75*100</f>
        <v>100</v>
      </c>
      <c r="P76" s="1393">
        <f>78/P75*100</f>
        <v>95.121951219512198</v>
      </c>
      <c r="Q76" s="1393">
        <f>66/Q75*100</f>
        <v>100</v>
      </c>
      <c r="R76" s="1393">
        <f>37/R75*100</f>
        <v>100</v>
      </c>
      <c r="S76" s="1393">
        <f>81/S75*100</f>
        <v>100</v>
      </c>
      <c r="T76" s="1393">
        <f>60/T75*100</f>
        <v>100</v>
      </c>
      <c r="U76" s="1393">
        <f>49/U75*100</f>
        <v>100</v>
      </c>
      <c r="V76" s="1393">
        <f>114/V75*100</f>
        <v>97.435897435897431</v>
      </c>
      <c r="W76" s="1382">
        <f>935/W75*100</f>
        <v>99.151643690349943</v>
      </c>
      <c r="X76" s="1394">
        <f>116/X75*100</f>
        <v>100</v>
      </c>
      <c r="Y76" s="1393">
        <f>57/Y75*100</f>
        <v>100</v>
      </c>
      <c r="Z76" s="1393">
        <f>66/Z75*100</f>
        <v>100</v>
      </c>
      <c r="AA76" s="1393">
        <f>40/AA75*100</f>
        <v>100</v>
      </c>
      <c r="AB76" s="1393">
        <f>70/AB75*100</f>
        <v>100</v>
      </c>
      <c r="AC76" s="1393">
        <f>40/AC75*100</f>
        <v>100</v>
      </c>
      <c r="AD76" s="1393">
        <f>62/AD75*100</f>
        <v>100</v>
      </c>
      <c r="AE76" s="1393">
        <f>78/AE75*100</f>
        <v>95.121951219512198</v>
      </c>
      <c r="AF76" s="1393">
        <f>66/AF75*100</f>
        <v>100</v>
      </c>
      <c r="AG76" s="1393">
        <f>37/AG75*100</f>
        <v>100</v>
      </c>
      <c r="AH76" s="1393">
        <f>81/AH75*100</f>
        <v>100</v>
      </c>
      <c r="AI76" s="1393">
        <f>60/AI75*100</f>
        <v>100</v>
      </c>
      <c r="AJ76" s="1393">
        <f>49/AJ75*100</f>
        <v>100</v>
      </c>
      <c r="AK76" s="1393">
        <f>114/AK75*100</f>
        <v>97.435897435897431</v>
      </c>
      <c r="AL76" s="1382">
        <f>935/AL75*100</f>
        <v>99.151643690349943</v>
      </c>
      <c r="AM76" s="1393">
        <f>116/AM75*100</f>
        <v>100</v>
      </c>
      <c r="AN76" s="1393">
        <f>57/AN75*100</f>
        <v>100</v>
      </c>
      <c r="AO76" s="1393">
        <f>66/AO75*100</f>
        <v>100</v>
      </c>
      <c r="AP76" s="1393">
        <f>40/AP75*100</f>
        <v>100</v>
      </c>
      <c r="AQ76" s="1393">
        <f>70/AQ75*100</f>
        <v>100</v>
      </c>
      <c r="AR76" s="1393">
        <f>40/AR75*100</f>
        <v>100</v>
      </c>
      <c r="AS76" s="1393">
        <f>62/AS75*100</f>
        <v>100</v>
      </c>
      <c r="AT76" s="1393">
        <f>78/AT75*100</f>
        <v>95.121951219512198</v>
      </c>
      <c r="AU76" s="1393">
        <f>66/AU75*100</f>
        <v>100</v>
      </c>
      <c r="AV76" s="1393">
        <f>37/AV75*100</f>
        <v>100</v>
      </c>
      <c r="AW76" s="1393">
        <f>81/AW75*100</f>
        <v>100</v>
      </c>
      <c r="AX76" s="1393">
        <f>60/AX75*100</f>
        <v>100</v>
      </c>
      <c r="AY76" s="1393">
        <f>48/AY75*100</f>
        <v>97.959183673469383</v>
      </c>
      <c r="AZ76" s="1393">
        <f>114/AZ75*100</f>
        <v>97.435897435897431</v>
      </c>
      <c r="BA76" s="1989">
        <f t="shared" si="50"/>
        <v>100.32440506733258</v>
      </c>
      <c r="BB76" s="1989">
        <f t="shared" si="51"/>
        <v>100</v>
      </c>
      <c r="BC76" s="1393"/>
      <c r="BD76" s="1618">
        <v>99.2</v>
      </c>
      <c r="BE76" s="1615">
        <f t="shared" si="23"/>
        <v>-4.8356309650060325E-2</v>
      </c>
    </row>
    <row r="77" spans="1:57" ht="21.95" customHeight="1">
      <c r="A77" s="947"/>
      <c r="B77" s="932" t="s">
        <v>445</v>
      </c>
      <c r="C77" s="947" t="s">
        <v>204</v>
      </c>
      <c r="D77" s="1278">
        <v>301</v>
      </c>
      <c r="E77" s="1278" t="e">
        <f>SUM(#REF!)</f>
        <v>#REF!</v>
      </c>
      <c r="F77" s="1384">
        <v>301</v>
      </c>
      <c r="G77" s="1384">
        <v>301</v>
      </c>
      <c r="H77" s="1284">
        <f>SUM(I77:V77)</f>
        <v>297</v>
      </c>
      <c r="I77" s="1395">
        <v>24</v>
      </c>
      <c r="J77" s="1395">
        <v>17</v>
      </c>
      <c r="K77" s="1395">
        <v>26</v>
      </c>
      <c r="L77" s="1395">
        <v>11</v>
      </c>
      <c r="M77" s="1395">
        <v>26</v>
      </c>
      <c r="N77" s="1395">
        <v>14</v>
      </c>
      <c r="O77" s="1395">
        <v>18</v>
      </c>
      <c r="P77" s="1395">
        <v>25</v>
      </c>
      <c r="Q77" s="1395">
        <v>19</v>
      </c>
      <c r="R77" s="1395">
        <v>11</v>
      </c>
      <c r="S77" s="1395">
        <v>19</v>
      </c>
      <c r="T77" s="1395">
        <v>20</v>
      </c>
      <c r="U77" s="1395">
        <v>26</v>
      </c>
      <c r="V77" s="1395">
        <v>41</v>
      </c>
      <c r="W77" s="1284">
        <f>SUM(X77:AK77)</f>
        <v>297</v>
      </c>
      <c r="X77" s="1396">
        <v>24</v>
      </c>
      <c r="Y77" s="1395">
        <v>17</v>
      </c>
      <c r="Z77" s="1395">
        <v>26</v>
      </c>
      <c r="AA77" s="1395">
        <v>11</v>
      </c>
      <c r="AB77" s="1395">
        <v>26</v>
      </c>
      <c r="AC77" s="1395">
        <v>14</v>
      </c>
      <c r="AD77" s="1395">
        <v>18</v>
      </c>
      <c r="AE77" s="1395">
        <v>25</v>
      </c>
      <c r="AF77" s="1395">
        <v>19</v>
      </c>
      <c r="AG77" s="1395">
        <v>11</v>
      </c>
      <c r="AH77" s="1395">
        <v>19</v>
      </c>
      <c r="AI77" s="1395">
        <v>20</v>
      </c>
      <c r="AJ77" s="1395">
        <v>26</v>
      </c>
      <c r="AK77" s="1395">
        <v>41</v>
      </c>
      <c r="AL77" s="1362">
        <f>SUM(AM77:AZ77)</f>
        <v>297</v>
      </c>
      <c r="AM77" s="1395">
        <v>24</v>
      </c>
      <c r="AN77" s="1395">
        <v>17</v>
      </c>
      <c r="AO77" s="1395">
        <v>26</v>
      </c>
      <c r="AP77" s="1395">
        <v>11</v>
      </c>
      <c r="AQ77" s="1395">
        <v>26</v>
      </c>
      <c r="AR77" s="1395">
        <v>14</v>
      </c>
      <c r="AS77" s="1395">
        <v>18</v>
      </c>
      <c r="AT77" s="1395">
        <v>25</v>
      </c>
      <c r="AU77" s="1395">
        <v>19</v>
      </c>
      <c r="AV77" s="1395">
        <v>11</v>
      </c>
      <c r="AW77" s="1395">
        <v>19</v>
      </c>
      <c r="AX77" s="1395">
        <v>20</v>
      </c>
      <c r="AY77" s="1395">
        <v>26</v>
      </c>
      <c r="AZ77" s="1395">
        <v>41</v>
      </c>
      <c r="BA77" s="1360">
        <f t="shared" si="50"/>
        <v>98.671096345514954</v>
      </c>
      <c r="BB77" s="1360">
        <f t="shared" si="51"/>
        <v>100</v>
      </c>
      <c r="BC77" s="1278"/>
      <c r="BD77" s="1609">
        <v>297</v>
      </c>
      <c r="BE77" s="1613">
        <f t="shared" si="23"/>
        <v>0</v>
      </c>
    </row>
    <row r="78" spans="1:57" s="590" customFormat="1" ht="21.95" customHeight="1">
      <c r="A78" s="1173"/>
      <c r="B78" s="943" t="s">
        <v>446</v>
      </c>
      <c r="C78" s="951" t="s">
        <v>26</v>
      </c>
      <c r="D78" s="1397">
        <v>100</v>
      </c>
      <c r="E78" s="1397" t="e">
        <f>301/E77*100</f>
        <v>#REF!</v>
      </c>
      <c r="F78" s="1387">
        <v>100</v>
      </c>
      <c r="G78" s="1387">
        <f>301/G77*100</f>
        <v>100</v>
      </c>
      <c r="H78" s="1387">
        <f>297/H77*100</f>
        <v>100</v>
      </c>
      <c r="I78" s="1393">
        <f>24/I77*100</f>
        <v>100</v>
      </c>
      <c r="J78" s="1393">
        <f>17/J77*100</f>
        <v>100</v>
      </c>
      <c r="K78" s="1393">
        <f>26/K77*100</f>
        <v>100</v>
      </c>
      <c r="L78" s="1393">
        <f>11/L77*100</f>
        <v>100</v>
      </c>
      <c r="M78" s="1393">
        <f>26/M77*100</f>
        <v>100</v>
      </c>
      <c r="N78" s="1393">
        <f>14/N77*100</f>
        <v>100</v>
      </c>
      <c r="O78" s="1393">
        <f>18/O77*100</f>
        <v>100</v>
      </c>
      <c r="P78" s="1393">
        <f>25/P77*100</f>
        <v>100</v>
      </c>
      <c r="Q78" s="1393">
        <f>19/Q77*100</f>
        <v>100</v>
      </c>
      <c r="R78" s="1393">
        <f>11/R77*100</f>
        <v>100</v>
      </c>
      <c r="S78" s="1393">
        <f>19/S77*100</f>
        <v>100</v>
      </c>
      <c r="T78" s="1393">
        <f>20/T77*100</f>
        <v>100</v>
      </c>
      <c r="U78" s="1393">
        <f>26/U77*100</f>
        <v>100</v>
      </c>
      <c r="V78" s="1393">
        <f>41/V77*100</f>
        <v>100</v>
      </c>
      <c r="W78" s="1387">
        <f>297/W77*100</f>
        <v>100</v>
      </c>
      <c r="X78" s="1394">
        <f>24/X77*100</f>
        <v>100</v>
      </c>
      <c r="Y78" s="1393">
        <f>17/Y77*100</f>
        <v>100</v>
      </c>
      <c r="Z78" s="1393">
        <f>26/Z77*100</f>
        <v>100</v>
      </c>
      <c r="AA78" s="1393">
        <f>11/AA77*100</f>
        <v>100</v>
      </c>
      <c r="AB78" s="1393">
        <f>26/AB77*100</f>
        <v>100</v>
      </c>
      <c r="AC78" s="1393">
        <f>14/AC77*100</f>
        <v>100</v>
      </c>
      <c r="AD78" s="1393">
        <f>18/AD77*100</f>
        <v>100</v>
      </c>
      <c r="AE78" s="1393">
        <f>25/AE77*100</f>
        <v>100</v>
      </c>
      <c r="AF78" s="1393">
        <f>19/AF77*100</f>
        <v>100</v>
      </c>
      <c r="AG78" s="1393">
        <f>11/AG77*100</f>
        <v>100</v>
      </c>
      <c r="AH78" s="1393">
        <f>19/AH77*100</f>
        <v>100</v>
      </c>
      <c r="AI78" s="1393">
        <f>20/AI77*100</f>
        <v>100</v>
      </c>
      <c r="AJ78" s="1393">
        <f>26/AJ77*100</f>
        <v>100</v>
      </c>
      <c r="AK78" s="1393">
        <f>41/AK77*100</f>
        <v>100</v>
      </c>
      <c r="AL78" s="1387">
        <f>297/AL77*100</f>
        <v>100</v>
      </c>
      <c r="AM78" s="1393">
        <f>24/AM77*100</f>
        <v>100</v>
      </c>
      <c r="AN78" s="1393">
        <f>17/AN77*100</f>
        <v>100</v>
      </c>
      <c r="AO78" s="1393">
        <f>26/AO77*100</f>
        <v>100</v>
      </c>
      <c r="AP78" s="1393">
        <f>11/AP77*100</f>
        <v>100</v>
      </c>
      <c r="AQ78" s="1393">
        <f>26/AQ77*100</f>
        <v>100</v>
      </c>
      <c r="AR78" s="1393">
        <f>14/AR77*100</f>
        <v>100</v>
      </c>
      <c r="AS78" s="1393">
        <f>18/AS77*100</f>
        <v>100</v>
      </c>
      <c r="AT78" s="1393">
        <f>25/AT77*100</f>
        <v>100</v>
      </c>
      <c r="AU78" s="1393">
        <f>19/AU77*100</f>
        <v>100</v>
      </c>
      <c r="AV78" s="1393">
        <f>11/AV77*100</f>
        <v>100</v>
      </c>
      <c r="AW78" s="1393">
        <f>19/AW77*100</f>
        <v>100</v>
      </c>
      <c r="AX78" s="1393">
        <f>20/AX77*100</f>
        <v>100</v>
      </c>
      <c r="AY78" s="1393">
        <f>26/AY77*100</f>
        <v>100</v>
      </c>
      <c r="AZ78" s="1393">
        <f>41/AZ77*100</f>
        <v>100</v>
      </c>
      <c r="BA78" s="1989">
        <f t="shared" si="50"/>
        <v>100</v>
      </c>
      <c r="BB78" s="1989">
        <f t="shared" si="51"/>
        <v>100</v>
      </c>
      <c r="BC78" s="1397"/>
      <c r="BD78" s="1618">
        <v>100</v>
      </c>
      <c r="BE78" s="1615">
        <f t="shared" si="23"/>
        <v>0</v>
      </c>
    </row>
    <row r="79" spans="1:57" ht="21.95" customHeight="1">
      <c r="A79" s="1169"/>
      <c r="B79" s="932" t="s">
        <v>447</v>
      </c>
      <c r="C79" s="947" t="s">
        <v>204</v>
      </c>
      <c r="D79" s="1278">
        <v>395</v>
      </c>
      <c r="E79" s="1278" t="e">
        <f>SUM(#REF!)</f>
        <v>#REF!</v>
      </c>
      <c r="F79" s="1384">
        <v>394</v>
      </c>
      <c r="G79" s="1384">
        <v>394</v>
      </c>
      <c r="H79" s="1284">
        <f>SUM(I79:V79)</f>
        <v>398</v>
      </c>
      <c r="I79" s="1395">
        <v>30</v>
      </c>
      <c r="J79" s="1395">
        <v>25</v>
      </c>
      <c r="K79" s="1395">
        <v>28</v>
      </c>
      <c r="L79" s="1395">
        <v>22</v>
      </c>
      <c r="M79" s="1395">
        <v>28</v>
      </c>
      <c r="N79" s="1395">
        <v>14</v>
      </c>
      <c r="O79" s="1395">
        <v>34</v>
      </c>
      <c r="P79" s="1395">
        <v>45</v>
      </c>
      <c r="Q79" s="1395">
        <v>31</v>
      </c>
      <c r="R79" s="1395">
        <v>17</v>
      </c>
      <c r="S79" s="1395">
        <v>37</v>
      </c>
      <c r="T79" s="1395">
        <v>23</v>
      </c>
      <c r="U79" s="1395">
        <v>15</v>
      </c>
      <c r="V79" s="1395">
        <v>49</v>
      </c>
      <c r="W79" s="1284">
        <f>SUM(X79:AK79)</f>
        <v>398</v>
      </c>
      <c r="X79" s="1396">
        <v>30</v>
      </c>
      <c r="Y79" s="1395">
        <v>25</v>
      </c>
      <c r="Z79" s="1395">
        <v>28</v>
      </c>
      <c r="AA79" s="1395">
        <v>22</v>
      </c>
      <c r="AB79" s="1395">
        <v>28</v>
      </c>
      <c r="AC79" s="1395">
        <v>14</v>
      </c>
      <c r="AD79" s="1395">
        <v>34</v>
      </c>
      <c r="AE79" s="1395">
        <v>45</v>
      </c>
      <c r="AF79" s="1395">
        <v>31</v>
      </c>
      <c r="AG79" s="1395">
        <v>17</v>
      </c>
      <c r="AH79" s="1395">
        <v>37</v>
      </c>
      <c r="AI79" s="1395">
        <v>23</v>
      </c>
      <c r="AJ79" s="1395">
        <v>15</v>
      </c>
      <c r="AK79" s="1395">
        <v>49</v>
      </c>
      <c r="AL79" s="1362">
        <f>SUM(AM79:AZ79)</f>
        <v>398</v>
      </c>
      <c r="AM79" s="1395">
        <v>30</v>
      </c>
      <c r="AN79" s="1395">
        <v>25</v>
      </c>
      <c r="AO79" s="1395">
        <v>28</v>
      </c>
      <c r="AP79" s="1395">
        <v>22</v>
      </c>
      <c r="AQ79" s="1395">
        <v>28</v>
      </c>
      <c r="AR79" s="1395">
        <v>14</v>
      </c>
      <c r="AS79" s="1395">
        <v>34</v>
      </c>
      <c r="AT79" s="1395">
        <v>45</v>
      </c>
      <c r="AU79" s="1395">
        <v>31</v>
      </c>
      <c r="AV79" s="1395">
        <v>17</v>
      </c>
      <c r="AW79" s="1395">
        <v>37</v>
      </c>
      <c r="AX79" s="1395">
        <v>23</v>
      </c>
      <c r="AY79" s="1395">
        <v>15</v>
      </c>
      <c r="AZ79" s="1395">
        <v>49</v>
      </c>
      <c r="BA79" s="1360">
        <f t="shared" si="50"/>
        <v>101.01522842639594</v>
      </c>
      <c r="BB79" s="1360">
        <f t="shared" si="51"/>
        <v>100</v>
      </c>
      <c r="BC79" s="1278"/>
      <c r="BD79" s="1609">
        <v>398</v>
      </c>
      <c r="BE79" s="1613">
        <f t="shared" si="23"/>
        <v>0</v>
      </c>
    </row>
    <row r="80" spans="1:57" s="590" customFormat="1" ht="21.95" customHeight="1">
      <c r="A80" s="951"/>
      <c r="B80" s="943" t="s">
        <v>448</v>
      </c>
      <c r="C80" s="951" t="s">
        <v>26</v>
      </c>
      <c r="D80" s="1393">
        <v>97.468354430379748</v>
      </c>
      <c r="E80" s="1393" t="e">
        <f>385/E79*100</f>
        <v>#REF!</v>
      </c>
      <c r="F80" s="1382">
        <f>389/F79*100</f>
        <v>98.73096446700508</v>
      </c>
      <c r="G80" s="1382">
        <f>389/G79*100</f>
        <v>98.73096446700508</v>
      </c>
      <c r="H80" s="1382">
        <f>397/H79*100</f>
        <v>99.748743718592976</v>
      </c>
      <c r="I80" s="1393">
        <f>30/I79*100</f>
        <v>100</v>
      </c>
      <c r="J80" s="1393">
        <f>25/J79*100</f>
        <v>100</v>
      </c>
      <c r="K80" s="1393">
        <f>28/K79*100</f>
        <v>100</v>
      </c>
      <c r="L80" s="1393">
        <f>22/L79*100</f>
        <v>100</v>
      </c>
      <c r="M80" s="1393">
        <f>28/M79*100</f>
        <v>100</v>
      </c>
      <c r="N80" s="1393">
        <f>14/N79*100</f>
        <v>100</v>
      </c>
      <c r="O80" s="1393">
        <f>34/O79*100</f>
        <v>100</v>
      </c>
      <c r="P80" s="1393">
        <f>45/P79*100</f>
        <v>100</v>
      </c>
      <c r="Q80" s="1393">
        <f>31/Q79*100</f>
        <v>100</v>
      </c>
      <c r="R80" s="1393">
        <f>17/R79*100</f>
        <v>100</v>
      </c>
      <c r="S80" s="1393">
        <f>37/S79*100</f>
        <v>100</v>
      </c>
      <c r="T80" s="1393">
        <f>23/T79*100</f>
        <v>100</v>
      </c>
      <c r="U80" s="1393">
        <f>14/U79*100</f>
        <v>93.333333333333329</v>
      </c>
      <c r="V80" s="1393">
        <f>49/V79*100</f>
        <v>100</v>
      </c>
      <c r="W80" s="1382">
        <f>397/W79*100</f>
        <v>99.748743718592976</v>
      </c>
      <c r="X80" s="1394">
        <f>30/X79*100</f>
        <v>100</v>
      </c>
      <c r="Y80" s="1393">
        <f>25/Y79*100</f>
        <v>100</v>
      </c>
      <c r="Z80" s="1393">
        <f>28/Z79*100</f>
        <v>100</v>
      </c>
      <c r="AA80" s="1393">
        <f>22/AA79*100</f>
        <v>100</v>
      </c>
      <c r="AB80" s="1393">
        <f>28/AB79*100</f>
        <v>100</v>
      </c>
      <c r="AC80" s="1393">
        <f>14/AC79*100</f>
        <v>100</v>
      </c>
      <c r="AD80" s="1393">
        <f>34/AD79*100</f>
        <v>100</v>
      </c>
      <c r="AE80" s="1393">
        <f>45/AE79*100</f>
        <v>100</v>
      </c>
      <c r="AF80" s="1393">
        <f>31/AF79*100</f>
        <v>100</v>
      </c>
      <c r="AG80" s="1393">
        <f>17/AG79*100</f>
        <v>100</v>
      </c>
      <c r="AH80" s="1393">
        <f>37/AH79*100</f>
        <v>100</v>
      </c>
      <c r="AI80" s="1393">
        <f>23/AI79*100</f>
        <v>100</v>
      </c>
      <c r="AJ80" s="1393">
        <f>14/AJ79*100</f>
        <v>93.333333333333329</v>
      </c>
      <c r="AK80" s="1393">
        <f>49/AK79*100</f>
        <v>100</v>
      </c>
      <c r="AL80" s="1382">
        <f>397/AL79*100</f>
        <v>99.748743718592976</v>
      </c>
      <c r="AM80" s="1393">
        <f>30/AM79*100</f>
        <v>100</v>
      </c>
      <c r="AN80" s="1393">
        <f>25/AN79*100</f>
        <v>100</v>
      </c>
      <c r="AO80" s="1393">
        <f>28/AO79*100</f>
        <v>100</v>
      </c>
      <c r="AP80" s="1393">
        <f>22/AP79*100</f>
        <v>100</v>
      </c>
      <c r="AQ80" s="1393">
        <f>28/AQ79*100</f>
        <v>100</v>
      </c>
      <c r="AR80" s="1393">
        <f>14/AR79*100</f>
        <v>100</v>
      </c>
      <c r="AS80" s="1393">
        <f>34/AS79*100</f>
        <v>100</v>
      </c>
      <c r="AT80" s="1393">
        <f>45/AT79*100</f>
        <v>100</v>
      </c>
      <c r="AU80" s="1393">
        <f>31/AU79*100</f>
        <v>100</v>
      </c>
      <c r="AV80" s="1393">
        <f>17/AV79*100</f>
        <v>100</v>
      </c>
      <c r="AW80" s="1393">
        <f>37/AW79*100</f>
        <v>100</v>
      </c>
      <c r="AX80" s="1393">
        <f>23/AX79*100</f>
        <v>100</v>
      </c>
      <c r="AY80" s="1393">
        <f>14/AY79*100</f>
        <v>93.333333333333329</v>
      </c>
      <c r="AZ80" s="1393">
        <f>49/AZ79*100</f>
        <v>100</v>
      </c>
      <c r="BA80" s="1989">
        <f t="shared" si="50"/>
        <v>101.0308612471096</v>
      </c>
      <c r="BB80" s="1989">
        <f t="shared" si="51"/>
        <v>100</v>
      </c>
      <c r="BC80" s="1393"/>
      <c r="BD80" s="1618">
        <v>99.7</v>
      </c>
      <c r="BE80" s="1615">
        <f t="shared" si="23"/>
        <v>4.8743718592973551E-2</v>
      </c>
    </row>
    <row r="81" spans="1:57" ht="21.95" customHeight="1">
      <c r="A81" s="947"/>
      <c r="B81" s="932" t="s">
        <v>449</v>
      </c>
      <c r="C81" s="947" t="s">
        <v>204</v>
      </c>
      <c r="D81" s="1278">
        <v>187</v>
      </c>
      <c r="E81" s="1278" t="e">
        <f>SUM(#REF!)</f>
        <v>#REF!</v>
      </c>
      <c r="F81" s="1384">
        <v>187</v>
      </c>
      <c r="G81" s="1384">
        <v>187</v>
      </c>
      <c r="H81" s="1284">
        <f>SUM(I81:V81)</f>
        <v>188</v>
      </c>
      <c r="I81" s="1395">
        <v>19</v>
      </c>
      <c r="J81" s="1395">
        <v>15</v>
      </c>
      <c r="K81" s="1395">
        <v>12</v>
      </c>
      <c r="L81" s="1395">
        <v>7</v>
      </c>
      <c r="M81" s="1395">
        <v>16</v>
      </c>
      <c r="N81" s="1395">
        <v>12</v>
      </c>
      <c r="O81" s="1395">
        <v>10</v>
      </c>
      <c r="P81" s="1395">
        <v>12</v>
      </c>
      <c r="Q81" s="1395">
        <v>16</v>
      </c>
      <c r="R81" s="1395">
        <v>9</v>
      </c>
      <c r="S81" s="1395">
        <v>8</v>
      </c>
      <c r="T81" s="1395">
        <v>17</v>
      </c>
      <c r="U81" s="1395">
        <v>8</v>
      </c>
      <c r="V81" s="1395">
        <v>27</v>
      </c>
      <c r="W81" s="1284">
        <f>SUM(X81:AK81)</f>
        <v>188</v>
      </c>
      <c r="X81" s="1396">
        <v>19</v>
      </c>
      <c r="Y81" s="1395">
        <v>15</v>
      </c>
      <c r="Z81" s="1395">
        <v>12</v>
      </c>
      <c r="AA81" s="1395">
        <v>7</v>
      </c>
      <c r="AB81" s="1395">
        <v>16</v>
      </c>
      <c r="AC81" s="1395">
        <v>12</v>
      </c>
      <c r="AD81" s="1395">
        <v>10</v>
      </c>
      <c r="AE81" s="1395">
        <v>12</v>
      </c>
      <c r="AF81" s="1395">
        <v>16</v>
      </c>
      <c r="AG81" s="1395">
        <v>9</v>
      </c>
      <c r="AH81" s="1395">
        <v>8</v>
      </c>
      <c r="AI81" s="1395">
        <v>17</v>
      </c>
      <c r="AJ81" s="1395">
        <v>8</v>
      </c>
      <c r="AK81" s="1395">
        <v>27</v>
      </c>
      <c r="AL81" s="1362">
        <f>SUM(AM81:AZ81)</f>
        <v>188</v>
      </c>
      <c r="AM81" s="1395">
        <v>19</v>
      </c>
      <c r="AN81" s="1395">
        <v>15</v>
      </c>
      <c r="AO81" s="1395">
        <v>12</v>
      </c>
      <c r="AP81" s="1395">
        <v>7</v>
      </c>
      <c r="AQ81" s="1395">
        <v>16</v>
      </c>
      <c r="AR81" s="1395">
        <v>12</v>
      </c>
      <c r="AS81" s="1395">
        <v>10</v>
      </c>
      <c r="AT81" s="1395">
        <v>12</v>
      </c>
      <c r="AU81" s="1395">
        <v>16</v>
      </c>
      <c r="AV81" s="1395">
        <v>9</v>
      </c>
      <c r="AW81" s="1395">
        <v>8</v>
      </c>
      <c r="AX81" s="1395">
        <v>17</v>
      </c>
      <c r="AY81" s="1395">
        <v>8</v>
      </c>
      <c r="AZ81" s="1395">
        <v>27</v>
      </c>
      <c r="BA81" s="1360">
        <f t="shared" si="50"/>
        <v>100.53475935828877</v>
      </c>
      <c r="BB81" s="1360">
        <f t="shared" si="51"/>
        <v>100</v>
      </c>
      <c r="BC81" s="1278"/>
      <c r="BD81" s="1609">
        <v>188</v>
      </c>
      <c r="BE81" s="1613">
        <f t="shared" si="23"/>
        <v>0</v>
      </c>
    </row>
    <row r="82" spans="1:57" s="590" customFormat="1" ht="21.95" customHeight="1">
      <c r="A82" s="951"/>
      <c r="B82" s="943" t="s">
        <v>448</v>
      </c>
      <c r="C82" s="1441" t="s">
        <v>26</v>
      </c>
      <c r="D82" s="1393">
        <v>96.791443850267385</v>
      </c>
      <c r="E82" s="1393" t="e">
        <f>181/E81*100</f>
        <v>#REF!</v>
      </c>
      <c r="F82" s="1382">
        <f>181/F81*100</f>
        <v>96.791443850267385</v>
      </c>
      <c r="G82" s="1382">
        <f>181/G81*100</f>
        <v>96.791443850267385</v>
      </c>
      <c r="H82" s="1382">
        <f>181/H81*100</f>
        <v>96.276595744680847</v>
      </c>
      <c r="I82" s="1393">
        <f>19/I81*100</f>
        <v>100</v>
      </c>
      <c r="J82" s="1393">
        <f>15/J81*100</f>
        <v>100</v>
      </c>
      <c r="K82" s="1393">
        <f>12/K81*100</f>
        <v>100</v>
      </c>
      <c r="L82" s="1393">
        <f>7/L81*100</f>
        <v>100</v>
      </c>
      <c r="M82" s="1393">
        <f>16/M81*100</f>
        <v>100</v>
      </c>
      <c r="N82" s="1393">
        <f>12/N81*100</f>
        <v>100</v>
      </c>
      <c r="O82" s="1393">
        <f>10/O81*100</f>
        <v>100</v>
      </c>
      <c r="P82" s="1393">
        <f>8/P81*100</f>
        <v>66.666666666666657</v>
      </c>
      <c r="Q82" s="1393">
        <f>16/Q81*100</f>
        <v>100</v>
      </c>
      <c r="R82" s="1393">
        <f>9/R81*100</f>
        <v>100</v>
      </c>
      <c r="S82" s="1393">
        <f>8/S81*100</f>
        <v>100</v>
      </c>
      <c r="T82" s="1393">
        <f>17/T81*100</f>
        <v>100</v>
      </c>
      <c r="U82" s="1393">
        <f>8/U81*100</f>
        <v>100</v>
      </c>
      <c r="V82" s="1393">
        <f>24/V81*100</f>
        <v>88.888888888888886</v>
      </c>
      <c r="W82" s="1382">
        <f>181/W81*100</f>
        <v>96.276595744680847</v>
      </c>
      <c r="X82" s="1394">
        <f>19/X81*100</f>
        <v>100</v>
      </c>
      <c r="Y82" s="1393">
        <f>15/Y81*100</f>
        <v>100</v>
      </c>
      <c r="Z82" s="1393">
        <f>12/Z81*100</f>
        <v>100</v>
      </c>
      <c r="AA82" s="1393">
        <f>7/AA81*100</f>
        <v>100</v>
      </c>
      <c r="AB82" s="1393">
        <f>16/AB81*100</f>
        <v>100</v>
      </c>
      <c r="AC82" s="1393">
        <f>12/AC81*100</f>
        <v>100</v>
      </c>
      <c r="AD82" s="1393">
        <f>10/AD81*100</f>
        <v>100</v>
      </c>
      <c r="AE82" s="1393">
        <f>8/AE81*100</f>
        <v>66.666666666666657</v>
      </c>
      <c r="AF82" s="1393">
        <f>16/AF81*100</f>
        <v>100</v>
      </c>
      <c r="AG82" s="1393">
        <f>9/AG81*100</f>
        <v>100</v>
      </c>
      <c r="AH82" s="1393">
        <f>8/AH81*100</f>
        <v>100</v>
      </c>
      <c r="AI82" s="1393">
        <f>17/AI81*100</f>
        <v>100</v>
      </c>
      <c r="AJ82" s="1393">
        <f>8/AJ81*100</f>
        <v>100</v>
      </c>
      <c r="AK82" s="1393">
        <f>24/AK81*100</f>
        <v>88.888888888888886</v>
      </c>
      <c r="AL82" s="1382">
        <f>181/AL81*100</f>
        <v>96.276595744680847</v>
      </c>
      <c r="AM82" s="1393">
        <f>19/AM81*100</f>
        <v>100</v>
      </c>
      <c r="AN82" s="1393">
        <f>15/AN81*100</f>
        <v>100</v>
      </c>
      <c r="AO82" s="1393">
        <f>12/AO81*100</f>
        <v>100</v>
      </c>
      <c r="AP82" s="1393">
        <f>7/AP81*100</f>
        <v>100</v>
      </c>
      <c r="AQ82" s="1393">
        <f>16/AQ81*100</f>
        <v>100</v>
      </c>
      <c r="AR82" s="1393">
        <f>12/AR81*100</f>
        <v>100</v>
      </c>
      <c r="AS82" s="1393">
        <f>10/AS81*100</f>
        <v>100</v>
      </c>
      <c r="AT82" s="1393">
        <f>8/AT81*100</f>
        <v>66.666666666666657</v>
      </c>
      <c r="AU82" s="1393">
        <f>16/AU81*100</f>
        <v>100</v>
      </c>
      <c r="AV82" s="1393">
        <f>9/AV81*100</f>
        <v>100</v>
      </c>
      <c r="AW82" s="1393">
        <f>8/AW81*100</f>
        <v>100</v>
      </c>
      <c r="AX82" s="1393">
        <f>17/AX81*100</f>
        <v>100</v>
      </c>
      <c r="AY82" s="1393">
        <f>8/AY81*100</f>
        <v>100</v>
      </c>
      <c r="AZ82" s="1393">
        <f>24/AZ81*100</f>
        <v>88.888888888888886</v>
      </c>
      <c r="BA82" s="1989">
        <f t="shared" si="50"/>
        <v>99.468085106382972</v>
      </c>
      <c r="BB82" s="1989">
        <f t="shared" si="51"/>
        <v>100</v>
      </c>
      <c r="BC82" s="1393"/>
      <c r="BD82" s="1622">
        <v>96.3</v>
      </c>
      <c r="BE82" s="1615">
        <f t="shared" si="23"/>
        <v>-2.3404255319150025E-2</v>
      </c>
    </row>
    <row r="83" spans="1:57" ht="21.95" customHeight="1">
      <c r="A83" s="947"/>
      <c r="B83" s="932" t="s">
        <v>450</v>
      </c>
      <c r="C83" s="947" t="s">
        <v>204</v>
      </c>
      <c r="D83" s="1278">
        <v>44</v>
      </c>
      <c r="E83" s="1278" t="e">
        <f>SUM(#REF!)</f>
        <v>#REF!</v>
      </c>
      <c r="F83" s="1384">
        <v>44</v>
      </c>
      <c r="G83" s="1384">
        <v>44</v>
      </c>
      <c r="H83" s="1284">
        <f>SUM(I83:V83)</f>
        <v>45</v>
      </c>
      <c r="I83" s="1395">
        <v>28</v>
      </c>
      <c r="J83" s="1395"/>
      <c r="K83" s="1395"/>
      <c r="L83" s="1395"/>
      <c r="M83" s="1395"/>
      <c r="N83" s="1395"/>
      <c r="O83" s="1395"/>
      <c r="P83" s="1395"/>
      <c r="Q83" s="1395"/>
      <c r="R83" s="1395"/>
      <c r="S83" s="1395">
        <v>17</v>
      </c>
      <c r="T83" s="1395"/>
      <c r="U83" s="1395"/>
      <c r="V83" s="1395"/>
      <c r="W83" s="1284">
        <f>SUM(X83:AK83)</f>
        <v>45</v>
      </c>
      <c r="X83" s="1396">
        <v>28</v>
      </c>
      <c r="Y83" s="1395"/>
      <c r="Z83" s="1395"/>
      <c r="AA83" s="1395"/>
      <c r="AB83" s="1395"/>
      <c r="AC83" s="1395"/>
      <c r="AD83" s="1395"/>
      <c r="AE83" s="1395"/>
      <c r="AF83" s="1395"/>
      <c r="AG83" s="1395"/>
      <c r="AH83" s="1395">
        <v>17</v>
      </c>
      <c r="AI83" s="1395"/>
      <c r="AJ83" s="1395"/>
      <c r="AK83" s="1395"/>
      <c r="AL83" s="1362">
        <f>SUM(AM83:AZ83)</f>
        <v>45</v>
      </c>
      <c r="AM83" s="1395">
        <v>28</v>
      </c>
      <c r="AN83" s="1395"/>
      <c r="AO83" s="1395"/>
      <c r="AP83" s="1395"/>
      <c r="AQ83" s="1395"/>
      <c r="AR83" s="1395"/>
      <c r="AS83" s="1395"/>
      <c r="AT83" s="1395"/>
      <c r="AU83" s="1395"/>
      <c r="AV83" s="1395"/>
      <c r="AW83" s="1395">
        <v>17</v>
      </c>
      <c r="AX83" s="1395"/>
      <c r="AY83" s="1395"/>
      <c r="AZ83" s="1395"/>
      <c r="BA83" s="1360">
        <f t="shared" si="50"/>
        <v>102.27272727272727</v>
      </c>
      <c r="BB83" s="1360">
        <f t="shared" si="51"/>
        <v>100</v>
      </c>
      <c r="BC83" s="1278"/>
      <c r="BD83" s="1609">
        <v>44</v>
      </c>
      <c r="BE83" s="1613">
        <f t="shared" si="23"/>
        <v>1</v>
      </c>
    </row>
    <row r="84" spans="1:57" s="590" customFormat="1" ht="21.95" customHeight="1">
      <c r="A84" s="951"/>
      <c r="B84" s="943" t="s">
        <v>448</v>
      </c>
      <c r="C84" s="1441" t="s">
        <v>26</v>
      </c>
      <c r="D84" s="1393">
        <v>100</v>
      </c>
      <c r="E84" s="1393" t="e">
        <f>44/E83*100</f>
        <v>#REF!</v>
      </c>
      <c r="F84" s="1387">
        <v>100</v>
      </c>
      <c r="G84" s="1387">
        <v>100</v>
      </c>
      <c r="H84" s="1387">
        <v>100</v>
      </c>
      <c r="I84" s="1393">
        <f>28/I83*100</f>
        <v>100</v>
      </c>
      <c r="J84" s="1398"/>
      <c r="K84" s="1398"/>
      <c r="L84" s="1398"/>
      <c r="M84" s="1398"/>
      <c r="N84" s="1398"/>
      <c r="O84" s="1398"/>
      <c r="P84" s="1398"/>
      <c r="Q84" s="1398"/>
      <c r="R84" s="1398"/>
      <c r="S84" s="1393">
        <f>17/S83*100</f>
        <v>100</v>
      </c>
      <c r="T84" s="1398"/>
      <c r="U84" s="1398"/>
      <c r="V84" s="1398"/>
      <c r="W84" s="1387">
        <v>100</v>
      </c>
      <c r="X84" s="1394">
        <f>28/X83*100</f>
        <v>100</v>
      </c>
      <c r="Y84" s="1398"/>
      <c r="Z84" s="1398"/>
      <c r="AA84" s="1398"/>
      <c r="AB84" s="1398"/>
      <c r="AC84" s="1398"/>
      <c r="AD84" s="1398"/>
      <c r="AE84" s="1398"/>
      <c r="AF84" s="1398"/>
      <c r="AG84" s="1398"/>
      <c r="AH84" s="1393">
        <f>17/AH83*100</f>
        <v>100</v>
      </c>
      <c r="AI84" s="1398"/>
      <c r="AJ84" s="1398"/>
      <c r="AK84" s="1398"/>
      <c r="AL84" s="1387">
        <f>45/AL83*100</f>
        <v>100</v>
      </c>
      <c r="AM84" s="1393">
        <f>28/AM83*100</f>
        <v>100</v>
      </c>
      <c r="AN84" s="1398"/>
      <c r="AO84" s="1398"/>
      <c r="AP84" s="1398"/>
      <c r="AQ84" s="1398"/>
      <c r="AR84" s="1398"/>
      <c r="AS84" s="1398"/>
      <c r="AT84" s="1398"/>
      <c r="AU84" s="1398"/>
      <c r="AV84" s="1398"/>
      <c r="AW84" s="1393">
        <f>17/AW83*100</f>
        <v>100</v>
      </c>
      <c r="AX84" s="1398"/>
      <c r="AY84" s="1398"/>
      <c r="AZ84" s="1398"/>
      <c r="BA84" s="1989">
        <f t="shared" si="50"/>
        <v>100</v>
      </c>
      <c r="BB84" s="1989">
        <f t="shared" si="51"/>
        <v>100</v>
      </c>
      <c r="BC84" s="1393"/>
      <c r="BD84" s="1618">
        <v>100</v>
      </c>
      <c r="BE84" s="1615">
        <f t="shared" si="23"/>
        <v>0</v>
      </c>
    </row>
    <row r="85" spans="1:57" ht="21.95" customHeight="1">
      <c r="A85" s="947"/>
      <c r="B85" s="932" t="s">
        <v>451</v>
      </c>
      <c r="C85" s="947" t="s">
        <v>204</v>
      </c>
      <c r="D85" s="1278">
        <v>15</v>
      </c>
      <c r="E85" s="1278" t="e">
        <f>SUM(#REF!)</f>
        <v>#REF!</v>
      </c>
      <c r="F85" s="1384">
        <v>15</v>
      </c>
      <c r="G85" s="1384">
        <v>15</v>
      </c>
      <c r="H85" s="1284">
        <f>SUM(I85:V85)</f>
        <v>15</v>
      </c>
      <c r="I85" s="1395">
        <v>15</v>
      </c>
      <c r="J85" s="1395"/>
      <c r="K85" s="1395"/>
      <c r="L85" s="1395"/>
      <c r="M85" s="1395"/>
      <c r="N85" s="1395"/>
      <c r="O85" s="1395"/>
      <c r="P85" s="1395"/>
      <c r="Q85" s="1395"/>
      <c r="R85" s="1395"/>
      <c r="S85" s="1395"/>
      <c r="T85" s="1395"/>
      <c r="U85" s="1395"/>
      <c r="V85" s="1395"/>
      <c r="W85" s="1284">
        <f>SUM(X85:AK85)</f>
        <v>15</v>
      </c>
      <c r="X85" s="1396">
        <v>15</v>
      </c>
      <c r="Y85" s="1395"/>
      <c r="Z85" s="1395"/>
      <c r="AA85" s="1395"/>
      <c r="AB85" s="1395"/>
      <c r="AC85" s="1395"/>
      <c r="AD85" s="1395"/>
      <c r="AE85" s="1395"/>
      <c r="AF85" s="1395"/>
      <c r="AG85" s="1395"/>
      <c r="AH85" s="1395"/>
      <c r="AI85" s="1395"/>
      <c r="AJ85" s="1395"/>
      <c r="AK85" s="1395"/>
      <c r="AL85" s="1362">
        <f>SUM(AM85:AZ85)</f>
        <v>15</v>
      </c>
      <c r="AM85" s="1395">
        <v>15</v>
      </c>
      <c r="AN85" s="1395"/>
      <c r="AO85" s="1395"/>
      <c r="AP85" s="1395"/>
      <c r="AQ85" s="1395"/>
      <c r="AR85" s="1395"/>
      <c r="AS85" s="1395"/>
      <c r="AT85" s="1395"/>
      <c r="AU85" s="1395"/>
      <c r="AV85" s="1395"/>
      <c r="AW85" s="1395"/>
      <c r="AX85" s="1395"/>
      <c r="AY85" s="1395"/>
      <c r="AZ85" s="1395"/>
      <c r="BA85" s="1360">
        <f t="shared" si="50"/>
        <v>100</v>
      </c>
      <c r="BB85" s="1360">
        <f t="shared" si="51"/>
        <v>100</v>
      </c>
      <c r="BC85" s="1278"/>
      <c r="BD85" s="1609">
        <v>15</v>
      </c>
      <c r="BE85" s="1613">
        <f t="shared" si="23"/>
        <v>0</v>
      </c>
    </row>
    <row r="86" spans="1:57" s="590" customFormat="1" ht="21.95" customHeight="1">
      <c r="A86" s="951"/>
      <c r="B86" s="943" t="s">
        <v>448</v>
      </c>
      <c r="C86" s="951" t="s">
        <v>26</v>
      </c>
      <c r="D86" s="1393">
        <v>100</v>
      </c>
      <c r="E86" s="1393" t="e">
        <f>15/E85*100</f>
        <v>#REF!</v>
      </c>
      <c r="F86" s="1387">
        <v>100</v>
      </c>
      <c r="G86" s="1387">
        <v>100</v>
      </c>
      <c r="H86" s="1387">
        <v>100</v>
      </c>
      <c r="I86" s="1393">
        <f>15/I85*100</f>
        <v>100</v>
      </c>
      <c r="J86" s="1393"/>
      <c r="K86" s="1393"/>
      <c r="L86" s="1393"/>
      <c r="M86" s="1393"/>
      <c r="N86" s="1393"/>
      <c r="O86" s="1393"/>
      <c r="P86" s="1393"/>
      <c r="Q86" s="1393"/>
      <c r="R86" s="1393"/>
      <c r="S86" s="1393"/>
      <c r="T86" s="1393"/>
      <c r="U86" s="1393"/>
      <c r="V86" s="1393"/>
      <c r="W86" s="1387">
        <v>100</v>
      </c>
      <c r="X86" s="1394">
        <f>15/X85*100</f>
        <v>100</v>
      </c>
      <c r="Y86" s="1393"/>
      <c r="Z86" s="1393"/>
      <c r="AA86" s="1393"/>
      <c r="AB86" s="1393"/>
      <c r="AC86" s="1393"/>
      <c r="AD86" s="1393"/>
      <c r="AE86" s="1393"/>
      <c r="AF86" s="1393"/>
      <c r="AG86" s="1393"/>
      <c r="AH86" s="1393"/>
      <c r="AI86" s="1393"/>
      <c r="AJ86" s="1393"/>
      <c r="AK86" s="1393"/>
      <c r="AL86" s="1387">
        <f>15/AL85*100</f>
        <v>100</v>
      </c>
      <c r="AM86" s="1393">
        <v>100</v>
      </c>
      <c r="AN86" s="1393"/>
      <c r="AO86" s="1393"/>
      <c r="AP86" s="1393"/>
      <c r="AQ86" s="1393"/>
      <c r="AR86" s="1393"/>
      <c r="AS86" s="1393"/>
      <c r="AT86" s="1393"/>
      <c r="AU86" s="1393"/>
      <c r="AV86" s="1393"/>
      <c r="AW86" s="1393"/>
      <c r="AX86" s="1393"/>
      <c r="AY86" s="1393"/>
      <c r="AZ86" s="1393"/>
      <c r="BA86" s="1989">
        <f t="shared" si="50"/>
        <v>100</v>
      </c>
      <c r="BB86" s="1989">
        <f t="shared" si="51"/>
        <v>100</v>
      </c>
      <c r="BC86" s="1393"/>
      <c r="BD86" s="1618">
        <v>100</v>
      </c>
      <c r="BE86" s="1615">
        <f t="shared" si="23"/>
        <v>0</v>
      </c>
    </row>
    <row r="87" spans="1:57" ht="16.5" customHeight="1">
      <c r="A87" s="347"/>
      <c r="B87" s="348"/>
      <c r="C87" s="349"/>
      <c r="D87" s="595"/>
      <c r="E87" s="595"/>
      <c r="F87" s="595"/>
      <c r="G87" s="595"/>
      <c r="H87" s="595"/>
      <c r="I87" s="595"/>
      <c r="J87" s="595"/>
      <c r="K87" s="595"/>
      <c r="L87" s="595"/>
      <c r="M87" s="595"/>
      <c r="N87" s="595"/>
      <c r="O87" s="595"/>
      <c r="P87" s="595"/>
      <c r="Q87" s="595"/>
      <c r="R87" s="595"/>
      <c r="S87" s="595"/>
      <c r="T87" s="595"/>
      <c r="U87" s="595"/>
      <c r="V87" s="595"/>
      <c r="W87" s="595"/>
      <c r="X87" s="595"/>
      <c r="Y87" s="595"/>
      <c r="Z87" s="595"/>
      <c r="AA87" s="595"/>
      <c r="AB87" s="595"/>
      <c r="AC87" s="595"/>
      <c r="AD87" s="595"/>
      <c r="AE87" s="595"/>
      <c r="AF87" s="595"/>
      <c r="AG87" s="595"/>
      <c r="AH87" s="595"/>
      <c r="AI87" s="595"/>
      <c r="AJ87" s="595"/>
      <c r="AK87" s="595"/>
      <c r="AL87" s="595"/>
      <c r="AM87" s="595"/>
      <c r="AN87" s="595"/>
      <c r="AO87" s="595"/>
      <c r="AP87" s="595"/>
      <c r="AQ87" s="595"/>
      <c r="AR87" s="595"/>
      <c r="AS87" s="595"/>
      <c r="AT87" s="595"/>
      <c r="AU87" s="595"/>
      <c r="AV87" s="595"/>
      <c r="AW87" s="595"/>
      <c r="AX87" s="595"/>
      <c r="AY87" s="595"/>
      <c r="AZ87" s="595"/>
      <c r="BA87" s="595"/>
      <c r="BB87" s="595"/>
      <c r="BC87" s="595"/>
    </row>
    <row r="88" spans="1:57" ht="16.5" customHeight="1">
      <c r="A88" s="347"/>
      <c r="B88" s="348"/>
      <c r="C88" s="349"/>
      <c r="D88" s="595"/>
      <c r="E88" s="595"/>
      <c r="F88" s="595"/>
      <c r="G88" s="595"/>
      <c r="H88" s="595"/>
      <c r="I88" s="595"/>
      <c r="J88" s="595"/>
      <c r="K88" s="595"/>
      <c r="L88" s="595"/>
      <c r="M88" s="595"/>
      <c r="N88" s="595"/>
      <c r="O88" s="595"/>
      <c r="P88" s="595"/>
      <c r="Q88" s="595"/>
      <c r="R88" s="595"/>
      <c r="S88" s="595"/>
      <c r="T88" s="595"/>
      <c r="U88" s="595"/>
      <c r="V88" s="595"/>
      <c r="W88" s="595"/>
      <c r="X88" s="595"/>
      <c r="Y88" s="595"/>
      <c r="Z88" s="595"/>
      <c r="AA88" s="595"/>
      <c r="AB88" s="595"/>
      <c r="AC88" s="595"/>
      <c r="AD88" s="595"/>
      <c r="AE88" s="595"/>
      <c r="AF88" s="595"/>
      <c r="AG88" s="595"/>
      <c r="AH88" s="595"/>
      <c r="AI88" s="595"/>
      <c r="AJ88" s="595"/>
      <c r="AK88" s="595"/>
      <c r="AL88" s="595"/>
      <c r="AM88" s="595"/>
      <c r="AN88" s="595"/>
      <c r="AO88" s="595"/>
      <c r="AP88" s="595"/>
      <c r="AQ88" s="595"/>
      <c r="AR88" s="595"/>
      <c r="AS88" s="595"/>
      <c r="AT88" s="595"/>
      <c r="AU88" s="595"/>
      <c r="AV88" s="595"/>
      <c r="AW88" s="595"/>
      <c r="AX88" s="595"/>
      <c r="AY88" s="595"/>
      <c r="AZ88" s="595"/>
      <c r="BA88" s="595"/>
      <c r="BB88" s="595"/>
      <c r="BC88" s="595"/>
    </row>
    <row r="89" spans="1:57" ht="16.5" customHeight="1">
      <c r="A89" s="347"/>
      <c r="B89" s="348"/>
      <c r="C89" s="349"/>
      <c r="D89" s="595"/>
      <c r="E89" s="595"/>
      <c r="F89" s="595"/>
      <c r="G89" s="595"/>
      <c r="H89" s="595"/>
      <c r="I89" s="595"/>
      <c r="J89" s="595"/>
      <c r="K89" s="595"/>
      <c r="L89" s="595"/>
      <c r="M89" s="595"/>
      <c r="N89" s="595"/>
      <c r="O89" s="595"/>
      <c r="P89" s="595"/>
      <c r="Q89" s="595"/>
      <c r="R89" s="595"/>
      <c r="S89" s="595"/>
      <c r="T89" s="595"/>
      <c r="U89" s="595"/>
      <c r="V89" s="595"/>
      <c r="W89" s="595"/>
      <c r="X89" s="595"/>
      <c r="Y89" s="595"/>
      <c r="Z89" s="595"/>
      <c r="AA89" s="595"/>
      <c r="AB89" s="595"/>
      <c r="AC89" s="595"/>
      <c r="AD89" s="595"/>
      <c r="AE89" s="595"/>
      <c r="AF89" s="595"/>
      <c r="AG89" s="595"/>
      <c r="AH89" s="595"/>
      <c r="AI89" s="595"/>
      <c r="AJ89" s="595"/>
      <c r="AK89" s="595"/>
      <c r="AL89" s="595"/>
      <c r="AM89" s="595"/>
      <c r="AN89" s="595"/>
      <c r="AO89" s="595"/>
      <c r="AP89" s="595"/>
      <c r="AQ89" s="595"/>
      <c r="AR89" s="595"/>
      <c r="AS89" s="595"/>
      <c r="AT89" s="595"/>
      <c r="AU89" s="595"/>
      <c r="AV89" s="595"/>
      <c r="AW89" s="595"/>
      <c r="AX89" s="595"/>
      <c r="AY89" s="595"/>
      <c r="AZ89" s="595"/>
      <c r="BA89" s="595"/>
      <c r="BB89" s="595"/>
      <c r="BC89" s="595"/>
    </row>
    <row r="90" spans="1:57" ht="16.5" customHeight="1">
      <c r="A90" s="347"/>
      <c r="B90" s="348"/>
      <c r="C90" s="349"/>
      <c r="D90" s="595"/>
      <c r="E90" s="595"/>
      <c r="F90" s="595"/>
      <c r="G90" s="595"/>
      <c r="H90" s="595"/>
      <c r="I90" s="595"/>
      <c r="J90" s="595"/>
      <c r="K90" s="595"/>
      <c r="L90" s="595"/>
      <c r="M90" s="595"/>
      <c r="N90" s="595"/>
      <c r="O90" s="595"/>
      <c r="P90" s="595"/>
      <c r="Q90" s="595"/>
      <c r="R90" s="595"/>
      <c r="S90" s="595"/>
      <c r="T90" s="595"/>
      <c r="U90" s="595"/>
      <c r="V90" s="595"/>
      <c r="W90" s="595"/>
      <c r="X90" s="595"/>
      <c r="Y90" s="595"/>
      <c r="Z90" s="595"/>
      <c r="AA90" s="595"/>
      <c r="AB90" s="595"/>
      <c r="AC90" s="595"/>
      <c r="AD90" s="595"/>
      <c r="AE90" s="595"/>
      <c r="AF90" s="595"/>
      <c r="AG90" s="595"/>
      <c r="AH90" s="595"/>
      <c r="AI90" s="595"/>
      <c r="AJ90" s="595"/>
      <c r="AK90" s="595"/>
      <c r="AL90" s="595"/>
      <c r="AM90" s="595"/>
      <c r="AN90" s="595"/>
      <c r="AO90" s="595"/>
      <c r="AP90" s="595"/>
      <c r="AQ90" s="595"/>
      <c r="AR90" s="595"/>
      <c r="AS90" s="595"/>
      <c r="AT90" s="595"/>
      <c r="AU90" s="595"/>
      <c r="AV90" s="595"/>
      <c r="AW90" s="595"/>
      <c r="AX90" s="595"/>
      <c r="AY90" s="595"/>
      <c r="AZ90" s="595"/>
      <c r="BA90" s="595"/>
      <c r="BB90" s="595"/>
      <c r="BC90" s="595"/>
    </row>
    <row r="91" spans="1:57" ht="16.5" customHeight="1">
      <c r="A91" s="347"/>
      <c r="B91" s="348"/>
      <c r="C91" s="349"/>
      <c r="D91" s="595"/>
      <c r="E91" s="595"/>
      <c r="F91" s="595"/>
      <c r="G91" s="595"/>
      <c r="H91" s="595"/>
      <c r="I91" s="595"/>
      <c r="J91" s="595"/>
      <c r="K91" s="595"/>
      <c r="L91" s="595"/>
      <c r="M91" s="595"/>
      <c r="N91" s="595"/>
      <c r="O91" s="595"/>
      <c r="P91" s="595"/>
      <c r="Q91" s="595"/>
      <c r="R91" s="595"/>
      <c r="S91" s="595"/>
      <c r="T91" s="595"/>
      <c r="U91" s="595"/>
      <c r="V91" s="595"/>
      <c r="W91" s="595"/>
      <c r="X91" s="595"/>
      <c r="Y91" s="595"/>
      <c r="Z91" s="595"/>
      <c r="AA91" s="595"/>
      <c r="AB91" s="595"/>
      <c r="AC91" s="595"/>
      <c r="AD91" s="595"/>
      <c r="AE91" s="595"/>
      <c r="AF91" s="595"/>
      <c r="AG91" s="595"/>
      <c r="AH91" s="595"/>
      <c r="AI91" s="595"/>
      <c r="AJ91" s="595"/>
      <c r="AK91" s="595"/>
      <c r="AL91" s="595"/>
      <c r="AM91" s="595"/>
      <c r="AN91" s="595"/>
      <c r="AO91" s="595"/>
      <c r="AP91" s="595"/>
      <c r="AQ91" s="595"/>
      <c r="AR91" s="595"/>
      <c r="AS91" s="595"/>
      <c r="AT91" s="595"/>
      <c r="AU91" s="595"/>
      <c r="AV91" s="595"/>
      <c r="AW91" s="595"/>
      <c r="AX91" s="595"/>
      <c r="AY91" s="595"/>
      <c r="AZ91" s="595"/>
      <c r="BA91" s="595"/>
      <c r="BB91" s="595"/>
      <c r="BC91" s="595"/>
    </row>
    <row r="92" spans="1:57" ht="16.5" customHeight="1">
      <c r="A92" s="347"/>
      <c r="B92" s="350"/>
      <c r="C92" s="351"/>
    </row>
    <row r="93" spans="1:57" ht="16.5" customHeight="1">
      <c r="A93" s="347"/>
      <c r="B93" s="350"/>
      <c r="C93" s="351"/>
    </row>
    <row r="94" spans="1:57" ht="16.5" customHeight="1">
      <c r="A94" s="347"/>
      <c r="B94" s="350"/>
      <c r="C94" s="351"/>
    </row>
    <row r="95" spans="1:57" ht="16.5" customHeight="1">
      <c r="A95" s="347"/>
      <c r="B95" s="350"/>
      <c r="C95" s="351"/>
    </row>
    <row r="96" spans="1:57" ht="16.5" customHeight="1">
      <c r="A96" s="597"/>
      <c r="B96" s="350"/>
      <c r="C96" s="351"/>
    </row>
    <row r="97" spans="1:55" ht="16.5" customHeight="1">
      <c r="A97" s="597"/>
      <c r="B97" s="350"/>
      <c r="C97" s="351"/>
    </row>
    <row r="98" spans="1:55" ht="16.5" customHeight="1">
      <c r="A98" s="597"/>
      <c r="B98" s="350"/>
      <c r="C98" s="351"/>
    </row>
    <row r="99" spans="1:55" ht="16.5" customHeight="1">
      <c r="A99" s="597"/>
      <c r="B99" s="348"/>
      <c r="C99" s="349"/>
      <c r="D99" s="595"/>
      <c r="E99" s="595"/>
      <c r="F99" s="595"/>
      <c r="G99" s="595"/>
      <c r="H99" s="595"/>
      <c r="I99" s="595"/>
      <c r="J99" s="595"/>
      <c r="K99" s="595"/>
      <c r="L99" s="595"/>
      <c r="M99" s="595"/>
      <c r="N99" s="595"/>
      <c r="O99" s="595"/>
      <c r="P99" s="595"/>
      <c r="Q99" s="595"/>
      <c r="R99" s="595"/>
      <c r="S99" s="595"/>
      <c r="T99" s="595"/>
      <c r="U99" s="595"/>
      <c r="V99" s="595"/>
      <c r="W99" s="595"/>
      <c r="X99" s="595"/>
      <c r="Y99" s="595"/>
      <c r="Z99" s="595"/>
      <c r="AA99" s="595"/>
      <c r="AB99" s="595"/>
      <c r="AC99" s="595"/>
      <c r="AD99" s="595"/>
      <c r="AE99" s="595"/>
      <c r="AF99" s="595"/>
      <c r="AG99" s="595"/>
      <c r="AH99" s="595"/>
      <c r="AI99" s="595"/>
      <c r="AJ99" s="595"/>
      <c r="AK99" s="595"/>
      <c r="AL99" s="595"/>
      <c r="AM99" s="595"/>
      <c r="AN99" s="595"/>
      <c r="AO99" s="595"/>
      <c r="AP99" s="595"/>
      <c r="AQ99" s="595"/>
      <c r="AR99" s="595"/>
      <c r="AS99" s="595"/>
      <c r="AT99" s="595"/>
      <c r="AU99" s="595"/>
      <c r="AV99" s="595"/>
      <c r="AW99" s="595"/>
      <c r="AX99" s="595"/>
      <c r="AY99" s="595"/>
      <c r="AZ99" s="595"/>
      <c r="BA99" s="595"/>
      <c r="BB99" s="595"/>
      <c r="BC99" s="595"/>
    </row>
    <row r="100" spans="1:55" ht="16.5" customHeight="1">
      <c r="A100" s="597"/>
      <c r="B100" s="348"/>
      <c r="C100" s="349"/>
      <c r="D100" s="595"/>
      <c r="E100" s="595"/>
      <c r="F100" s="595"/>
      <c r="G100" s="595"/>
      <c r="H100" s="595"/>
      <c r="I100" s="595"/>
      <c r="J100" s="595"/>
      <c r="K100" s="595"/>
      <c r="L100" s="595"/>
      <c r="M100" s="595"/>
      <c r="N100" s="595"/>
      <c r="O100" s="595"/>
      <c r="P100" s="595"/>
      <c r="Q100" s="595"/>
      <c r="R100" s="595"/>
      <c r="S100" s="595"/>
      <c r="T100" s="595"/>
      <c r="U100" s="595"/>
      <c r="V100" s="595"/>
      <c r="W100" s="595"/>
      <c r="X100" s="595"/>
      <c r="Y100" s="595"/>
      <c r="Z100" s="595"/>
      <c r="AA100" s="595"/>
      <c r="AB100" s="595"/>
      <c r="AC100" s="595"/>
      <c r="AD100" s="595"/>
      <c r="AE100" s="595"/>
      <c r="AF100" s="595"/>
      <c r="AG100" s="595"/>
      <c r="AH100" s="595"/>
      <c r="AI100" s="595"/>
      <c r="AJ100" s="595"/>
      <c r="AK100" s="595"/>
      <c r="AL100" s="595"/>
      <c r="AM100" s="595"/>
      <c r="AN100" s="595"/>
      <c r="AO100" s="595"/>
      <c r="AP100" s="595"/>
      <c r="AQ100" s="595"/>
      <c r="AR100" s="595"/>
      <c r="AS100" s="595"/>
      <c r="AT100" s="595"/>
      <c r="AU100" s="595"/>
      <c r="AV100" s="595"/>
      <c r="AW100" s="595"/>
      <c r="AX100" s="595"/>
      <c r="AY100" s="595"/>
      <c r="AZ100" s="595"/>
      <c r="BA100" s="595"/>
      <c r="BB100" s="595"/>
      <c r="BC100" s="595"/>
    </row>
    <row r="101" spans="1:55" ht="16.5" customHeight="1">
      <c r="A101" s="597"/>
      <c r="B101" s="348"/>
      <c r="C101" s="349"/>
      <c r="D101" s="595"/>
      <c r="E101" s="595"/>
      <c r="F101" s="595"/>
      <c r="G101" s="595"/>
      <c r="H101" s="595"/>
      <c r="I101" s="595"/>
      <c r="J101" s="595"/>
      <c r="K101" s="595"/>
      <c r="L101" s="595"/>
      <c r="M101" s="595"/>
      <c r="N101" s="595"/>
      <c r="O101" s="595"/>
      <c r="P101" s="595"/>
      <c r="Q101" s="595"/>
      <c r="R101" s="595"/>
      <c r="S101" s="595"/>
      <c r="T101" s="595"/>
      <c r="U101" s="595"/>
      <c r="V101" s="595"/>
      <c r="W101" s="595"/>
      <c r="X101" s="595"/>
      <c r="Y101" s="595"/>
      <c r="Z101" s="595"/>
      <c r="AA101" s="595"/>
      <c r="AB101" s="595"/>
      <c r="AC101" s="595"/>
      <c r="AD101" s="595"/>
      <c r="AE101" s="595"/>
      <c r="AF101" s="595"/>
      <c r="AG101" s="595"/>
      <c r="AH101" s="595"/>
      <c r="AI101" s="595"/>
      <c r="AJ101" s="595"/>
      <c r="AK101" s="595"/>
      <c r="AL101" s="595"/>
      <c r="AM101" s="595"/>
      <c r="AN101" s="595"/>
      <c r="AO101" s="595"/>
      <c r="AP101" s="595"/>
      <c r="AQ101" s="595"/>
      <c r="AR101" s="595"/>
      <c r="AS101" s="595"/>
      <c r="AT101" s="595"/>
      <c r="AU101" s="595"/>
      <c r="AV101" s="595"/>
      <c r="AW101" s="595"/>
      <c r="AX101" s="595"/>
      <c r="AY101" s="595"/>
      <c r="AZ101" s="595"/>
      <c r="BA101" s="595"/>
      <c r="BB101" s="595"/>
      <c r="BC101" s="595"/>
    </row>
    <row r="102" spans="1:55" ht="16.5" customHeight="1">
      <c r="A102" s="597"/>
      <c r="B102" s="348"/>
      <c r="C102" s="349"/>
      <c r="D102" s="595"/>
      <c r="E102" s="595"/>
      <c r="F102" s="595"/>
      <c r="G102" s="595"/>
      <c r="H102" s="595"/>
      <c r="I102" s="595"/>
      <c r="J102" s="595"/>
      <c r="K102" s="595"/>
      <c r="L102" s="595"/>
      <c r="M102" s="595"/>
      <c r="N102" s="595"/>
      <c r="O102" s="595"/>
      <c r="P102" s="595"/>
      <c r="Q102" s="595"/>
      <c r="R102" s="595"/>
      <c r="S102" s="595"/>
      <c r="T102" s="595"/>
      <c r="U102" s="595"/>
      <c r="V102" s="595"/>
      <c r="W102" s="595"/>
      <c r="X102" s="595"/>
      <c r="Y102" s="595"/>
      <c r="Z102" s="595"/>
      <c r="AA102" s="595"/>
      <c r="AB102" s="595"/>
      <c r="AC102" s="595"/>
      <c r="AD102" s="595"/>
      <c r="AE102" s="595"/>
      <c r="AF102" s="595"/>
      <c r="AG102" s="595"/>
      <c r="AH102" s="595"/>
      <c r="AI102" s="595"/>
      <c r="AJ102" s="595"/>
      <c r="AK102" s="595"/>
      <c r="AL102" s="595"/>
      <c r="AM102" s="595"/>
      <c r="AN102" s="595"/>
      <c r="AO102" s="595"/>
      <c r="AP102" s="595"/>
      <c r="AQ102" s="595"/>
      <c r="AR102" s="595"/>
      <c r="AS102" s="595"/>
      <c r="AT102" s="595"/>
      <c r="AU102" s="595"/>
      <c r="AV102" s="595"/>
      <c r="AW102" s="595"/>
      <c r="AX102" s="595"/>
      <c r="AY102" s="595"/>
      <c r="AZ102" s="595"/>
      <c r="BA102" s="595"/>
      <c r="BB102" s="595"/>
      <c r="BC102" s="595"/>
    </row>
    <row r="103" spans="1:55" ht="16.5" customHeight="1">
      <c r="A103" s="597"/>
      <c r="B103" s="348"/>
      <c r="C103" s="349"/>
      <c r="D103" s="595"/>
      <c r="E103" s="595"/>
      <c r="F103" s="595"/>
      <c r="G103" s="595"/>
      <c r="H103" s="595"/>
      <c r="I103" s="595"/>
      <c r="J103" s="595"/>
      <c r="K103" s="595"/>
      <c r="L103" s="595"/>
      <c r="M103" s="595"/>
      <c r="N103" s="595"/>
      <c r="O103" s="595"/>
      <c r="P103" s="595"/>
      <c r="Q103" s="595"/>
      <c r="R103" s="595"/>
      <c r="S103" s="595"/>
      <c r="T103" s="595"/>
      <c r="U103" s="595"/>
      <c r="V103" s="595"/>
      <c r="W103" s="595"/>
      <c r="X103" s="595"/>
      <c r="Y103" s="595"/>
      <c r="Z103" s="595"/>
      <c r="AA103" s="595"/>
      <c r="AB103" s="595"/>
      <c r="AC103" s="595"/>
      <c r="AD103" s="595"/>
      <c r="AE103" s="595"/>
      <c r="AF103" s="595"/>
      <c r="AG103" s="595"/>
      <c r="AH103" s="595"/>
      <c r="AI103" s="595"/>
      <c r="AJ103" s="595"/>
      <c r="AK103" s="595"/>
      <c r="AL103" s="595"/>
      <c r="AM103" s="595"/>
      <c r="AN103" s="595"/>
      <c r="AO103" s="595"/>
      <c r="AP103" s="595"/>
      <c r="AQ103" s="595"/>
      <c r="AR103" s="595"/>
      <c r="AS103" s="595"/>
      <c r="AT103" s="595"/>
      <c r="AU103" s="595"/>
      <c r="AV103" s="595"/>
      <c r="AW103" s="595"/>
      <c r="AX103" s="595"/>
      <c r="AY103" s="595"/>
      <c r="AZ103" s="595"/>
      <c r="BA103" s="595"/>
      <c r="BB103" s="595"/>
      <c r="BC103" s="595"/>
    </row>
    <row r="104" spans="1:55" ht="16.5" customHeight="1">
      <c r="A104" s="597"/>
      <c r="B104" s="348"/>
      <c r="C104" s="349"/>
      <c r="D104" s="595"/>
      <c r="E104" s="595"/>
      <c r="F104" s="595"/>
      <c r="G104" s="595"/>
      <c r="H104" s="595"/>
      <c r="I104" s="595"/>
      <c r="J104" s="595"/>
      <c r="K104" s="595"/>
      <c r="L104" s="595"/>
      <c r="M104" s="595"/>
      <c r="N104" s="595"/>
      <c r="O104" s="595"/>
      <c r="P104" s="595"/>
      <c r="Q104" s="595"/>
      <c r="R104" s="595"/>
      <c r="S104" s="595"/>
      <c r="T104" s="595"/>
      <c r="U104" s="595"/>
      <c r="V104" s="595"/>
      <c r="W104" s="595"/>
      <c r="X104" s="595"/>
      <c r="Y104" s="595"/>
      <c r="Z104" s="595"/>
      <c r="AA104" s="595"/>
      <c r="AB104" s="595"/>
      <c r="AC104" s="595"/>
      <c r="AD104" s="595"/>
      <c r="AE104" s="595"/>
      <c r="AF104" s="595"/>
      <c r="AG104" s="595"/>
      <c r="AH104" s="595"/>
      <c r="AI104" s="595"/>
      <c r="AJ104" s="595"/>
      <c r="AK104" s="595"/>
      <c r="AL104" s="595"/>
      <c r="AM104" s="595"/>
      <c r="AN104" s="595"/>
      <c r="AO104" s="595"/>
      <c r="AP104" s="595"/>
      <c r="AQ104" s="595"/>
      <c r="AR104" s="595"/>
      <c r="AS104" s="595"/>
      <c r="AT104" s="595"/>
      <c r="AU104" s="595"/>
      <c r="AV104" s="595"/>
      <c r="AW104" s="595"/>
      <c r="AX104" s="595"/>
      <c r="AY104" s="595"/>
      <c r="AZ104" s="595"/>
      <c r="BA104" s="595"/>
      <c r="BB104" s="595"/>
      <c r="BC104" s="595"/>
    </row>
    <row r="105" spans="1:55" ht="16.5" customHeight="1">
      <c r="A105" s="597"/>
      <c r="B105" s="348"/>
      <c r="C105" s="349"/>
      <c r="D105" s="595"/>
      <c r="E105" s="595"/>
      <c r="F105" s="595"/>
      <c r="G105" s="595"/>
      <c r="H105" s="595"/>
      <c r="I105" s="595"/>
      <c r="J105" s="595"/>
      <c r="K105" s="595"/>
      <c r="L105" s="595"/>
      <c r="M105" s="595"/>
      <c r="N105" s="595"/>
      <c r="O105" s="595"/>
      <c r="P105" s="595"/>
      <c r="Q105" s="595"/>
      <c r="R105" s="595"/>
      <c r="S105" s="595"/>
      <c r="T105" s="595"/>
      <c r="U105" s="595"/>
      <c r="V105" s="595"/>
      <c r="W105" s="595"/>
      <c r="X105" s="595"/>
      <c r="Y105" s="595"/>
      <c r="Z105" s="595"/>
      <c r="AA105" s="595"/>
      <c r="AB105" s="595"/>
      <c r="AC105" s="595"/>
      <c r="AD105" s="595"/>
      <c r="AE105" s="595"/>
      <c r="AF105" s="595"/>
      <c r="AG105" s="595"/>
      <c r="AH105" s="595"/>
      <c r="AI105" s="595"/>
      <c r="AJ105" s="595"/>
      <c r="AK105" s="595"/>
      <c r="AL105" s="595"/>
      <c r="AM105" s="595"/>
      <c r="AN105" s="595"/>
      <c r="AO105" s="595"/>
      <c r="AP105" s="595"/>
      <c r="AQ105" s="595"/>
      <c r="AR105" s="595"/>
      <c r="AS105" s="595"/>
      <c r="AT105" s="595"/>
      <c r="AU105" s="595"/>
      <c r="AV105" s="595"/>
      <c r="AW105" s="595"/>
      <c r="AX105" s="595"/>
      <c r="AY105" s="595"/>
      <c r="AZ105" s="595"/>
      <c r="BA105" s="595"/>
      <c r="BB105" s="595"/>
      <c r="BC105" s="595"/>
    </row>
    <row r="106" spans="1:55" ht="16.5" customHeight="1">
      <c r="A106" s="597"/>
      <c r="B106" s="348"/>
      <c r="C106" s="349"/>
      <c r="D106" s="595"/>
      <c r="E106" s="595"/>
      <c r="F106" s="595"/>
      <c r="G106" s="595"/>
      <c r="H106" s="595"/>
      <c r="I106" s="595"/>
      <c r="J106" s="595"/>
      <c r="K106" s="595"/>
      <c r="L106" s="595"/>
      <c r="M106" s="595"/>
      <c r="N106" s="595"/>
      <c r="O106" s="595"/>
      <c r="P106" s="595"/>
      <c r="Q106" s="595"/>
      <c r="R106" s="595"/>
      <c r="S106" s="595"/>
      <c r="T106" s="595"/>
      <c r="U106" s="595"/>
      <c r="V106" s="595"/>
      <c r="W106" s="595"/>
      <c r="X106" s="595"/>
      <c r="Y106" s="595"/>
      <c r="Z106" s="595"/>
      <c r="AA106" s="595"/>
      <c r="AB106" s="595"/>
      <c r="AC106" s="595"/>
      <c r="AD106" s="595"/>
      <c r="AE106" s="595"/>
      <c r="AF106" s="595"/>
      <c r="AG106" s="595"/>
      <c r="AH106" s="595"/>
      <c r="AI106" s="595"/>
      <c r="AJ106" s="595"/>
      <c r="AK106" s="595"/>
      <c r="AL106" s="595"/>
      <c r="AM106" s="595"/>
      <c r="AN106" s="595"/>
      <c r="AO106" s="595"/>
      <c r="AP106" s="595"/>
      <c r="AQ106" s="595"/>
      <c r="AR106" s="595"/>
      <c r="AS106" s="595"/>
      <c r="AT106" s="595"/>
      <c r="AU106" s="595"/>
      <c r="AV106" s="595"/>
      <c r="AW106" s="595"/>
      <c r="AX106" s="595"/>
      <c r="AY106" s="595"/>
      <c r="AZ106" s="595"/>
      <c r="BA106" s="595"/>
      <c r="BB106" s="595"/>
      <c r="BC106" s="595"/>
    </row>
    <row r="107" spans="1:55" ht="16.5" customHeight="1">
      <c r="A107" s="597"/>
      <c r="B107" s="348"/>
      <c r="C107" s="349"/>
      <c r="D107" s="595"/>
      <c r="E107" s="595"/>
      <c r="F107" s="595"/>
      <c r="G107" s="595"/>
      <c r="H107" s="595"/>
      <c r="I107" s="595"/>
      <c r="J107" s="595"/>
      <c r="K107" s="595"/>
      <c r="L107" s="595"/>
      <c r="M107" s="595"/>
      <c r="N107" s="595"/>
      <c r="O107" s="595"/>
      <c r="P107" s="595"/>
      <c r="Q107" s="595"/>
      <c r="R107" s="595"/>
      <c r="S107" s="595"/>
      <c r="T107" s="595"/>
      <c r="U107" s="595"/>
      <c r="V107" s="595"/>
      <c r="W107" s="595"/>
      <c r="X107" s="595"/>
      <c r="Y107" s="595"/>
      <c r="Z107" s="595"/>
      <c r="AA107" s="595"/>
      <c r="AB107" s="595"/>
      <c r="AC107" s="595"/>
      <c r="AD107" s="595"/>
      <c r="AE107" s="595"/>
      <c r="AF107" s="595"/>
      <c r="AG107" s="595"/>
      <c r="AH107" s="595"/>
      <c r="AI107" s="595"/>
      <c r="AJ107" s="595"/>
      <c r="AK107" s="595"/>
      <c r="AL107" s="595"/>
      <c r="AM107" s="595"/>
      <c r="AN107" s="595"/>
      <c r="AO107" s="595"/>
      <c r="AP107" s="595"/>
      <c r="AQ107" s="595"/>
      <c r="AR107" s="595"/>
      <c r="AS107" s="595"/>
      <c r="AT107" s="595"/>
      <c r="AU107" s="595"/>
      <c r="AV107" s="595"/>
      <c r="AW107" s="595"/>
      <c r="AX107" s="595"/>
      <c r="AY107" s="595"/>
      <c r="AZ107" s="595"/>
      <c r="BA107" s="595"/>
      <c r="BB107" s="595"/>
      <c r="BC107" s="595"/>
    </row>
    <row r="108" spans="1:55" ht="16.5" customHeight="1">
      <c r="A108" s="597"/>
      <c r="B108" s="348"/>
      <c r="C108" s="349"/>
      <c r="D108" s="595"/>
      <c r="E108" s="595"/>
      <c r="F108" s="595"/>
      <c r="G108" s="595"/>
      <c r="H108" s="595"/>
      <c r="I108" s="595"/>
      <c r="J108" s="595"/>
      <c r="K108" s="595"/>
      <c r="L108" s="595"/>
      <c r="M108" s="595"/>
      <c r="N108" s="595"/>
      <c r="O108" s="595"/>
      <c r="P108" s="595"/>
      <c r="Q108" s="595"/>
      <c r="R108" s="595"/>
      <c r="S108" s="595"/>
      <c r="T108" s="595"/>
      <c r="U108" s="595"/>
      <c r="V108" s="595"/>
      <c r="W108" s="595"/>
      <c r="X108" s="595"/>
      <c r="Y108" s="595"/>
      <c r="Z108" s="595"/>
      <c r="AA108" s="595"/>
      <c r="AB108" s="595"/>
      <c r="AC108" s="595"/>
      <c r="AD108" s="595"/>
      <c r="AE108" s="595"/>
      <c r="AF108" s="595"/>
      <c r="AG108" s="595"/>
      <c r="AH108" s="595"/>
      <c r="AI108" s="595"/>
      <c r="AJ108" s="595"/>
      <c r="AK108" s="595"/>
      <c r="AL108" s="595"/>
      <c r="AM108" s="595"/>
      <c r="AN108" s="595"/>
      <c r="AO108" s="595"/>
      <c r="AP108" s="595"/>
      <c r="AQ108" s="595"/>
      <c r="AR108" s="595"/>
      <c r="AS108" s="595"/>
      <c r="AT108" s="595"/>
      <c r="AU108" s="595"/>
      <c r="AV108" s="595"/>
      <c r="AW108" s="595"/>
      <c r="AX108" s="595"/>
      <c r="AY108" s="595"/>
      <c r="AZ108" s="595"/>
      <c r="BA108" s="595"/>
      <c r="BB108" s="595"/>
      <c r="BC108" s="595"/>
    </row>
    <row r="109" spans="1:55" ht="16.5" customHeight="1">
      <c r="A109" s="597"/>
      <c r="B109" s="598"/>
      <c r="C109" s="599"/>
    </row>
    <row r="110" spans="1:55" ht="16.5" customHeight="1">
      <c r="A110" s="597"/>
      <c r="B110" s="598"/>
      <c r="C110" s="599"/>
    </row>
    <row r="111" spans="1:55" ht="16.5" customHeight="1">
      <c r="A111" s="597"/>
      <c r="B111" s="598"/>
      <c r="C111" s="599"/>
    </row>
    <row r="112" spans="1:55" ht="16.5" customHeight="1">
      <c r="A112" s="597"/>
      <c r="B112" s="598"/>
      <c r="C112" s="599"/>
    </row>
    <row r="113" spans="1:3" ht="16.5" customHeight="1">
      <c r="A113" s="597"/>
      <c r="B113" s="598"/>
      <c r="C113" s="599"/>
    </row>
    <row r="114" spans="1:3" ht="16.5" customHeight="1">
      <c r="A114" s="597"/>
      <c r="B114" s="598"/>
      <c r="C114" s="599"/>
    </row>
    <row r="115" spans="1:3" ht="16.5" customHeight="1">
      <c r="A115" s="597"/>
      <c r="B115" s="598"/>
      <c r="C115" s="599"/>
    </row>
    <row r="116" spans="1:3" ht="16.5" customHeight="1">
      <c r="A116" s="597"/>
      <c r="B116" s="598"/>
      <c r="C116" s="599"/>
    </row>
    <row r="117" spans="1:3" ht="16.5" customHeight="1">
      <c r="A117" s="597"/>
      <c r="B117" s="598"/>
      <c r="C117" s="599"/>
    </row>
    <row r="118" spans="1:3" ht="16.5" customHeight="1">
      <c r="B118" s="587"/>
      <c r="C118" s="601"/>
    </row>
    <row r="119" spans="1:3" ht="16.5" customHeight="1">
      <c r="B119" s="587"/>
      <c r="C119" s="601"/>
    </row>
    <row r="120" spans="1:3" ht="16.5" customHeight="1">
      <c r="B120" s="587"/>
      <c r="C120" s="601"/>
    </row>
    <row r="121" spans="1:3" ht="16.5" customHeight="1">
      <c r="B121" s="587"/>
      <c r="C121" s="601"/>
    </row>
    <row r="122" spans="1:3" ht="16.5" customHeight="1">
      <c r="B122" s="587"/>
      <c r="C122" s="601"/>
    </row>
    <row r="123" spans="1:3" ht="16.5" customHeight="1">
      <c r="B123" s="587"/>
      <c r="C123" s="601"/>
    </row>
    <row r="124" spans="1:3" ht="16.5" customHeight="1">
      <c r="B124" s="587"/>
      <c r="C124" s="601"/>
    </row>
    <row r="125" spans="1:3" ht="16.5" customHeight="1">
      <c r="B125" s="587"/>
      <c r="C125" s="601"/>
    </row>
    <row r="126" spans="1:3" ht="16.5" customHeight="1">
      <c r="B126" s="587"/>
      <c r="C126" s="601"/>
    </row>
    <row r="127" spans="1:3" ht="16.5" customHeight="1">
      <c r="B127" s="587"/>
      <c r="C127" s="601"/>
    </row>
    <row r="128" spans="1:3" ht="16.5" customHeight="1">
      <c r="B128" s="587"/>
      <c r="C128" s="601"/>
    </row>
    <row r="129" spans="2:3" ht="16.5" customHeight="1">
      <c r="B129" s="587"/>
      <c r="C129" s="601"/>
    </row>
    <row r="130" spans="2:3" ht="16.5" customHeight="1">
      <c r="B130" s="587"/>
      <c r="C130" s="601"/>
    </row>
    <row r="131" spans="2:3" ht="16.5" customHeight="1">
      <c r="B131" s="587"/>
      <c r="C131" s="601"/>
    </row>
    <row r="132" spans="2:3" ht="16.5" customHeight="1">
      <c r="B132" s="587"/>
      <c r="C132" s="601"/>
    </row>
    <row r="133" spans="2:3" ht="16.5" customHeight="1">
      <c r="B133" s="587"/>
      <c r="C133" s="601"/>
    </row>
    <row r="134" spans="2:3" ht="16.5" customHeight="1">
      <c r="B134" s="587"/>
      <c r="C134" s="601"/>
    </row>
    <row r="135" spans="2:3" ht="16.5" customHeight="1">
      <c r="B135" s="587"/>
      <c r="C135" s="601"/>
    </row>
    <row r="136" spans="2:3" ht="16.5" customHeight="1">
      <c r="B136" s="587"/>
      <c r="C136" s="601"/>
    </row>
    <row r="137" spans="2:3" ht="16.5" customHeight="1">
      <c r="B137" s="587"/>
      <c r="C137" s="601"/>
    </row>
    <row r="138" spans="2:3" ht="16.5" customHeight="1">
      <c r="B138" s="587"/>
      <c r="C138" s="601"/>
    </row>
    <row r="139" spans="2:3" ht="16.5" customHeight="1">
      <c r="B139" s="587"/>
      <c r="C139" s="601"/>
    </row>
    <row r="140" spans="2:3" ht="16.5" customHeight="1">
      <c r="B140" s="587"/>
      <c r="C140" s="601"/>
    </row>
    <row r="141" spans="2:3" ht="16.5" customHeight="1">
      <c r="B141" s="587"/>
      <c r="C141" s="601"/>
    </row>
    <row r="142" spans="2:3" ht="16.5" customHeight="1">
      <c r="B142" s="587"/>
      <c r="C142" s="601"/>
    </row>
    <row r="143" spans="2:3" ht="16.5" customHeight="1">
      <c r="B143" s="587"/>
      <c r="C143" s="601"/>
    </row>
    <row r="144" spans="2:3" ht="16.5" customHeight="1">
      <c r="B144" s="587"/>
      <c r="C144" s="601"/>
    </row>
    <row r="145" spans="2:3" ht="16.5" customHeight="1">
      <c r="B145" s="587"/>
      <c r="C145" s="601"/>
    </row>
    <row r="146" spans="2:3" ht="16.5" customHeight="1">
      <c r="B146" s="587"/>
      <c r="C146" s="601"/>
    </row>
    <row r="147" spans="2:3" ht="16.5" customHeight="1">
      <c r="B147" s="587"/>
      <c r="C147" s="601"/>
    </row>
    <row r="148" spans="2:3" ht="16.5" customHeight="1">
      <c r="B148" s="587"/>
      <c r="C148" s="601"/>
    </row>
    <row r="149" spans="2:3" ht="16.5" customHeight="1">
      <c r="B149" s="587"/>
      <c r="C149" s="601"/>
    </row>
    <row r="150" spans="2:3" ht="16.5" customHeight="1">
      <c r="B150" s="587"/>
      <c r="C150" s="601"/>
    </row>
    <row r="151" spans="2:3" ht="16.5" customHeight="1">
      <c r="B151" s="587"/>
      <c r="C151" s="601"/>
    </row>
    <row r="152" spans="2:3" ht="16.5" customHeight="1">
      <c r="B152" s="587"/>
      <c r="C152" s="601"/>
    </row>
    <row r="153" spans="2:3" ht="16.5" customHeight="1">
      <c r="B153" s="587"/>
      <c r="C153" s="601"/>
    </row>
    <row r="154" spans="2:3" ht="16.5" customHeight="1">
      <c r="B154" s="587"/>
      <c r="C154" s="601"/>
    </row>
    <row r="155" spans="2:3" ht="16.5" customHeight="1">
      <c r="B155" s="587"/>
      <c r="C155" s="601"/>
    </row>
    <row r="156" spans="2:3" ht="16.5" customHeight="1">
      <c r="B156" s="587"/>
    </row>
    <row r="157" spans="2:3" ht="16.5" customHeight="1">
      <c r="B157" s="587"/>
    </row>
    <row r="158" spans="2:3" ht="16.5" customHeight="1">
      <c r="B158" s="587"/>
    </row>
    <row r="159" spans="2:3" ht="16.5" customHeight="1">
      <c r="B159" s="587"/>
    </row>
    <row r="160" spans="2:3" ht="16.5" customHeight="1">
      <c r="B160" s="587"/>
    </row>
    <row r="161" spans="2:2" ht="16.5" customHeight="1">
      <c r="B161" s="587"/>
    </row>
    <row r="162" spans="2:2" ht="16.5" customHeight="1">
      <c r="B162" s="587"/>
    </row>
    <row r="163" spans="2:2" ht="16.5" customHeight="1">
      <c r="B163" s="587"/>
    </row>
    <row r="164" spans="2:2" ht="16.5" customHeight="1">
      <c r="B164" s="587"/>
    </row>
    <row r="165" spans="2:2" ht="16.5" customHeight="1">
      <c r="B165" s="587"/>
    </row>
    <row r="166" spans="2:2" ht="16.5" customHeight="1">
      <c r="B166" s="587"/>
    </row>
    <row r="167" spans="2:2" ht="16.5" customHeight="1">
      <c r="B167" s="587"/>
    </row>
    <row r="168" spans="2:2" ht="16.5" customHeight="1">
      <c r="B168" s="587"/>
    </row>
    <row r="169" spans="2:2" ht="16.5" customHeight="1">
      <c r="B169" s="587"/>
    </row>
    <row r="170" spans="2:2" ht="16.5" customHeight="1">
      <c r="B170" s="587"/>
    </row>
    <row r="171" spans="2:2" ht="16.5" customHeight="1">
      <c r="B171" s="587"/>
    </row>
    <row r="172" spans="2:2" ht="16.5" customHeight="1">
      <c r="B172" s="587"/>
    </row>
    <row r="173" spans="2:2" ht="16.5" customHeight="1">
      <c r="B173" s="587"/>
    </row>
    <row r="174" spans="2:2" ht="16.5" customHeight="1">
      <c r="B174" s="587"/>
    </row>
    <row r="175" spans="2:2" ht="16.5" customHeight="1">
      <c r="B175" s="587"/>
    </row>
    <row r="176" spans="2:2" ht="16.5" customHeight="1">
      <c r="B176" s="587"/>
    </row>
    <row r="177" spans="2:2" ht="16.5" customHeight="1">
      <c r="B177" s="587"/>
    </row>
    <row r="178" spans="2:2" ht="16.5" customHeight="1">
      <c r="B178" s="587"/>
    </row>
    <row r="179" spans="2:2" ht="16.5" customHeight="1">
      <c r="B179" s="587"/>
    </row>
    <row r="180" spans="2:2" ht="16.5" customHeight="1">
      <c r="B180" s="587"/>
    </row>
    <row r="181" spans="2:2" ht="16.5" customHeight="1">
      <c r="B181" s="587"/>
    </row>
    <row r="182" spans="2:2" ht="16.5" customHeight="1">
      <c r="B182" s="587"/>
    </row>
    <row r="183" spans="2:2" ht="16.5" customHeight="1">
      <c r="B183" s="587"/>
    </row>
    <row r="184" spans="2:2" ht="16.5" customHeight="1">
      <c r="B184" s="587"/>
    </row>
    <row r="185" spans="2:2" ht="16.5" customHeight="1">
      <c r="B185" s="587"/>
    </row>
    <row r="186" spans="2:2" ht="16.5" customHeight="1">
      <c r="B186" s="587"/>
    </row>
    <row r="187" spans="2:2" ht="16.5" customHeight="1">
      <c r="B187" s="587"/>
    </row>
    <row r="188" spans="2:2" ht="16.5" customHeight="1">
      <c r="B188" s="587"/>
    </row>
    <row r="189" spans="2:2" ht="16.5" customHeight="1">
      <c r="B189" s="587"/>
    </row>
    <row r="190" spans="2:2" ht="16.5" customHeight="1">
      <c r="B190" s="587"/>
    </row>
    <row r="191" spans="2:2" ht="16.5" customHeight="1">
      <c r="B191" s="587"/>
    </row>
    <row r="192" spans="2:2" ht="16.5" customHeight="1">
      <c r="B192" s="587"/>
    </row>
    <row r="193" spans="2:2" ht="16.5" customHeight="1">
      <c r="B193" s="587"/>
    </row>
    <row r="194" spans="2:2" ht="16.5" customHeight="1">
      <c r="B194" s="587"/>
    </row>
    <row r="195" spans="2:2" ht="16.5" customHeight="1">
      <c r="B195" s="587"/>
    </row>
    <row r="196" spans="2:2" ht="16.5" customHeight="1">
      <c r="B196" s="587"/>
    </row>
    <row r="197" spans="2:2" ht="16.5" customHeight="1">
      <c r="B197" s="587"/>
    </row>
    <row r="198" spans="2:2" ht="16.5" customHeight="1">
      <c r="B198" s="587"/>
    </row>
    <row r="199" spans="2:2" ht="16.5" customHeight="1">
      <c r="B199" s="587"/>
    </row>
    <row r="200" spans="2:2" ht="16.5" customHeight="1">
      <c r="B200" s="587"/>
    </row>
  </sheetData>
  <mergeCells count="22">
    <mergeCell ref="A1:BC1"/>
    <mergeCell ref="A6:A8"/>
    <mergeCell ref="B6:B8"/>
    <mergeCell ref="C6:C8"/>
    <mergeCell ref="A2:BC2"/>
    <mergeCell ref="A3:BC3"/>
    <mergeCell ref="G7:G8"/>
    <mergeCell ref="BA6:BB6"/>
    <mergeCell ref="BA7:BA8"/>
    <mergeCell ref="BB7:BB8"/>
    <mergeCell ref="BC6:BC8"/>
    <mergeCell ref="E6:V6"/>
    <mergeCell ref="W7:W8"/>
    <mergeCell ref="X7:AK7"/>
    <mergeCell ref="AL7:AL8"/>
    <mergeCell ref="AM7:AZ7"/>
    <mergeCell ref="W6:AZ6"/>
    <mergeCell ref="D6:D8"/>
    <mergeCell ref="E7:E8"/>
    <mergeCell ref="F7:F8"/>
    <mergeCell ref="H7:H8"/>
    <mergeCell ref="I7:V7"/>
  </mergeCells>
  <printOptions horizontalCentered="1"/>
  <pageMargins left="0.39370078740157483" right="0.39370078740157483" top="0.6692913385826772" bottom="0.51181102362204722" header="0.19685039370078741" footer="0.3"/>
  <pageSetup paperSize="9" scale="73" fitToHeight="0" orientation="landscape" r:id="rId1"/>
  <headerFooter>
    <oddFooter>&amp;C&amp;"Times New Roman,Regular"&amp;10Page &amp;P</oddFooter>
    <evenFooter>Page &amp;P</evenFooter>
  </headerFooter>
  <colBreaks count="1" manualBreakCount="1">
    <brk id="55" max="1048575" man="1"/>
  </colBreaks>
  <legacyDrawing r:id="rId2"/>
</worksheet>
</file>

<file path=xl/worksheets/sheet1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H121"/>
  <sheetViews>
    <sheetView zoomScaleNormal="100" workbookViewId="0">
      <pane xSplit="23" ySplit="7" topLeftCell="AL8" activePane="bottomRight" state="frozen"/>
      <selection activeCell="AP143" sqref="AP143"/>
      <selection pane="topRight" activeCell="AP143" sqref="AP143"/>
      <selection pane="bottomLeft" activeCell="AP143" sqref="AP143"/>
      <selection pane="bottomRight" activeCell="AL8" sqref="AL8"/>
    </sheetView>
  </sheetViews>
  <sheetFormatPr defaultColWidth="9" defaultRowHeight="15.75" customHeight="1"/>
  <cols>
    <col min="1" max="1" width="5" style="341" customWidth="1"/>
    <col min="2" max="2" width="30.125" style="495" customWidth="1"/>
    <col min="3" max="3" width="6.375" style="495" customWidth="1"/>
    <col min="4" max="4" width="6.75" style="12" hidden="1" customWidth="1"/>
    <col min="5" max="5" width="0.875" style="12" hidden="1" customWidth="1"/>
    <col min="6" max="6" width="8.25" style="12" customWidth="1"/>
    <col min="7" max="7" width="7.75" style="12" hidden="1" customWidth="1"/>
    <col min="8" max="8" width="7.375" style="12" hidden="1" customWidth="1"/>
    <col min="9" max="22" width="6.75" style="12" hidden="1" customWidth="1"/>
    <col min="23" max="23" width="7.375" style="12" customWidth="1"/>
    <col min="24" max="24" width="6.75" style="12" hidden="1" customWidth="1"/>
    <col min="25" max="25" width="6.125" style="12" hidden="1" customWidth="1"/>
    <col min="26" max="37" width="6.75" style="12" hidden="1" customWidth="1"/>
    <col min="38" max="38" width="7.375" style="12" customWidth="1"/>
    <col min="39" max="39" width="6.75" style="12" customWidth="1"/>
    <col min="40" max="40" width="6.125" style="12" customWidth="1"/>
    <col min="41" max="52" width="6.75" style="12" customWidth="1"/>
    <col min="53" max="53" width="9.25" style="12" customWidth="1"/>
    <col min="54" max="54" width="9.5" style="12" customWidth="1"/>
    <col min="55" max="55" width="4.25" style="12" customWidth="1"/>
    <col min="56" max="56" width="13.75" style="352" hidden="1" customWidth="1"/>
    <col min="57" max="57" width="12.25" style="1335" hidden="1" customWidth="1"/>
    <col min="58" max="59" width="14.75" style="370" customWidth="1"/>
    <col min="60" max="16384" width="9" style="370"/>
  </cols>
  <sheetData>
    <row r="1" spans="1:60" s="400" customFormat="1" ht="21.95" customHeight="1">
      <c r="A1" s="2043" t="s">
        <v>393</v>
      </c>
      <c r="B1" s="2043"/>
      <c r="C1" s="2043"/>
      <c r="D1" s="2043"/>
      <c r="E1" s="2043"/>
      <c r="F1" s="2043"/>
      <c r="G1" s="2043"/>
      <c r="H1" s="2043"/>
      <c r="I1" s="2043"/>
      <c r="J1" s="2043"/>
      <c r="K1" s="2043"/>
      <c r="L1" s="2043"/>
      <c r="M1" s="2043"/>
      <c r="N1" s="2043"/>
      <c r="O1" s="2043"/>
      <c r="P1" s="2043"/>
      <c r="Q1" s="2043"/>
      <c r="R1" s="2043"/>
      <c r="S1" s="2043"/>
      <c r="T1" s="2043"/>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c r="AT1" s="2043"/>
      <c r="AU1" s="2043"/>
      <c r="AV1" s="2043"/>
      <c r="AW1" s="2043"/>
      <c r="AX1" s="2043"/>
      <c r="AY1" s="2043"/>
      <c r="AZ1" s="2043"/>
      <c r="BA1" s="2043"/>
      <c r="BB1" s="2043"/>
      <c r="BC1" s="2043"/>
      <c r="BD1" s="352"/>
      <c r="BE1" s="1335"/>
    </row>
    <row r="2" spans="1:60" s="400" customFormat="1" ht="21.95" customHeight="1">
      <c r="A2" s="2045" t="s">
        <v>791</v>
      </c>
      <c r="B2" s="2045"/>
      <c r="C2" s="2045"/>
      <c r="D2" s="2045"/>
      <c r="E2" s="2045"/>
      <c r="F2" s="2045"/>
      <c r="G2" s="2045"/>
      <c r="H2" s="2045"/>
      <c r="I2" s="2045"/>
      <c r="J2" s="2045"/>
      <c r="K2" s="2045"/>
      <c r="L2" s="2045"/>
      <c r="M2" s="2045"/>
      <c r="N2" s="2045"/>
      <c r="O2" s="2045"/>
      <c r="P2" s="2045"/>
      <c r="Q2" s="2045"/>
      <c r="R2" s="2045"/>
      <c r="S2" s="2045"/>
      <c r="T2" s="2045"/>
      <c r="U2" s="2045"/>
      <c r="V2" s="2045"/>
      <c r="W2" s="2045"/>
      <c r="X2" s="2045"/>
      <c r="Y2" s="2045"/>
      <c r="Z2" s="2045"/>
      <c r="AA2" s="2045"/>
      <c r="AB2" s="2045"/>
      <c r="AC2" s="2045"/>
      <c r="AD2" s="2045"/>
      <c r="AE2" s="2045"/>
      <c r="AF2" s="2045"/>
      <c r="AG2" s="2045"/>
      <c r="AH2" s="2045"/>
      <c r="AI2" s="2045"/>
      <c r="AJ2" s="2045"/>
      <c r="AK2" s="2045"/>
      <c r="AL2" s="2045"/>
      <c r="AM2" s="2045"/>
      <c r="AN2" s="2045"/>
      <c r="AO2" s="2045"/>
      <c r="AP2" s="2045"/>
      <c r="AQ2" s="2045"/>
      <c r="AR2" s="2045"/>
      <c r="AS2" s="2045"/>
      <c r="AT2" s="2045"/>
      <c r="AU2" s="2045"/>
      <c r="AV2" s="2045"/>
      <c r="AW2" s="2045"/>
      <c r="AX2" s="2045"/>
      <c r="AY2" s="2045"/>
      <c r="AZ2" s="2045"/>
      <c r="BA2" s="2045"/>
      <c r="BB2" s="2045"/>
      <c r="BC2" s="2045"/>
      <c r="BD2" s="352"/>
      <c r="BE2" s="1335"/>
    </row>
    <row r="3" spans="1:60" s="400" customFormat="1" ht="21.95" customHeight="1">
      <c r="A3" s="2044" t="str">
        <f>B10.GIAODUC!A3:BC3</f>
        <v>(Kèm theo Báo cáo số:  1525 /BC-UBND, ngày   30  tháng 5 năm 2025 của UBND huyện Mường Tè)</v>
      </c>
      <c r="B3" s="2044"/>
      <c r="C3" s="2044"/>
      <c r="D3" s="2044"/>
      <c r="E3" s="2044"/>
      <c r="F3" s="2044"/>
      <c r="G3" s="2044"/>
      <c r="H3" s="2044"/>
      <c r="I3" s="2044"/>
      <c r="J3" s="2044"/>
      <c r="K3" s="2044"/>
      <c r="L3" s="2044"/>
      <c r="M3" s="2044"/>
      <c r="N3" s="2044"/>
      <c r="O3" s="2044"/>
      <c r="P3" s="2044"/>
      <c r="Q3" s="2044"/>
      <c r="R3" s="2044"/>
      <c r="S3" s="2044"/>
      <c r="T3" s="2044"/>
      <c r="U3" s="2044"/>
      <c r="V3" s="2044"/>
      <c r="W3" s="2044"/>
      <c r="X3" s="2044"/>
      <c r="Y3" s="2044"/>
      <c r="Z3" s="2044"/>
      <c r="AA3" s="2044"/>
      <c r="AB3" s="2044"/>
      <c r="AC3" s="2044"/>
      <c r="AD3" s="2044"/>
      <c r="AE3" s="2044"/>
      <c r="AF3" s="2044"/>
      <c r="AG3" s="2044"/>
      <c r="AH3" s="2044"/>
      <c r="AI3" s="2044"/>
      <c r="AJ3" s="2044"/>
      <c r="AK3" s="2044"/>
      <c r="AL3" s="2044"/>
      <c r="AM3" s="2044"/>
      <c r="AN3" s="2044"/>
      <c r="AO3" s="2044"/>
      <c r="AP3" s="2044"/>
      <c r="AQ3" s="2044"/>
      <c r="AR3" s="2044"/>
      <c r="AS3" s="2044"/>
      <c r="AT3" s="2044"/>
      <c r="AU3" s="2044"/>
      <c r="AV3" s="2044"/>
      <c r="AW3" s="2044"/>
      <c r="AX3" s="2044"/>
      <c r="AY3" s="2044"/>
      <c r="AZ3" s="2044"/>
      <c r="BA3" s="2044"/>
      <c r="BB3" s="2044"/>
      <c r="BC3" s="2044"/>
      <c r="BD3" s="352"/>
      <c r="BE3" s="1335"/>
    </row>
    <row r="4" spans="1:60" s="400" customFormat="1" ht="14.25" customHeight="1">
      <c r="A4" s="2126"/>
      <c r="B4" s="2126"/>
      <c r="C4" s="2126"/>
      <c r="D4" s="2126"/>
      <c r="E4" s="2126"/>
      <c r="F4" s="2126"/>
      <c r="G4" s="2126"/>
      <c r="H4" s="2126"/>
      <c r="I4" s="2126"/>
      <c r="J4" s="2126"/>
      <c r="K4" s="2126"/>
      <c r="L4" s="2126"/>
      <c r="M4" s="2126"/>
      <c r="N4" s="2126"/>
      <c r="O4" s="2126"/>
      <c r="P4" s="2126"/>
      <c r="Q4" s="2126"/>
      <c r="R4" s="2126"/>
      <c r="S4" s="2126"/>
      <c r="T4" s="2126"/>
      <c r="U4" s="2126"/>
      <c r="V4" s="2126"/>
      <c r="W4" s="2126"/>
      <c r="X4" s="2126"/>
      <c r="Y4" s="2126"/>
      <c r="Z4" s="2126"/>
      <c r="AA4" s="2126"/>
      <c r="AB4" s="2126"/>
      <c r="AC4" s="2126"/>
      <c r="AD4" s="2126"/>
      <c r="AE4" s="2126"/>
      <c r="AF4" s="2126"/>
      <c r="AG4" s="2126"/>
      <c r="AH4" s="2126"/>
      <c r="AI4" s="2126"/>
      <c r="AJ4" s="2126"/>
      <c r="AK4" s="2126"/>
      <c r="AL4" s="2126"/>
      <c r="AM4" s="2126"/>
      <c r="AN4" s="2126"/>
      <c r="AO4" s="2126"/>
      <c r="AP4" s="2126"/>
      <c r="AQ4" s="2126"/>
      <c r="AR4" s="2126"/>
      <c r="AS4" s="2126"/>
      <c r="AT4" s="2126"/>
      <c r="AU4" s="2126"/>
      <c r="AV4" s="2126"/>
      <c r="AW4" s="2126"/>
      <c r="AX4" s="2126"/>
      <c r="AY4" s="2126"/>
      <c r="AZ4" s="2126"/>
      <c r="BA4" s="2126"/>
      <c r="BB4" s="2126"/>
      <c r="BC4" s="2126"/>
      <c r="BD4" s="352"/>
      <c r="BE4" s="1335"/>
    </row>
    <row r="5" spans="1:60" s="341" customFormat="1" ht="34.5" customHeight="1">
      <c r="A5" s="2046" t="s">
        <v>178</v>
      </c>
      <c r="B5" s="2046" t="s">
        <v>56</v>
      </c>
      <c r="C5" s="2046" t="s">
        <v>57</v>
      </c>
      <c r="D5" s="2048" t="s">
        <v>880</v>
      </c>
      <c r="E5" s="2048" t="s">
        <v>865</v>
      </c>
      <c r="F5" s="2048"/>
      <c r="G5" s="2048"/>
      <c r="H5" s="2048"/>
      <c r="I5" s="2048"/>
      <c r="J5" s="2048"/>
      <c r="K5" s="2048"/>
      <c r="L5" s="2048"/>
      <c r="M5" s="2048"/>
      <c r="N5" s="2048"/>
      <c r="O5" s="2048"/>
      <c r="P5" s="2048"/>
      <c r="Q5" s="2048"/>
      <c r="R5" s="2048"/>
      <c r="S5" s="2048"/>
      <c r="T5" s="2048"/>
      <c r="U5" s="2048"/>
      <c r="V5" s="2048"/>
      <c r="W5" s="2048" t="s">
        <v>952</v>
      </c>
      <c r="X5" s="2048"/>
      <c r="Y5" s="2048"/>
      <c r="Z5" s="2048"/>
      <c r="AA5" s="2048"/>
      <c r="AB5" s="2048"/>
      <c r="AC5" s="2048"/>
      <c r="AD5" s="2048"/>
      <c r="AE5" s="2048"/>
      <c r="AF5" s="2048"/>
      <c r="AG5" s="2048"/>
      <c r="AH5" s="2048"/>
      <c r="AI5" s="2048"/>
      <c r="AJ5" s="2048"/>
      <c r="AK5" s="2048"/>
      <c r="AL5" s="2048"/>
      <c r="AM5" s="2048"/>
      <c r="AN5" s="2048"/>
      <c r="AO5" s="2048"/>
      <c r="AP5" s="2048"/>
      <c r="AQ5" s="2048"/>
      <c r="AR5" s="2048"/>
      <c r="AS5" s="2048"/>
      <c r="AT5" s="2048"/>
      <c r="AU5" s="2048"/>
      <c r="AV5" s="2048"/>
      <c r="AW5" s="2048"/>
      <c r="AX5" s="2048"/>
      <c r="AY5" s="2048"/>
      <c r="AZ5" s="2048"/>
      <c r="BA5" s="2048" t="s">
        <v>866</v>
      </c>
      <c r="BB5" s="2048"/>
      <c r="BC5" s="2048" t="s">
        <v>656</v>
      </c>
      <c r="BD5" s="398"/>
      <c r="BE5" s="1591"/>
    </row>
    <row r="6" spans="1:60" s="635" customFormat="1" ht="21.95" customHeight="1">
      <c r="A6" s="2046"/>
      <c r="B6" s="2046"/>
      <c r="C6" s="2046"/>
      <c r="D6" s="2048"/>
      <c r="E6" s="2048" t="s">
        <v>11</v>
      </c>
      <c r="F6" s="2035" t="s">
        <v>972</v>
      </c>
      <c r="G6" s="2035" t="s">
        <v>871</v>
      </c>
      <c r="H6" s="2035" t="s">
        <v>797</v>
      </c>
      <c r="I6" s="2035" t="s">
        <v>882</v>
      </c>
      <c r="J6" s="2035"/>
      <c r="K6" s="2035"/>
      <c r="L6" s="2035"/>
      <c r="M6" s="2035"/>
      <c r="N6" s="2035"/>
      <c r="O6" s="2035"/>
      <c r="P6" s="2035"/>
      <c r="Q6" s="2035"/>
      <c r="R6" s="2035"/>
      <c r="S6" s="2035"/>
      <c r="T6" s="2035"/>
      <c r="U6" s="2035"/>
      <c r="V6" s="2035"/>
      <c r="W6" s="2035" t="s">
        <v>11</v>
      </c>
      <c r="X6" s="2035" t="s">
        <v>58</v>
      </c>
      <c r="Y6" s="2035"/>
      <c r="Z6" s="2035"/>
      <c r="AA6" s="2035"/>
      <c r="AB6" s="2035"/>
      <c r="AC6" s="2035"/>
      <c r="AD6" s="2035"/>
      <c r="AE6" s="2035"/>
      <c r="AF6" s="2035"/>
      <c r="AG6" s="2035"/>
      <c r="AH6" s="2035"/>
      <c r="AI6" s="2035"/>
      <c r="AJ6" s="2035"/>
      <c r="AK6" s="2035"/>
      <c r="AL6" s="2035" t="s">
        <v>973</v>
      </c>
      <c r="AM6" s="2048" t="s">
        <v>883</v>
      </c>
      <c r="AN6" s="2048"/>
      <c r="AO6" s="2048"/>
      <c r="AP6" s="2048"/>
      <c r="AQ6" s="2048"/>
      <c r="AR6" s="2048"/>
      <c r="AS6" s="2048"/>
      <c r="AT6" s="2048"/>
      <c r="AU6" s="2048"/>
      <c r="AV6" s="2048"/>
      <c r="AW6" s="2048"/>
      <c r="AX6" s="2048"/>
      <c r="AY6" s="2048"/>
      <c r="AZ6" s="2048"/>
      <c r="BA6" s="2017" t="s">
        <v>959</v>
      </c>
      <c r="BB6" s="2017" t="s">
        <v>960</v>
      </c>
      <c r="BC6" s="2048"/>
      <c r="BD6" s="398"/>
      <c r="BE6" s="1591"/>
    </row>
    <row r="7" spans="1:60" s="341" customFormat="1" ht="70.5" customHeight="1">
      <c r="A7" s="2021"/>
      <c r="B7" s="2021"/>
      <c r="C7" s="2021"/>
      <c r="D7" s="2048"/>
      <c r="E7" s="2048"/>
      <c r="F7" s="2035"/>
      <c r="G7" s="2035"/>
      <c r="H7" s="2035"/>
      <c r="I7" s="1794" t="s">
        <v>59</v>
      </c>
      <c r="J7" s="1794" t="s">
        <v>60</v>
      </c>
      <c r="K7" s="1794" t="s">
        <v>61</v>
      </c>
      <c r="L7" s="1794" t="s">
        <v>62</v>
      </c>
      <c r="M7" s="1794" t="s">
        <v>63</v>
      </c>
      <c r="N7" s="1794" t="s">
        <v>64</v>
      </c>
      <c r="O7" s="1794" t="s">
        <v>65</v>
      </c>
      <c r="P7" s="1794" t="s">
        <v>66</v>
      </c>
      <c r="Q7" s="1794" t="s">
        <v>67</v>
      </c>
      <c r="R7" s="1794" t="s">
        <v>68</v>
      </c>
      <c r="S7" s="1794" t="s">
        <v>69</v>
      </c>
      <c r="T7" s="1794" t="s">
        <v>70</v>
      </c>
      <c r="U7" s="1794" t="s">
        <v>71</v>
      </c>
      <c r="V7" s="1794" t="s">
        <v>72</v>
      </c>
      <c r="W7" s="2035"/>
      <c r="X7" s="1794" t="s">
        <v>937</v>
      </c>
      <c r="Y7" s="1794" t="s">
        <v>60</v>
      </c>
      <c r="Z7" s="1794" t="s">
        <v>61</v>
      </c>
      <c r="AA7" s="1794" t="s">
        <v>62</v>
      </c>
      <c r="AB7" s="1794" t="s">
        <v>63</v>
      </c>
      <c r="AC7" s="1794" t="s">
        <v>64</v>
      </c>
      <c r="AD7" s="1794" t="s">
        <v>65</v>
      </c>
      <c r="AE7" s="1794" t="s">
        <v>66</v>
      </c>
      <c r="AF7" s="1794" t="s">
        <v>67</v>
      </c>
      <c r="AG7" s="1794" t="s">
        <v>68</v>
      </c>
      <c r="AH7" s="1794" t="s">
        <v>69</v>
      </c>
      <c r="AI7" s="1794" t="s">
        <v>70</v>
      </c>
      <c r="AJ7" s="1794" t="s">
        <v>71</v>
      </c>
      <c r="AK7" s="1794" t="s">
        <v>72</v>
      </c>
      <c r="AL7" s="2035"/>
      <c r="AM7" s="1780" t="s">
        <v>59</v>
      </c>
      <c r="AN7" s="1780" t="s">
        <v>974</v>
      </c>
      <c r="AO7" s="1780" t="s">
        <v>975</v>
      </c>
      <c r="AP7" s="1780" t="s">
        <v>976</v>
      </c>
      <c r="AQ7" s="1780" t="s">
        <v>977</v>
      </c>
      <c r="AR7" s="1780" t="s">
        <v>978</v>
      </c>
      <c r="AS7" s="1780" t="s">
        <v>979</v>
      </c>
      <c r="AT7" s="1780" t="s">
        <v>980</v>
      </c>
      <c r="AU7" s="1780" t="s">
        <v>981</v>
      </c>
      <c r="AV7" s="1780" t="s">
        <v>982</v>
      </c>
      <c r="AW7" s="1780" t="s">
        <v>983</v>
      </c>
      <c r="AX7" s="1780" t="s">
        <v>984</v>
      </c>
      <c r="AY7" s="1780" t="s">
        <v>985</v>
      </c>
      <c r="AZ7" s="1780" t="s">
        <v>986</v>
      </c>
      <c r="BA7" s="2017"/>
      <c r="BB7" s="2017"/>
      <c r="BC7" s="2048"/>
      <c r="BD7" s="1335" t="s">
        <v>923</v>
      </c>
      <c r="BE7" s="1335" t="s">
        <v>924</v>
      </c>
    </row>
    <row r="8" spans="1:60" s="602" customFormat="1" ht="21.95" customHeight="1">
      <c r="A8" s="1784" t="s">
        <v>73</v>
      </c>
      <c r="B8" s="841" t="s">
        <v>454</v>
      </c>
      <c r="C8" s="1784"/>
      <c r="D8" s="1781"/>
      <c r="E8" s="1781"/>
      <c r="F8" s="1781"/>
      <c r="G8" s="1781"/>
      <c r="H8" s="1781"/>
      <c r="I8" s="1781"/>
      <c r="J8" s="1781"/>
      <c r="K8" s="1781"/>
      <c r="L8" s="1781"/>
      <c r="M8" s="1781"/>
      <c r="N8" s="1781"/>
      <c r="O8" s="1781"/>
      <c r="P8" s="1781"/>
      <c r="Q8" s="1781"/>
      <c r="R8" s="1781"/>
      <c r="S8" s="1781"/>
      <c r="T8" s="1781"/>
      <c r="U8" s="1781"/>
      <c r="V8" s="1781"/>
      <c r="W8" s="1781"/>
      <c r="X8" s="1781"/>
      <c r="Y8" s="1781"/>
      <c r="Z8" s="1781"/>
      <c r="AA8" s="1781"/>
      <c r="AB8" s="1781"/>
      <c r="AC8" s="1781"/>
      <c r="AD8" s="1781"/>
      <c r="AE8" s="1781"/>
      <c r="AF8" s="1781"/>
      <c r="AG8" s="1781"/>
      <c r="AH8" s="1781"/>
      <c r="AI8" s="1781"/>
      <c r="AJ8" s="1781"/>
      <c r="AK8" s="1781"/>
      <c r="AL8" s="1781"/>
      <c r="AM8" s="1781"/>
      <c r="AN8" s="1781"/>
      <c r="AO8" s="1781"/>
      <c r="AP8" s="1781"/>
      <c r="AQ8" s="1781"/>
      <c r="AR8" s="1781"/>
      <c r="AS8" s="1781"/>
      <c r="AT8" s="1781"/>
      <c r="AU8" s="1781"/>
      <c r="AV8" s="1781"/>
      <c r="AW8" s="1781"/>
      <c r="AX8" s="1781"/>
      <c r="AY8" s="1781"/>
      <c r="AZ8" s="1781"/>
      <c r="BA8" s="1781"/>
      <c r="BB8" s="1781"/>
      <c r="BC8" s="1781"/>
      <c r="BD8" s="454"/>
      <c r="BE8" s="1591"/>
    </row>
    <row r="9" spans="1:60" s="602" customFormat="1" ht="21.95" customHeight="1">
      <c r="A9" s="1784" t="s">
        <v>83</v>
      </c>
      <c r="B9" s="841" t="s">
        <v>455</v>
      </c>
      <c r="C9" s="1782"/>
      <c r="D9" s="839"/>
      <c r="E9" s="839"/>
      <c r="F9" s="839"/>
      <c r="G9" s="839"/>
      <c r="H9" s="839"/>
      <c r="I9" s="839"/>
      <c r="J9" s="839"/>
      <c r="K9" s="839"/>
      <c r="L9" s="839"/>
      <c r="M9" s="839"/>
      <c r="N9" s="839"/>
      <c r="O9" s="839"/>
      <c r="P9" s="839"/>
      <c r="Q9" s="839"/>
      <c r="R9" s="839"/>
      <c r="S9" s="839"/>
      <c r="T9" s="839"/>
      <c r="U9" s="839"/>
      <c r="V9" s="839"/>
      <c r="W9" s="839"/>
      <c r="X9" s="839"/>
      <c r="Y9" s="839"/>
      <c r="Z9" s="839"/>
      <c r="AA9" s="839"/>
      <c r="AB9" s="839"/>
      <c r="AC9" s="839"/>
      <c r="AD9" s="839"/>
      <c r="AE9" s="839"/>
      <c r="AF9" s="839"/>
      <c r="AG9" s="839"/>
      <c r="AH9" s="839"/>
      <c r="AI9" s="839"/>
      <c r="AJ9" s="839"/>
      <c r="AK9" s="839"/>
      <c r="AL9" s="839"/>
      <c r="AM9" s="839"/>
      <c r="AN9" s="839"/>
      <c r="AO9" s="839"/>
      <c r="AP9" s="839"/>
      <c r="AQ9" s="839"/>
      <c r="AR9" s="839"/>
      <c r="AS9" s="839"/>
      <c r="AT9" s="839"/>
      <c r="AU9" s="839"/>
      <c r="AV9" s="839"/>
      <c r="AW9" s="839"/>
      <c r="AX9" s="839"/>
      <c r="AY9" s="839"/>
      <c r="AZ9" s="839"/>
      <c r="BA9" s="839"/>
      <c r="BB9" s="839"/>
      <c r="BC9" s="839"/>
      <c r="BD9" s="454"/>
      <c r="BE9" s="1591"/>
    </row>
    <row r="10" spans="1:60" s="603" customFormat="1" ht="21.95" customHeight="1">
      <c r="A10" s="1784">
        <v>1</v>
      </c>
      <c r="B10" s="841" t="s">
        <v>456</v>
      </c>
      <c r="C10" s="1784"/>
      <c r="D10" s="1784"/>
      <c r="E10" s="1784"/>
      <c r="F10" s="1784"/>
      <c r="G10" s="1784"/>
      <c r="H10" s="1784"/>
      <c r="I10" s="1784"/>
      <c r="J10" s="1784"/>
      <c r="K10" s="1784"/>
      <c r="L10" s="1784"/>
      <c r="M10" s="1784"/>
      <c r="N10" s="1784"/>
      <c r="O10" s="1784"/>
      <c r="P10" s="1784"/>
      <c r="Q10" s="1784"/>
      <c r="R10" s="1784"/>
      <c r="S10" s="1784"/>
      <c r="T10" s="1784"/>
      <c r="U10" s="1784"/>
      <c r="V10" s="1784"/>
      <c r="W10" s="1784"/>
      <c r="X10" s="1784"/>
      <c r="Y10" s="1784"/>
      <c r="Z10" s="1784"/>
      <c r="AA10" s="1784"/>
      <c r="AB10" s="1784"/>
      <c r="AC10" s="1784"/>
      <c r="AD10" s="1784"/>
      <c r="AE10" s="1784"/>
      <c r="AF10" s="1784"/>
      <c r="AG10" s="1784"/>
      <c r="AH10" s="1784"/>
      <c r="AI10" s="1784"/>
      <c r="AJ10" s="1784"/>
      <c r="AK10" s="1784"/>
      <c r="AL10" s="1784"/>
      <c r="AM10" s="1784"/>
      <c r="AN10" s="1784"/>
      <c r="AO10" s="1784"/>
      <c r="AP10" s="1784"/>
      <c r="AQ10" s="1784"/>
      <c r="AR10" s="1784"/>
      <c r="AS10" s="1784"/>
      <c r="AT10" s="1784"/>
      <c r="AU10" s="1784"/>
      <c r="AV10" s="1784"/>
      <c r="AW10" s="1784"/>
      <c r="AX10" s="1784"/>
      <c r="AY10" s="1784"/>
      <c r="AZ10" s="1784"/>
      <c r="BA10" s="1784"/>
      <c r="BB10" s="1784"/>
      <c r="BC10" s="1784"/>
      <c r="BD10" s="1592"/>
      <c r="BE10" s="1593"/>
      <c r="BG10" s="602"/>
    </row>
    <row r="11" spans="1:60" s="598" customFormat="1" ht="36" customHeight="1">
      <c r="A11" s="1782"/>
      <c r="B11" s="889" t="s">
        <v>457</v>
      </c>
      <c r="C11" s="1782" t="s">
        <v>458</v>
      </c>
      <c r="D11" s="903">
        <v>80</v>
      </c>
      <c r="E11" s="1444">
        <v>80</v>
      </c>
      <c r="F11" s="1445">
        <v>49</v>
      </c>
      <c r="G11" s="1445">
        <v>70</v>
      </c>
      <c r="H11" s="1445">
        <f>SUM(I11:V11)</f>
        <v>80</v>
      </c>
      <c r="I11" s="1445"/>
      <c r="J11" s="1445"/>
      <c r="K11" s="1445">
        <v>5</v>
      </c>
      <c r="L11" s="1445">
        <v>4</v>
      </c>
      <c r="M11" s="1445">
        <v>7</v>
      </c>
      <c r="N11" s="1445">
        <v>5</v>
      </c>
      <c r="O11" s="1445">
        <v>8</v>
      </c>
      <c r="P11" s="1445">
        <v>7</v>
      </c>
      <c r="Q11" s="1445">
        <v>6</v>
      </c>
      <c r="R11" s="1445">
        <v>6</v>
      </c>
      <c r="S11" s="1445">
        <v>8</v>
      </c>
      <c r="T11" s="1445">
        <v>7</v>
      </c>
      <c r="U11" s="1445">
        <v>8</v>
      </c>
      <c r="V11" s="1445">
        <v>9</v>
      </c>
      <c r="W11" s="1445">
        <f>SUM(X11:AK11)</f>
        <v>80</v>
      </c>
      <c r="X11" s="1445"/>
      <c r="Y11" s="1445"/>
      <c r="Z11" s="1445">
        <v>6</v>
      </c>
      <c r="AA11" s="1445">
        <v>4</v>
      </c>
      <c r="AB11" s="1445"/>
      <c r="AC11" s="1445">
        <v>5</v>
      </c>
      <c r="AD11" s="1445">
        <v>11</v>
      </c>
      <c r="AE11" s="1445">
        <v>10</v>
      </c>
      <c r="AF11" s="1445">
        <v>7</v>
      </c>
      <c r="AG11" s="1445">
        <v>5</v>
      </c>
      <c r="AH11" s="1445">
        <v>7</v>
      </c>
      <c r="AI11" s="1445">
        <v>7</v>
      </c>
      <c r="AJ11" s="1445">
        <v>7</v>
      </c>
      <c r="AK11" s="1445">
        <v>11</v>
      </c>
      <c r="AL11" s="1445">
        <f>SUM(AM11:AZ11)</f>
        <v>51</v>
      </c>
      <c r="AM11" s="1445"/>
      <c r="AN11" s="1445">
        <v>4</v>
      </c>
      <c r="AO11" s="1445">
        <v>6</v>
      </c>
      <c r="AP11" s="1445">
        <v>4</v>
      </c>
      <c r="AQ11" s="1445"/>
      <c r="AR11" s="1445"/>
      <c r="AS11" s="1445">
        <v>9</v>
      </c>
      <c r="AT11" s="1445"/>
      <c r="AU11" s="1445">
        <v>6</v>
      </c>
      <c r="AV11" s="1445"/>
      <c r="AW11" s="1445">
        <v>8</v>
      </c>
      <c r="AX11" s="1445">
        <v>4</v>
      </c>
      <c r="AY11" s="1445"/>
      <c r="AZ11" s="1445">
        <v>10</v>
      </c>
      <c r="BA11" s="1063">
        <f>AL11/F11%</f>
        <v>104.08163265306122</v>
      </c>
      <c r="BB11" s="1063">
        <f>AL11/W11%</f>
        <v>63.75</v>
      </c>
      <c r="BC11" s="1446"/>
      <c r="BD11" s="454"/>
      <c r="BE11" s="1591"/>
      <c r="BF11" s="604"/>
      <c r="BG11" s="602"/>
      <c r="BH11" s="603"/>
    </row>
    <row r="12" spans="1:60" s="598" customFormat="1" ht="21.95" customHeight="1">
      <c r="A12" s="1782"/>
      <c r="B12" s="889" t="s">
        <v>459</v>
      </c>
      <c r="C12" s="1782" t="s">
        <v>458</v>
      </c>
      <c r="D12" s="903">
        <v>80</v>
      </c>
      <c r="E12" s="1446" t="e">
        <f>SUM(#REF!)</f>
        <v>#REF!</v>
      </c>
      <c r="F12" s="1445">
        <v>49</v>
      </c>
      <c r="G12" s="1445">
        <v>70</v>
      </c>
      <c r="H12" s="1445">
        <f>SUM(I12:V12)</f>
        <v>80</v>
      </c>
      <c r="I12" s="1445"/>
      <c r="J12" s="1445"/>
      <c r="K12" s="1445">
        <v>5</v>
      </c>
      <c r="L12" s="1445">
        <v>4</v>
      </c>
      <c r="M12" s="1445">
        <v>7</v>
      </c>
      <c r="N12" s="1445">
        <v>5</v>
      </c>
      <c r="O12" s="1445">
        <v>8</v>
      </c>
      <c r="P12" s="1445">
        <v>7</v>
      </c>
      <c r="Q12" s="1445">
        <v>6</v>
      </c>
      <c r="R12" s="1445">
        <v>6</v>
      </c>
      <c r="S12" s="1445">
        <v>8</v>
      </c>
      <c r="T12" s="1445">
        <v>7</v>
      </c>
      <c r="U12" s="1445">
        <v>8</v>
      </c>
      <c r="V12" s="1445">
        <v>9</v>
      </c>
      <c r="W12" s="1445">
        <f>SUM(X12:AK12)</f>
        <v>80</v>
      </c>
      <c r="X12" s="1445"/>
      <c r="Y12" s="1445"/>
      <c r="Z12" s="1445">
        <v>6</v>
      </c>
      <c r="AA12" s="1445">
        <v>4</v>
      </c>
      <c r="AB12" s="1445"/>
      <c r="AC12" s="1445">
        <v>5</v>
      </c>
      <c r="AD12" s="1445">
        <v>11</v>
      </c>
      <c r="AE12" s="1445">
        <v>10</v>
      </c>
      <c r="AF12" s="1445">
        <v>7</v>
      </c>
      <c r="AG12" s="1445">
        <v>5</v>
      </c>
      <c r="AH12" s="1445">
        <v>7</v>
      </c>
      <c r="AI12" s="1445">
        <v>7</v>
      </c>
      <c r="AJ12" s="1445">
        <v>7</v>
      </c>
      <c r="AK12" s="1445">
        <v>11</v>
      </c>
      <c r="AL12" s="1445">
        <f>SUM(AM12:AZ12)</f>
        <v>51</v>
      </c>
      <c r="AM12" s="1445"/>
      <c r="AN12" s="1445">
        <v>4</v>
      </c>
      <c r="AO12" s="1445">
        <v>6</v>
      </c>
      <c r="AP12" s="1445">
        <v>4</v>
      </c>
      <c r="AQ12" s="1445"/>
      <c r="AR12" s="1445"/>
      <c r="AS12" s="1445">
        <v>9</v>
      </c>
      <c r="AT12" s="1445"/>
      <c r="AU12" s="1445">
        <v>6</v>
      </c>
      <c r="AV12" s="1445"/>
      <c r="AW12" s="1445">
        <v>8</v>
      </c>
      <c r="AX12" s="1445">
        <v>4</v>
      </c>
      <c r="AY12" s="1445"/>
      <c r="AZ12" s="1445">
        <v>10</v>
      </c>
      <c r="BA12" s="1063">
        <f t="shared" ref="BA12:BA74" si="0">AL12/F12%</f>
        <v>104.08163265306122</v>
      </c>
      <c r="BB12" s="1063">
        <f t="shared" ref="BB12:BB74" si="1">AL12/W12%</f>
        <v>63.75</v>
      </c>
      <c r="BC12" s="1446"/>
      <c r="BD12" s="454"/>
      <c r="BE12" s="1591"/>
      <c r="BG12" s="602"/>
      <c r="BH12" s="603"/>
    </row>
    <row r="13" spans="1:60" s="598" customFormat="1" ht="36" customHeight="1">
      <c r="A13" s="1782"/>
      <c r="B13" s="889" t="s">
        <v>996</v>
      </c>
      <c r="C13" s="1782" t="s">
        <v>458</v>
      </c>
      <c r="D13" s="1011"/>
      <c r="E13" s="1011"/>
      <c r="F13" s="1011"/>
      <c r="G13" s="1011"/>
      <c r="H13" s="1011"/>
      <c r="I13" s="1011"/>
      <c r="J13" s="1011"/>
      <c r="K13" s="1011"/>
      <c r="L13" s="1011"/>
      <c r="M13" s="1011"/>
      <c r="N13" s="1011"/>
      <c r="O13" s="1011"/>
      <c r="P13" s="1011"/>
      <c r="Q13" s="1011"/>
      <c r="R13" s="1011"/>
      <c r="S13" s="1011"/>
      <c r="T13" s="1011"/>
      <c r="U13" s="1011"/>
      <c r="V13" s="1011"/>
      <c r="W13" s="1011"/>
      <c r="X13" s="1011"/>
      <c r="Y13" s="1011"/>
      <c r="Z13" s="1011"/>
      <c r="AA13" s="1011"/>
      <c r="AB13" s="1011"/>
      <c r="AC13" s="1011"/>
      <c r="AD13" s="1011"/>
      <c r="AE13" s="1011"/>
      <c r="AF13" s="1011"/>
      <c r="AG13" s="1011"/>
      <c r="AH13" s="1011"/>
      <c r="AI13" s="1011"/>
      <c r="AJ13" s="1011"/>
      <c r="AK13" s="1011"/>
      <c r="AL13" s="1011"/>
      <c r="AM13" s="1011"/>
      <c r="AN13" s="1011"/>
      <c r="AO13" s="1011"/>
      <c r="AP13" s="1011"/>
      <c r="AQ13" s="1011"/>
      <c r="AR13" s="1011"/>
      <c r="AS13" s="1011"/>
      <c r="AT13" s="1011"/>
      <c r="AU13" s="1011"/>
      <c r="AV13" s="1011"/>
      <c r="AW13" s="1011"/>
      <c r="AX13" s="1011"/>
      <c r="AY13" s="1011"/>
      <c r="AZ13" s="1011"/>
      <c r="BA13" s="1063"/>
      <c r="BB13" s="1063"/>
      <c r="BC13" s="1011"/>
      <c r="BD13" s="454"/>
      <c r="BE13" s="1591"/>
      <c r="BG13" s="602"/>
      <c r="BH13" s="603"/>
    </row>
    <row r="14" spans="1:60" s="598" customFormat="1" ht="30" hidden="1">
      <c r="A14" s="1782"/>
      <c r="B14" s="889" t="s">
        <v>460</v>
      </c>
      <c r="C14" s="1782" t="s">
        <v>461</v>
      </c>
      <c r="D14" s="1447"/>
      <c r="E14" s="1447"/>
      <c r="F14" s="1447"/>
      <c r="G14" s="1447"/>
      <c r="H14" s="1447"/>
      <c r="I14" s="1447"/>
      <c r="J14" s="1447"/>
      <c r="K14" s="1447"/>
      <c r="L14" s="1447"/>
      <c r="M14" s="1447"/>
      <c r="N14" s="1447"/>
      <c r="O14" s="1447"/>
      <c r="P14" s="1447"/>
      <c r="Q14" s="1447"/>
      <c r="R14" s="1447"/>
      <c r="S14" s="1447"/>
      <c r="T14" s="1447"/>
      <c r="U14" s="1447"/>
      <c r="V14" s="1447"/>
      <c r="W14" s="1447"/>
      <c r="X14" s="1447"/>
      <c r="Y14" s="1447"/>
      <c r="Z14" s="1447"/>
      <c r="AA14" s="1447"/>
      <c r="AB14" s="1447"/>
      <c r="AC14" s="1447"/>
      <c r="AD14" s="1447"/>
      <c r="AE14" s="1447"/>
      <c r="AF14" s="1447"/>
      <c r="AG14" s="1447"/>
      <c r="AH14" s="1447"/>
      <c r="AI14" s="1447"/>
      <c r="AJ14" s="1447"/>
      <c r="AK14" s="1447"/>
      <c r="AL14" s="1447"/>
      <c r="AM14" s="1447"/>
      <c r="AN14" s="1447"/>
      <c r="AO14" s="1447"/>
      <c r="AP14" s="1447"/>
      <c r="AQ14" s="1447"/>
      <c r="AR14" s="1447"/>
      <c r="AS14" s="1447"/>
      <c r="AT14" s="1447"/>
      <c r="AU14" s="1447"/>
      <c r="AV14" s="1447"/>
      <c r="AW14" s="1447"/>
      <c r="AX14" s="1447"/>
      <c r="AY14" s="1447"/>
      <c r="AZ14" s="1447"/>
      <c r="BA14" s="1063"/>
      <c r="BB14" s="1063"/>
      <c r="BC14" s="1447"/>
      <c r="BD14" s="454"/>
      <c r="BE14" s="1591"/>
      <c r="BF14" s="604"/>
      <c r="BG14" s="605"/>
    </row>
    <row r="15" spans="1:60" s="598" customFormat="1" ht="21.95" customHeight="1">
      <c r="A15" s="1784">
        <v>2</v>
      </c>
      <c r="B15" s="841" t="s">
        <v>462</v>
      </c>
      <c r="C15" s="1782"/>
      <c r="D15" s="1436"/>
      <c r="E15" s="1436"/>
      <c r="F15" s="1436"/>
      <c r="G15" s="1436"/>
      <c r="H15" s="1436"/>
      <c r="I15" s="1436"/>
      <c r="J15" s="1436"/>
      <c r="K15" s="1436"/>
      <c r="L15" s="1436"/>
      <c r="M15" s="1436"/>
      <c r="N15" s="1436"/>
      <c r="O15" s="1436"/>
      <c r="P15" s="1436"/>
      <c r="Q15" s="1436"/>
      <c r="R15" s="1436"/>
      <c r="S15" s="1436"/>
      <c r="T15" s="1436"/>
      <c r="U15" s="1436"/>
      <c r="V15" s="1436"/>
      <c r="W15" s="1436"/>
      <c r="X15" s="1436"/>
      <c r="Y15" s="1436"/>
      <c r="Z15" s="1436"/>
      <c r="AA15" s="1436"/>
      <c r="AB15" s="1436"/>
      <c r="AC15" s="1436"/>
      <c r="AD15" s="1436"/>
      <c r="AE15" s="1436"/>
      <c r="AF15" s="1436"/>
      <c r="AG15" s="1436"/>
      <c r="AH15" s="1436"/>
      <c r="AI15" s="1436"/>
      <c r="AJ15" s="1436"/>
      <c r="AK15" s="1436"/>
      <c r="AL15" s="1436"/>
      <c r="AM15" s="1436"/>
      <c r="AN15" s="1436"/>
      <c r="AO15" s="1436"/>
      <c r="AP15" s="1436"/>
      <c r="AQ15" s="1436"/>
      <c r="AR15" s="1436"/>
      <c r="AS15" s="1436"/>
      <c r="AT15" s="1436"/>
      <c r="AU15" s="1436"/>
      <c r="AV15" s="1436"/>
      <c r="AW15" s="1436"/>
      <c r="AX15" s="1436"/>
      <c r="AY15" s="1436"/>
      <c r="AZ15" s="1436"/>
      <c r="BA15" s="1063"/>
      <c r="BB15" s="1063"/>
      <c r="BC15" s="1436"/>
      <c r="BD15" s="454"/>
      <c r="BE15" s="1591"/>
      <c r="BF15" s="604"/>
      <c r="BG15" s="605"/>
    </row>
    <row r="16" spans="1:60" s="598" customFormat="1" ht="36" customHeight="1">
      <c r="A16" s="1782"/>
      <c r="B16" s="889" t="s">
        <v>463</v>
      </c>
      <c r="C16" s="1782" t="s">
        <v>220</v>
      </c>
      <c r="D16" s="903"/>
      <c r="E16" s="903" t="e">
        <f>SUM(#REF!)</f>
        <v>#REF!</v>
      </c>
      <c r="F16" s="903"/>
      <c r="G16" s="903"/>
      <c r="H16" s="903">
        <v>0</v>
      </c>
      <c r="I16" s="903"/>
      <c r="J16" s="903"/>
      <c r="K16" s="903"/>
      <c r="L16" s="903"/>
      <c r="M16" s="903"/>
      <c r="N16" s="903"/>
      <c r="O16" s="903"/>
      <c r="P16" s="903"/>
      <c r="Q16" s="903"/>
      <c r="R16" s="903"/>
      <c r="S16" s="903"/>
      <c r="T16" s="903"/>
      <c r="U16" s="903"/>
      <c r="V16" s="903"/>
      <c r="W16" s="903"/>
      <c r="X16" s="903"/>
      <c r="Y16" s="903"/>
      <c r="Z16" s="903"/>
      <c r="AA16" s="903"/>
      <c r="AB16" s="903"/>
      <c r="AC16" s="903"/>
      <c r="AD16" s="903"/>
      <c r="AE16" s="903"/>
      <c r="AF16" s="903"/>
      <c r="AG16" s="903"/>
      <c r="AH16" s="903"/>
      <c r="AI16" s="903"/>
      <c r="AJ16" s="903"/>
      <c r="AK16" s="903"/>
      <c r="AL16" s="903"/>
      <c r="AM16" s="903"/>
      <c r="AN16" s="903"/>
      <c r="AO16" s="903"/>
      <c r="AP16" s="903"/>
      <c r="AQ16" s="903"/>
      <c r="AR16" s="903"/>
      <c r="AS16" s="903"/>
      <c r="AT16" s="903"/>
      <c r="AU16" s="903"/>
      <c r="AV16" s="903"/>
      <c r="AW16" s="903"/>
      <c r="AX16" s="903"/>
      <c r="AY16" s="903"/>
      <c r="AZ16" s="903"/>
      <c r="BA16" s="1063"/>
      <c r="BB16" s="1063"/>
      <c r="BC16" s="903"/>
      <c r="BD16" s="454"/>
      <c r="BE16" s="1591"/>
      <c r="BF16" s="604"/>
      <c r="BG16" s="605"/>
    </row>
    <row r="17" spans="1:60" s="598" customFormat="1" ht="21.95" customHeight="1">
      <c r="A17" s="1782"/>
      <c r="B17" s="889" t="s">
        <v>464</v>
      </c>
      <c r="C17" s="1782" t="s">
        <v>458</v>
      </c>
      <c r="D17" s="903">
        <v>10</v>
      </c>
      <c r="E17" s="903" t="e">
        <f>SUM(#REF!)</f>
        <v>#REF!</v>
      </c>
      <c r="F17" s="968">
        <v>5</v>
      </c>
      <c r="G17" s="968">
        <v>10</v>
      </c>
      <c r="H17" s="968">
        <f>SUM(I17:V17)</f>
        <v>10</v>
      </c>
      <c r="I17" s="968"/>
      <c r="J17" s="968">
        <v>1</v>
      </c>
      <c r="K17" s="968">
        <v>1</v>
      </c>
      <c r="L17" s="968">
        <v>1</v>
      </c>
      <c r="M17" s="968">
        <v>1</v>
      </c>
      <c r="N17" s="968">
        <v>1</v>
      </c>
      <c r="O17" s="968">
        <v>1</v>
      </c>
      <c r="P17" s="968">
        <v>1</v>
      </c>
      <c r="Q17" s="968">
        <v>1</v>
      </c>
      <c r="R17" s="968">
        <v>1</v>
      </c>
      <c r="S17" s="968"/>
      <c r="T17" s="968"/>
      <c r="U17" s="968"/>
      <c r="V17" s="968">
        <v>1</v>
      </c>
      <c r="W17" s="968">
        <f>SUM(X17:AK17)</f>
        <v>10</v>
      </c>
      <c r="X17" s="968"/>
      <c r="Y17" s="968"/>
      <c r="Z17" s="968"/>
      <c r="AA17" s="968">
        <v>1</v>
      </c>
      <c r="AB17" s="968"/>
      <c r="AC17" s="968">
        <v>1</v>
      </c>
      <c r="AD17" s="968">
        <v>1</v>
      </c>
      <c r="AE17" s="968">
        <v>1</v>
      </c>
      <c r="AF17" s="968">
        <v>1</v>
      </c>
      <c r="AG17" s="968">
        <v>1</v>
      </c>
      <c r="AH17" s="968">
        <v>1</v>
      </c>
      <c r="AI17" s="968">
        <v>1</v>
      </c>
      <c r="AJ17" s="968">
        <v>1</v>
      </c>
      <c r="AK17" s="968">
        <v>1</v>
      </c>
      <c r="AL17" s="968">
        <f>SUM(AM17:AZ17)</f>
        <v>12</v>
      </c>
      <c r="AM17" s="968"/>
      <c r="AN17" s="968"/>
      <c r="AO17" s="968">
        <v>1</v>
      </c>
      <c r="AP17" s="968">
        <v>1</v>
      </c>
      <c r="AQ17" s="968">
        <v>1</v>
      </c>
      <c r="AR17" s="968">
        <v>1</v>
      </c>
      <c r="AS17" s="968">
        <v>1</v>
      </c>
      <c r="AT17" s="968">
        <v>1</v>
      </c>
      <c r="AU17" s="968">
        <v>1</v>
      </c>
      <c r="AV17" s="968">
        <v>1</v>
      </c>
      <c r="AW17" s="968">
        <v>1</v>
      </c>
      <c r="AX17" s="968">
        <v>1</v>
      </c>
      <c r="AY17" s="968">
        <v>1</v>
      </c>
      <c r="AZ17" s="968">
        <v>1</v>
      </c>
      <c r="BA17" s="1063">
        <f t="shared" si="0"/>
        <v>240</v>
      </c>
      <c r="BB17" s="1063">
        <f t="shared" si="1"/>
        <v>120</v>
      </c>
      <c r="BC17" s="903"/>
      <c r="BD17" s="454"/>
      <c r="BE17" s="1591"/>
      <c r="BF17" s="604"/>
      <c r="BG17" s="605"/>
    </row>
    <row r="18" spans="1:60" s="598" customFormat="1" ht="21.95" customHeight="1">
      <c r="A18" s="1782"/>
      <c r="B18" s="889" t="s">
        <v>465</v>
      </c>
      <c r="C18" s="1782" t="s">
        <v>458</v>
      </c>
      <c r="D18" s="903">
        <v>10</v>
      </c>
      <c r="E18" s="903" t="e">
        <f>SUM(#REF!)</f>
        <v>#REF!</v>
      </c>
      <c r="F18" s="968">
        <v>5</v>
      </c>
      <c r="G18" s="968">
        <v>10</v>
      </c>
      <c r="H18" s="968">
        <f>SUM(I18:V18)</f>
        <v>10</v>
      </c>
      <c r="I18" s="968"/>
      <c r="J18" s="968">
        <v>1</v>
      </c>
      <c r="K18" s="968">
        <v>1</v>
      </c>
      <c r="L18" s="968">
        <v>1</v>
      </c>
      <c r="M18" s="968">
        <v>1</v>
      </c>
      <c r="N18" s="968">
        <v>1</v>
      </c>
      <c r="O18" s="968">
        <v>1</v>
      </c>
      <c r="P18" s="968">
        <v>1</v>
      </c>
      <c r="Q18" s="968">
        <v>1</v>
      </c>
      <c r="R18" s="968">
        <v>1</v>
      </c>
      <c r="S18" s="968"/>
      <c r="T18" s="968"/>
      <c r="U18" s="968"/>
      <c r="V18" s="968">
        <v>1</v>
      </c>
      <c r="W18" s="968">
        <f>SUM(X18:AK18)</f>
        <v>10</v>
      </c>
      <c r="X18" s="968"/>
      <c r="Y18" s="968"/>
      <c r="Z18" s="968"/>
      <c r="AA18" s="968">
        <v>1</v>
      </c>
      <c r="AB18" s="968"/>
      <c r="AC18" s="968">
        <v>1</v>
      </c>
      <c r="AD18" s="968">
        <v>1</v>
      </c>
      <c r="AE18" s="968">
        <v>1</v>
      </c>
      <c r="AF18" s="968">
        <v>1</v>
      </c>
      <c r="AG18" s="968">
        <v>1</v>
      </c>
      <c r="AH18" s="968">
        <v>1</v>
      </c>
      <c r="AI18" s="968">
        <v>1</v>
      </c>
      <c r="AJ18" s="968">
        <v>1</v>
      </c>
      <c r="AK18" s="968">
        <v>1</v>
      </c>
      <c r="AL18" s="968">
        <f>SUM(AM18:AZ18)</f>
        <v>12</v>
      </c>
      <c r="AM18" s="968"/>
      <c r="AN18" s="968"/>
      <c r="AO18" s="968">
        <v>1</v>
      </c>
      <c r="AP18" s="968">
        <v>1</v>
      </c>
      <c r="AQ18" s="968">
        <v>1</v>
      </c>
      <c r="AR18" s="968">
        <v>1</v>
      </c>
      <c r="AS18" s="968">
        <v>1</v>
      </c>
      <c r="AT18" s="968">
        <v>1</v>
      </c>
      <c r="AU18" s="968">
        <v>1</v>
      </c>
      <c r="AV18" s="968">
        <v>1</v>
      </c>
      <c r="AW18" s="968">
        <v>1</v>
      </c>
      <c r="AX18" s="968">
        <v>1</v>
      </c>
      <c r="AY18" s="968">
        <v>1</v>
      </c>
      <c r="AZ18" s="968">
        <v>1</v>
      </c>
      <c r="BA18" s="1063">
        <f t="shared" si="0"/>
        <v>240</v>
      </c>
      <c r="BB18" s="1063">
        <f t="shared" si="1"/>
        <v>120</v>
      </c>
      <c r="BC18" s="903"/>
      <c r="BD18" s="454"/>
      <c r="BE18" s="1591"/>
      <c r="BF18" s="604"/>
      <c r="BG18" s="605"/>
    </row>
    <row r="19" spans="1:60" s="598" customFormat="1" ht="21.95" customHeight="1">
      <c r="A19" s="1784">
        <v>3</v>
      </c>
      <c r="B19" s="841" t="s">
        <v>661</v>
      </c>
      <c r="C19" s="1784"/>
      <c r="D19" s="903"/>
      <c r="E19" s="903"/>
      <c r="F19" s="903"/>
      <c r="G19" s="903"/>
      <c r="H19" s="903"/>
      <c r="I19" s="903"/>
      <c r="J19" s="903"/>
      <c r="K19" s="903"/>
      <c r="L19" s="903"/>
      <c r="M19" s="903"/>
      <c r="N19" s="903"/>
      <c r="O19" s="903"/>
      <c r="P19" s="903"/>
      <c r="Q19" s="903"/>
      <c r="R19" s="903"/>
      <c r="S19" s="903"/>
      <c r="T19" s="903"/>
      <c r="U19" s="903"/>
      <c r="V19" s="903"/>
      <c r="W19" s="903"/>
      <c r="X19" s="903"/>
      <c r="Y19" s="903"/>
      <c r="Z19" s="903"/>
      <c r="AA19" s="903"/>
      <c r="AB19" s="903"/>
      <c r="AC19" s="903"/>
      <c r="AD19" s="903"/>
      <c r="AE19" s="903"/>
      <c r="AF19" s="903"/>
      <c r="AG19" s="903"/>
      <c r="AH19" s="903"/>
      <c r="AI19" s="903"/>
      <c r="AJ19" s="903"/>
      <c r="AK19" s="903"/>
      <c r="AL19" s="903"/>
      <c r="AM19" s="903"/>
      <c r="AN19" s="903"/>
      <c r="AO19" s="903"/>
      <c r="AP19" s="903"/>
      <c r="AQ19" s="903"/>
      <c r="AR19" s="903"/>
      <c r="AS19" s="903"/>
      <c r="AT19" s="903"/>
      <c r="AU19" s="903"/>
      <c r="AV19" s="903"/>
      <c r="AW19" s="903"/>
      <c r="AX19" s="903"/>
      <c r="AY19" s="903"/>
      <c r="AZ19" s="903"/>
      <c r="BA19" s="1063"/>
      <c r="BB19" s="1063"/>
      <c r="BC19" s="903"/>
      <c r="BD19" s="454"/>
      <c r="BE19" s="1591"/>
      <c r="BF19" s="604"/>
      <c r="BG19" s="605"/>
    </row>
    <row r="20" spans="1:60" s="598" customFormat="1" ht="36" customHeight="1">
      <c r="A20" s="1782"/>
      <c r="B20" s="889" t="s">
        <v>662</v>
      </c>
      <c r="C20" s="1782" t="s">
        <v>458</v>
      </c>
      <c r="D20" s="903">
        <v>30</v>
      </c>
      <c r="E20" s="903" t="e">
        <f>SUM(#REF!)</f>
        <v>#REF!</v>
      </c>
      <c r="F20" s="903">
        <f>SUM(F21:F22)</f>
        <v>21</v>
      </c>
      <c r="G20" s="903">
        <f t="shared" ref="G20" si="2">SUM(G21:G22)</f>
        <v>30</v>
      </c>
      <c r="H20" s="903">
        <f>SUM(H21:H22)</f>
        <v>30</v>
      </c>
      <c r="I20" s="903"/>
      <c r="J20" s="903"/>
      <c r="K20" s="903"/>
      <c r="L20" s="903"/>
      <c r="M20" s="903"/>
      <c r="N20" s="903"/>
      <c r="O20" s="903"/>
      <c r="P20" s="903"/>
      <c r="Q20" s="903"/>
      <c r="R20" s="903"/>
      <c r="S20" s="903"/>
      <c r="T20" s="903"/>
      <c r="U20" s="903"/>
      <c r="V20" s="903"/>
      <c r="W20" s="903">
        <f>SUM(W21:W22)</f>
        <v>30</v>
      </c>
      <c r="X20" s="903">
        <f t="shared" ref="X20:AZ20" si="3">SUM(X21:X22)</f>
        <v>0</v>
      </c>
      <c r="Y20" s="903">
        <f t="shared" si="3"/>
        <v>0</v>
      </c>
      <c r="Z20" s="903">
        <f t="shared" si="3"/>
        <v>8</v>
      </c>
      <c r="AA20" s="903">
        <f t="shared" si="3"/>
        <v>0</v>
      </c>
      <c r="AB20" s="903">
        <f t="shared" si="3"/>
        <v>0</v>
      </c>
      <c r="AC20" s="903">
        <f t="shared" si="3"/>
        <v>3</v>
      </c>
      <c r="AD20" s="903">
        <f t="shared" si="3"/>
        <v>5</v>
      </c>
      <c r="AE20" s="903">
        <f t="shared" si="3"/>
        <v>4</v>
      </c>
      <c r="AF20" s="903">
        <f t="shared" si="3"/>
        <v>0</v>
      </c>
      <c r="AG20" s="903">
        <f t="shared" si="3"/>
        <v>0</v>
      </c>
      <c r="AH20" s="903">
        <f t="shared" si="3"/>
        <v>0</v>
      </c>
      <c r="AI20" s="903">
        <f t="shared" si="3"/>
        <v>5</v>
      </c>
      <c r="AJ20" s="903">
        <f t="shared" si="3"/>
        <v>0</v>
      </c>
      <c r="AK20" s="903">
        <f t="shared" si="3"/>
        <v>5</v>
      </c>
      <c r="AL20" s="903">
        <f t="shared" si="3"/>
        <v>12</v>
      </c>
      <c r="AM20" s="903">
        <f t="shared" si="3"/>
        <v>0</v>
      </c>
      <c r="AN20" s="903">
        <f t="shared" si="3"/>
        <v>0</v>
      </c>
      <c r="AO20" s="903">
        <f t="shared" si="3"/>
        <v>0</v>
      </c>
      <c r="AP20" s="903">
        <f t="shared" si="3"/>
        <v>0</v>
      </c>
      <c r="AQ20" s="903">
        <f t="shared" si="3"/>
        <v>4</v>
      </c>
      <c r="AR20" s="903">
        <f t="shared" si="3"/>
        <v>0</v>
      </c>
      <c r="AS20" s="903">
        <f t="shared" si="3"/>
        <v>4</v>
      </c>
      <c r="AT20" s="903">
        <f t="shared" si="3"/>
        <v>0</v>
      </c>
      <c r="AU20" s="903">
        <f t="shared" si="3"/>
        <v>0</v>
      </c>
      <c r="AV20" s="903">
        <f t="shared" si="3"/>
        <v>4</v>
      </c>
      <c r="AW20" s="903">
        <f t="shared" si="3"/>
        <v>0</v>
      </c>
      <c r="AX20" s="903">
        <f t="shared" si="3"/>
        <v>0</v>
      </c>
      <c r="AY20" s="903">
        <f t="shared" si="3"/>
        <v>0</v>
      </c>
      <c r="AZ20" s="903">
        <f t="shared" si="3"/>
        <v>0</v>
      </c>
      <c r="BA20" s="1063">
        <f t="shared" si="0"/>
        <v>57.142857142857146</v>
      </c>
      <c r="BB20" s="1063">
        <f t="shared" si="1"/>
        <v>40</v>
      </c>
      <c r="BC20" s="903"/>
      <c r="BD20" s="454"/>
      <c r="BE20" s="1591"/>
      <c r="BF20" s="604"/>
      <c r="BG20" s="605"/>
    </row>
    <row r="21" spans="1:60" s="598" customFormat="1" ht="21.95" customHeight="1">
      <c r="A21" s="1782"/>
      <c r="B21" s="847" t="s">
        <v>663</v>
      </c>
      <c r="C21" s="1782" t="s">
        <v>458</v>
      </c>
      <c r="D21" s="903">
        <v>10</v>
      </c>
      <c r="E21" s="903" t="e">
        <f>SUM(#REF!)</f>
        <v>#REF!</v>
      </c>
      <c r="F21" s="903">
        <v>5</v>
      </c>
      <c r="G21" s="903">
        <v>10</v>
      </c>
      <c r="H21" s="968">
        <f>SUM(I21:V21)</f>
        <v>10</v>
      </c>
      <c r="I21" s="968"/>
      <c r="J21" s="968">
        <v>3</v>
      </c>
      <c r="K21" s="968"/>
      <c r="L21" s="968"/>
      <c r="M21" s="968"/>
      <c r="N21" s="968"/>
      <c r="O21" s="968">
        <v>4</v>
      </c>
      <c r="P21" s="968"/>
      <c r="Q21" s="968"/>
      <c r="R21" s="968">
        <v>3</v>
      </c>
      <c r="S21" s="968"/>
      <c r="T21" s="968"/>
      <c r="U21" s="968"/>
      <c r="V21" s="968"/>
      <c r="W21" s="968">
        <f>SUM(X21:AK21)</f>
        <v>10</v>
      </c>
      <c r="X21" s="903"/>
      <c r="Y21" s="968"/>
      <c r="Z21" s="968">
        <v>3</v>
      </c>
      <c r="AA21" s="968"/>
      <c r="AB21" s="968"/>
      <c r="AC21" s="968">
        <v>3</v>
      </c>
      <c r="AD21" s="968"/>
      <c r="AE21" s="968">
        <v>4</v>
      </c>
      <c r="AF21" s="968"/>
      <c r="AG21" s="968"/>
      <c r="AH21" s="968"/>
      <c r="AI21" s="968"/>
      <c r="AJ21" s="968"/>
      <c r="AK21" s="968"/>
      <c r="AL21" s="968">
        <f>SUM(AM21:AZ21)</f>
        <v>0</v>
      </c>
      <c r="AM21" s="1734"/>
      <c r="AN21" s="1734"/>
      <c r="AO21" s="1734"/>
      <c r="AP21" s="1734"/>
      <c r="AQ21" s="1734"/>
      <c r="AR21" s="1734"/>
      <c r="AS21" s="1734"/>
      <c r="AT21" s="1734"/>
      <c r="AU21" s="1734"/>
      <c r="AV21" s="1734"/>
      <c r="AW21" s="1734"/>
      <c r="AX21" s="1734"/>
      <c r="AY21" s="1734"/>
      <c r="AZ21" s="1734"/>
      <c r="BA21" s="1063">
        <f t="shared" si="0"/>
        <v>0</v>
      </c>
      <c r="BB21" s="1063">
        <f t="shared" si="1"/>
        <v>0</v>
      </c>
      <c r="BC21" s="903"/>
      <c r="BD21" s="454"/>
      <c r="BE21" s="1591"/>
      <c r="BF21" s="604"/>
      <c r="BG21" s="605"/>
    </row>
    <row r="22" spans="1:60" s="598" customFormat="1" ht="21.95" customHeight="1">
      <c r="A22" s="914"/>
      <c r="B22" s="1471" t="s">
        <v>997</v>
      </c>
      <c r="C22" s="914" t="s">
        <v>458</v>
      </c>
      <c r="D22" s="903">
        <v>20</v>
      </c>
      <c r="E22" s="903" t="e">
        <f>SUM(#REF!)</f>
        <v>#REF!</v>
      </c>
      <c r="F22" s="968">
        <v>16</v>
      </c>
      <c r="G22" s="968">
        <v>20</v>
      </c>
      <c r="H22" s="968">
        <f>SUM(I22:V22)</f>
        <v>20</v>
      </c>
      <c r="I22" s="968"/>
      <c r="J22" s="968"/>
      <c r="K22" s="968"/>
      <c r="L22" s="968">
        <v>5</v>
      </c>
      <c r="M22" s="968">
        <v>5</v>
      </c>
      <c r="N22" s="968"/>
      <c r="O22" s="968"/>
      <c r="P22" s="968">
        <v>5</v>
      </c>
      <c r="Q22" s="968"/>
      <c r="R22" s="968">
        <v>5</v>
      </c>
      <c r="S22" s="968"/>
      <c r="T22" s="968"/>
      <c r="U22" s="968"/>
      <c r="V22" s="968"/>
      <c r="W22" s="968">
        <f>SUM(X22:AK22)</f>
        <v>20</v>
      </c>
      <c r="X22" s="1448"/>
      <c r="Y22" s="1448"/>
      <c r="Z22" s="1448">
        <v>5</v>
      </c>
      <c r="AA22" s="1448"/>
      <c r="AB22" s="1448"/>
      <c r="AC22" s="1448"/>
      <c r="AD22" s="1448">
        <v>5</v>
      </c>
      <c r="AE22" s="1448"/>
      <c r="AF22" s="1448"/>
      <c r="AG22" s="1448"/>
      <c r="AH22" s="1448"/>
      <c r="AI22" s="1448">
        <v>5</v>
      </c>
      <c r="AJ22" s="1448"/>
      <c r="AK22" s="1448">
        <v>5</v>
      </c>
      <c r="AL22" s="968">
        <f>SUM(AM22:AZ22)</f>
        <v>12</v>
      </c>
      <c r="AM22" s="1448"/>
      <c r="AN22" s="1448"/>
      <c r="AO22" s="1448"/>
      <c r="AP22" s="1448"/>
      <c r="AQ22" s="1448">
        <v>4</v>
      </c>
      <c r="AR22" s="1448"/>
      <c r="AS22" s="1448">
        <v>4</v>
      </c>
      <c r="AT22" s="1448"/>
      <c r="AU22" s="1448"/>
      <c r="AV22" s="1448">
        <v>4</v>
      </c>
      <c r="AW22" s="1448"/>
      <c r="AX22" s="1448"/>
      <c r="AY22" s="1448"/>
      <c r="AZ22" s="1448"/>
      <c r="BA22" s="1063">
        <f t="shared" si="0"/>
        <v>75</v>
      </c>
      <c r="BB22" s="1063">
        <f t="shared" si="1"/>
        <v>60</v>
      </c>
      <c r="BC22" s="903"/>
      <c r="BD22" s="454"/>
      <c r="BE22" s="1591"/>
      <c r="BF22" s="604"/>
      <c r="BG22" s="605"/>
    </row>
    <row r="23" spans="1:60" s="598" customFormat="1" ht="21.95" customHeight="1">
      <c r="A23" s="1784">
        <v>4</v>
      </c>
      <c r="B23" s="841" t="s">
        <v>925</v>
      </c>
      <c r="C23" s="1782"/>
      <c r="D23" s="1436"/>
      <c r="E23" s="1436"/>
      <c r="F23" s="1436"/>
      <c r="G23" s="1436"/>
      <c r="H23" s="1436"/>
      <c r="I23" s="1436"/>
      <c r="J23" s="1436"/>
      <c r="K23" s="1436"/>
      <c r="L23" s="1436"/>
      <c r="M23" s="1436"/>
      <c r="N23" s="1436"/>
      <c r="O23" s="1436"/>
      <c r="P23" s="1436"/>
      <c r="Q23" s="1436"/>
      <c r="R23" s="1436"/>
      <c r="S23" s="1436"/>
      <c r="T23" s="1436"/>
      <c r="U23" s="1436"/>
      <c r="V23" s="1436"/>
      <c r="W23" s="1436"/>
      <c r="X23" s="1436"/>
      <c r="Y23" s="1436"/>
      <c r="Z23" s="1436"/>
      <c r="AA23" s="1436"/>
      <c r="AB23" s="1436"/>
      <c r="AC23" s="1436"/>
      <c r="AD23" s="1436"/>
      <c r="AE23" s="1436"/>
      <c r="AF23" s="1436"/>
      <c r="AG23" s="1436"/>
      <c r="AH23" s="1436"/>
      <c r="AI23" s="1436"/>
      <c r="AJ23" s="1436"/>
      <c r="AK23" s="1436"/>
      <c r="AL23" s="1436"/>
      <c r="AM23" s="1436"/>
      <c r="AN23" s="1436"/>
      <c r="AO23" s="1436"/>
      <c r="AP23" s="1436"/>
      <c r="AQ23" s="1436"/>
      <c r="AR23" s="1436"/>
      <c r="AS23" s="1436"/>
      <c r="AT23" s="1436"/>
      <c r="AU23" s="1436"/>
      <c r="AV23" s="1436"/>
      <c r="AW23" s="1436"/>
      <c r="AX23" s="1436"/>
      <c r="AY23" s="1436"/>
      <c r="AZ23" s="1436"/>
      <c r="BA23" s="1063"/>
      <c r="BB23" s="1063"/>
      <c r="BC23" s="1436"/>
      <c r="BD23" s="454"/>
      <c r="BE23" s="1591"/>
      <c r="BF23" s="604"/>
      <c r="BG23" s="743"/>
    </row>
    <row r="24" spans="1:60" s="598" customFormat="1" ht="21.95" customHeight="1">
      <c r="A24" s="1782"/>
      <c r="B24" s="889" t="s">
        <v>466</v>
      </c>
      <c r="C24" s="1782" t="s">
        <v>467</v>
      </c>
      <c r="D24" s="1224">
        <v>1</v>
      </c>
      <c r="E24" s="1224">
        <v>1</v>
      </c>
      <c r="F24" s="1224">
        <v>1</v>
      </c>
      <c r="G24" s="1224">
        <v>1</v>
      </c>
      <c r="H24" s="1224">
        <v>1</v>
      </c>
      <c r="I24" s="1224"/>
      <c r="J24" s="1224"/>
      <c r="K24" s="1224"/>
      <c r="L24" s="1224"/>
      <c r="M24" s="1224"/>
      <c r="N24" s="1224"/>
      <c r="O24" s="1224"/>
      <c r="P24" s="1224"/>
      <c r="Q24" s="1224"/>
      <c r="R24" s="1224"/>
      <c r="S24" s="1224"/>
      <c r="T24" s="1224"/>
      <c r="U24" s="1224"/>
      <c r="V24" s="1224"/>
      <c r="W24" s="1224">
        <v>1</v>
      </c>
      <c r="X24" s="1224"/>
      <c r="Y24" s="1224"/>
      <c r="Z24" s="1224"/>
      <c r="AA24" s="1224"/>
      <c r="AB24" s="1224"/>
      <c r="AC24" s="1224"/>
      <c r="AD24" s="1224"/>
      <c r="AE24" s="1224"/>
      <c r="AF24" s="1224"/>
      <c r="AG24" s="1224"/>
      <c r="AH24" s="1224"/>
      <c r="AI24" s="1224"/>
      <c r="AJ24" s="1224"/>
      <c r="AK24" s="1224"/>
      <c r="AL24" s="1224">
        <v>1</v>
      </c>
      <c r="AM24" s="1224"/>
      <c r="AN24" s="1224"/>
      <c r="AO24" s="1224"/>
      <c r="AP24" s="1224"/>
      <c r="AQ24" s="1224"/>
      <c r="AR24" s="1224"/>
      <c r="AS24" s="1224"/>
      <c r="AT24" s="1224"/>
      <c r="AU24" s="1224"/>
      <c r="AV24" s="1224"/>
      <c r="AW24" s="1224"/>
      <c r="AX24" s="1224"/>
      <c r="AY24" s="1224"/>
      <c r="AZ24" s="1224"/>
      <c r="BA24" s="1063">
        <f t="shared" si="0"/>
        <v>100</v>
      </c>
      <c r="BB24" s="1063">
        <f t="shared" si="1"/>
        <v>100</v>
      </c>
      <c r="BC24" s="1224"/>
      <c r="BD24" s="454"/>
      <c r="BE24" s="1591"/>
      <c r="BF24" s="604"/>
      <c r="BG24" s="743"/>
    </row>
    <row r="25" spans="1:60" s="598" customFormat="1" ht="21.95" customHeight="1">
      <c r="A25" s="1782"/>
      <c r="B25" s="889" t="s">
        <v>468</v>
      </c>
      <c r="C25" s="1782" t="s">
        <v>458</v>
      </c>
      <c r="D25" s="903">
        <v>92</v>
      </c>
      <c r="E25" s="903" t="e">
        <f>SUM(#REF!)</f>
        <v>#REF!</v>
      </c>
      <c r="F25" s="903">
        <f>SUM(F26:F27)</f>
        <v>55</v>
      </c>
      <c r="G25" s="903">
        <f t="shared" ref="G25" si="4">SUM(G26:G27)</f>
        <v>82</v>
      </c>
      <c r="H25" s="968">
        <f>+H26+H27</f>
        <v>94</v>
      </c>
      <c r="I25" s="968">
        <f t="shared" ref="I25:V25" si="5">+I26+I27</f>
        <v>5</v>
      </c>
      <c r="J25" s="968">
        <f t="shared" si="5"/>
        <v>5</v>
      </c>
      <c r="K25" s="968">
        <f t="shared" si="5"/>
        <v>5</v>
      </c>
      <c r="L25" s="968">
        <f t="shared" si="5"/>
        <v>5</v>
      </c>
      <c r="M25" s="968">
        <f t="shared" si="5"/>
        <v>5</v>
      </c>
      <c r="N25" s="968">
        <f t="shared" si="5"/>
        <v>7</v>
      </c>
      <c r="O25" s="968">
        <f t="shared" si="5"/>
        <v>9</v>
      </c>
      <c r="P25" s="968">
        <f t="shared" si="5"/>
        <v>8</v>
      </c>
      <c r="Q25" s="968">
        <f t="shared" si="5"/>
        <v>6</v>
      </c>
      <c r="R25" s="968">
        <f t="shared" si="5"/>
        <v>7</v>
      </c>
      <c r="S25" s="968">
        <f t="shared" si="5"/>
        <v>8</v>
      </c>
      <c r="T25" s="968">
        <f t="shared" si="5"/>
        <v>8</v>
      </c>
      <c r="U25" s="968">
        <f t="shared" si="5"/>
        <v>8</v>
      </c>
      <c r="V25" s="968">
        <f t="shared" si="5"/>
        <v>8</v>
      </c>
      <c r="W25" s="968">
        <f>+W26+W27</f>
        <v>58</v>
      </c>
      <c r="X25" s="968">
        <f t="shared" ref="X25:AK25" si="6">+X26+X27</f>
        <v>0</v>
      </c>
      <c r="Y25" s="968">
        <f t="shared" si="6"/>
        <v>2</v>
      </c>
      <c r="Z25" s="968">
        <f t="shared" si="6"/>
        <v>7</v>
      </c>
      <c r="AA25" s="968">
        <f t="shared" si="6"/>
        <v>0</v>
      </c>
      <c r="AB25" s="968">
        <f t="shared" si="6"/>
        <v>2</v>
      </c>
      <c r="AC25" s="968">
        <f t="shared" si="6"/>
        <v>5</v>
      </c>
      <c r="AD25" s="968">
        <f t="shared" si="6"/>
        <v>7</v>
      </c>
      <c r="AE25" s="968">
        <f t="shared" si="6"/>
        <v>5</v>
      </c>
      <c r="AF25" s="968">
        <f t="shared" si="6"/>
        <v>2</v>
      </c>
      <c r="AG25" s="968">
        <f t="shared" si="6"/>
        <v>7</v>
      </c>
      <c r="AH25" s="968">
        <f t="shared" si="6"/>
        <v>7</v>
      </c>
      <c r="AI25" s="968">
        <f t="shared" si="6"/>
        <v>7</v>
      </c>
      <c r="AJ25" s="968">
        <f t="shared" si="6"/>
        <v>5</v>
      </c>
      <c r="AK25" s="968">
        <f t="shared" si="6"/>
        <v>2</v>
      </c>
      <c r="AL25" s="968">
        <f>SUM(AL26:AL27)</f>
        <v>25</v>
      </c>
      <c r="AM25" s="1449">
        <v>2</v>
      </c>
      <c r="AN25" s="1448"/>
      <c r="AO25" s="1448">
        <v>2</v>
      </c>
      <c r="AP25" s="1448">
        <v>2</v>
      </c>
      <c r="AQ25" s="1448">
        <v>2</v>
      </c>
      <c r="AR25" s="1448">
        <v>2</v>
      </c>
      <c r="AS25" s="1448">
        <v>2</v>
      </c>
      <c r="AT25" s="1448">
        <v>2</v>
      </c>
      <c r="AU25" s="1448">
        <v>2</v>
      </c>
      <c r="AV25" s="1448"/>
      <c r="AW25" s="1448">
        <v>3</v>
      </c>
      <c r="AX25" s="1448"/>
      <c r="AY25" s="1448">
        <v>3</v>
      </c>
      <c r="AZ25" s="1448">
        <v>3</v>
      </c>
      <c r="BA25" s="1063">
        <f t="shared" si="0"/>
        <v>45.454545454545453</v>
      </c>
      <c r="BB25" s="1063">
        <f t="shared" si="1"/>
        <v>43.103448275862071</v>
      </c>
      <c r="BC25" s="903"/>
      <c r="BD25" s="454"/>
      <c r="BE25" s="1591"/>
      <c r="BF25" s="604"/>
      <c r="BG25" s="605"/>
    </row>
    <row r="26" spans="1:60" s="598" customFormat="1" ht="21.95" customHeight="1">
      <c r="A26" s="1782"/>
      <c r="B26" s="889" t="s">
        <v>469</v>
      </c>
      <c r="C26" s="1782" t="s">
        <v>458</v>
      </c>
      <c r="D26" s="903">
        <v>12</v>
      </c>
      <c r="E26" s="903" t="e">
        <f>SUM(#REF!)</f>
        <v>#REF!</v>
      </c>
      <c r="F26" s="903">
        <v>12</v>
      </c>
      <c r="G26" s="903">
        <v>12</v>
      </c>
      <c r="H26" s="903">
        <f>SUM(I26:V26)</f>
        <v>12</v>
      </c>
      <c r="I26" s="968"/>
      <c r="J26" s="968"/>
      <c r="K26" s="968"/>
      <c r="L26" s="968"/>
      <c r="M26" s="968"/>
      <c r="N26" s="968">
        <v>2</v>
      </c>
      <c r="O26" s="968"/>
      <c r="P26" s="968">
        <v>2</v>
      </c>
      <c r="Q26" s="968"/>
      <c r="R26" s="968">
        <v>2</v>
      </c>
      <c r="S26" s="968">
        <v>2</v>
      </c>
      <c r="T26" s="968">
        <v>2</v>
      </c>
      <c r="U26" s="968">
        <v>2</v>
      </c>
      <c r="V26" s="968"/>
      <c r="W26" s="903">
        <f>SUM(X26:AK26)</f>
        <v>18</v>
      </c>
      <c r="X26" s="1135"/>
      <c r="Y26" s="968">
        <v>2</v>
      </c>
      <c r="Z26" s="968">
        <v>2</v>
      </c>
      <c r="AA26" s="968"/>
      <c r="AB26" s="968">
        <v>2</v>
      </c>
      <c r="AC26" s="968"/>
      <c r="AD26" s="968">
        <v>2</v>
      </c>
      <c r="AE26" s="968"/>
      <c r="AF26" s="968">
        <v>2</v>
      </c>
      <c r="AG26" s="968">
        <v>2</v>
      </c>
      <c r="AH26" s="968">
        <v>2</v>
      </c>
      <c r="AI26" s="968">
        <v>2</v>
      </c>
      <c r="AJ26" s="968"/>
      <c r="AK26" s="968">
        <v>2</v>
      </c>
      <c r="AL26" s="903">
        <v>0</v>
      </c>
      <c r="AM26" s="1135"/>
      <c r="AN26" s="968"/>
      <c r="AO26" s="968"/>
      <c r="AP26" s="968"/>
      <c r="AQ26" s="968"/>
      <c r="AR26" s="968"/>
      <c r="AS26" s="968"/>
      <c r="AT26" s="968"/>
      <c r="AU26" s="968"/>
      <c r="AV26" s="968"/>
      <c r="AW26" s="968"/>
      <c r="AX26" s="968"/>
      <c r="AY26" s="968"/>
      <c r="AZ26" s="968"/>
      <c r="BA26" s="1063">
        <f t="shared" si="0"/>
        <v>0</v>
      </c>
      <c r="BB26" s="1063">
        <f t="shared" si="1"/>
        <v>0</v>
      </c>
      <c r="BC26" s="903"/>
      <c r="BD26" s="454"/>
      <c r="BE26" s="1591"/>
      <c r="BF26" s="604"/>
      <c r="BG26" s="605"/>
    </row>
    <row r="27" spans="1:60" s="598" customFormat="1" ht="21.95" customHeight="1">
      <c r="A27" s="1782"/>
      <c r="B27" s="889" t="s">
        <v>799</v>
      </c>
      <c r="C27" s="1782" t="s">
        <v>458</v>
      </c>
      <c r="D27" s="903">
        <v>80</v>
      </c>
      <c r="E27" s="903" t="e">
        <f>SUM(#REF!)</f>
        <v>#REF!</v>
      </c>
      <c r="F27" s="903">
        <v>43</v>
      </c>
      <c r="G27" s="903">
        <v>70</v>
      </c>
      <c r="H27" s="903">
        <f>SUM(I27:V27)</f>
        <v>82</v>
      </c>
      <c r="I27" s="903">
        <v>5</v>
      </c>
      <c r="J27" s="968">
        <v>5</v>
      </c>
      <c r="K27" s="968">
        <v>5</v>
      </c>
      <c r="L27" s="968">
        <v>5</v>
      </c>
      <c r="M27" s="968">
        <v>5</v>
      </c>
      <c r="N27" s="968">
        <v>5</v>
      </c>
      <c r="O27" s="968">
        <v>9</v>
      </c>
      <c r="P27" s="968">
        <v>6</v>
      </c>
      <c r="Q27" s="968">
        <v>6</v>
      </c>
      <c r="R27" s="968">
        <v>5</v>
      </c>
      <c r="S27" s="968">
        <v>6</v>
      </c>
      <c r="T27" s="968">
        <v>6</v>
      </c>
      <c r="U27" s="968">
        <v>6</v>
      </c>
      <c r="V27" s="968">
        <v>8</v>
      </c>
      <c r="W27" s="903">
        <f>SUM(X27:AK27)</f>
        <v>40</v>
      </c>
      <c r="X27" s="1449"/>
      <c r="Y27" s="1448"/>
      <c r="Z27" s="1448">
        <v>5</v>
      </c>
      <c r="AA27" s="1448"/>
      <c r="AB27" s="1448"/>
      <c r="AC27" s="1448">
        <v>5</v>
      </c>
      <c r="AD27" s="1448">
        <v>5</v>
      </c>
      <c r="AE27" s="1448">
        <v>5</v>
      </c>
      <c r="AF27" s="1448"/>
      <c r="AG27" s="1448">
        <v>5</v>
      </c>
      <c r="AH27" s="1448">
        <v>5</v>
      </c>
      <c r="AI27" s="1448">
        <v>5</v>
      </c>
      <c r="AJ27" s="1448">
        <v>5</v>
      </c>
      <c r="AK27" s="1448"/>
      <c r="AL27" s="903">
        <f>SUM(AM27:AZ27)</f>
        <v>25</v>
      </c>
      <c r="AM27" s="1449">
        <v>2</v>
      </c>
      <c r="AN27" s="1448"/>
      <c r="AO27" s="1448">
        <v>2</v>
      </c>
      <c r="AP27" s="1448">
        <v>2</v>
      </c>
      <c r="AQ27" s="1448">
        <v>2</v>
      </c>
      <c r="AR27" s="1448">
        <v>2</v>
      </c>
      <c r="AS27" s="1448">
        <v>2</v>
      </c>
      <c r="AT27" s="1448">
        <v>2</v>
      </c>
      <c r="AU27" s="1448">
        <v>2</v>
      </c>
      <c r="AV27" s="1448"/>
      <c r="AW27" s="1448">
        <v>3</v>
      </c>
      <c r="AX27" s="1448"/>
      <c r="AY27" s="1448">
        <v>3</v>
      </c>
      <c r="AZ27" s="1448">
        <v>3</v>
      </c>
      <c r="BA27" s="1063">
        <f t="shared" si="0"/>
        <v>58.139534883720934</v>
      </c>
      <c r="BB27" s="1063">
        <f t="shared" si="1"/>
        <v>62.5</v>
      </c>
      <c r="BC27" s="903"/>
      <c r="BD27" s="1606"/>
      <c r="BE27" s="1591"/>
      <c r="BF27" s="604"/>
      <c r="BG27" s="605"/>
      <c r="BH27" s="744"/>
    </row>
    <row r="28" spans="1:60" s="603" customFormat="1" ht="36" customHeight="1">
      <c r="A28" s="1784">
        <v>5</v>
      </c>
      <c r="B28" s="841" t="s">
        <v>966</v>
      </c>
      <c r="C28" s="1784"/>
      <c r="D28" s="962"/>
      <c r="E28" s="962"/>
      <c r="F28" s="962"/>
      <c r="G28" s="962"/>
      <c r="H28" s="962"/>
      <c r="I28" s="962"/>
      <c r="J28" s="967"/>
      <c r="K28" s="967"/>
      <c r="L28" s="967"/>
      <c r="M28" s="967"/>
      <c r="N28" s="967"/>
      <c r="O28" s="967"/>
      <c r="P28" s="967"/>
      <c r="Q28" s="967"/>
      <c r="R28" s="967"/>
      <c r="S28" s="967"/>
      <c r="T28" s="967"/>
      <c r="U28" s="967"/>
      <c r="V28" s="967"/>
      <c r="W28" s="962"/>
      <c r="X28" s="1450"/>
      <c r="Y28" s="1451"/>
      <c r="Z28" s="1451"/>
      <c r="AA28" s="1451"/>
      <c r="AB28" s="1451"/>
      <c r="AC28" s="1451"/>
      <c r="AD28" s="1451"/>
      <c r="AE28" s="1451"/>
      <c r="AF28" s="1451"/>
      <c r="AG28" s="1451"/>
      <c r="AH28" s="1451"/>
      <c r="AI28" s="1451"/>
      <c r="AJ28" s="1451"/>
      <c r="AK28" s="1451"/>
      <c r="AL28" s="962"/>
      <c r="AM28" s="1450"/>
      <c r="AN28" s="1451"/>
      <c r="AO28" s="1451"/>
      <c r="AP28" s="1451"/>
      <c r="AQ28" s="1451"/>
      <c r="AR28" s="1451"/>
      <c r="AS28" s="1451"/>
      <c r="AT28" s="1451"/>
      <c r="AU28" s="1451"/>
      <c r="AV28" s="1451"/>
      <c r="AW28" s="1451"/>
      <c r="AX28" s="1451"/>
      <c r="AY28" s="1451"/>
      <c r="AZ28" s="1451"/>
      <c r="BA28" s="1063"/>
      <c r="BB28" s="1063"/>
      <c r="BC28" s="962"/>
      <c r="BD28" s="1595"/>
      <c r="BE28" s="1591"/>
      <c r="BF28" s="611"/>
      <c r="BG28" s="717"/>
      <c r="BH28" s="827"/>
    </row>
    <row r="29" spans="1:60" s="610" customFormat="1" hidden="1">
      <c r="A29" s="857"/>
      <c r="B29" s="1472" t="s">
        <v>556</v>
      </c>
      <c r="C29" s="857"/>
      <c r="D29" s="1452">
        <v>110</v>
      </c>
      <c r="E29" s="1452" t="e">
        <f>SUM(#REF!)</f>
        <v>#REF!</v>
      </c>
      <c r="F29" s="1452"/>
      <c r="G29" s="1452"/>
      <c r="H29" s="1008"/>
      <c r="I29" s="1008">
        <v>9</v>
      </c>
      <c r="J29" s="1008">
        <v>7</v>
      </c>
      <c r="K29" s="1008">
        <v>6</v>
      </c>
      <c r="L29" s="1008">
        <v>4</v>
      </c>
      <c r="M29" s="1008">
        <v>7</v>
      </c>
      <c r="N29" s="1008">
        <v>5</v>
      </c>
      <c r="O29" s="1008">
        <v>12</v>
      </c>
      <c r="P29" s="1008">
        <v>11</v>
      </c>
      <c r="Q29" s="1008">
        <v>7</v>
      </c>
      <c r="R29" s="1008">
        <v>6</v>
      </c>
      <c r="S29" s="1008">
        <v>8</v>
      </c>
      <c r="T29" s="1008">
        <v>9</v>
      </c>
      <c r="U29" s="1008">
        <v>8</v>
      </c>
      <c r="V29" s="1008">
        <v>11</v>
      </c>
      <c r="W29" s="1008">
        <f>SUM(X29:AK29)</f>
        <v>110</v>
      </c>
      <c r="X29" s="1008">
        <v>9</v>
      </c>
      <c r="Y29" s="1008">
        <v>7</v>
      </c>
      <c r="Z29" s="1008">
        <v>6</v>
      </c>
      <c r="AA29" s="1008">
        <v>4</v>
      </c>
      <c r="AB29" s="1008">
        <v>7</v>
      </c>
      <c r="AC29" s="1008">
        <v>5</v>
      </c>
      <c r="AD29" s="1008">
        <v>12</v>
      </c>
      <c r="AE29" s="1008">
        <v>11</v>
      </c>
      <c r="AF29" s="1008">
        <v>7</v>
      </c>
      <c r="AG29" s="1008">
        <v>6</v>
      </c>
      <c r="AH29" s="1008">
        <v>8</v>
      </c>
      <c r="AI29" s="1008">
        <v>9</v>
      </c>
      <c r="AJ29" s="1008">
        <v>8</v>
      </c>
      <c r="AK29" s="1008">
        <v>11</v>
      </c>
      <c r="AL29" s="1008"/>
      <c r="AM29" s="1008"/>
      <c r="AN29" s="1008"/>
      <c r="AO29" s="1008"/>
      <c r="AP29" s="1008"/>
      <c r="AQ29" s="1008"/>
      <c r="AR29" s="1008"/>
      <c r="AS29" s="1008"/>
      <c r="AT29" s="1008"/>
      <c r="AU29" s="1008"/>
      <c r="AV29" s="1008"/>
      <c r="AW29" s="1008"/>
      <c r="AX29" s="1008"/>
      <c r="AY29" s="1008"/>
      <c r="AZ29" s="1008"/>
      <c r="BA29" s="1063" t="e">
        <f t="shared" si="0"/>
        <v>#DIV/0!</v>
      </c>
      <c r="BB29" s="1063">
        <f t="shared" si="1"/>
        <v>0</v>
      </c>
      <c r="BC29" s="1452"/>
      <c r="BD29" s="1596"/>
      <c r="BE29" s="1591"/>
      <c r="BF29" s="608"/>
      <c r="BG29" s="609"/>
      <c r="BH29" s="742"/>
    </row>
    <row r="30" spans="1:60" s="610" customFormat="1" ht="36" customHeight="1">
      <c r="A30" s="857"/>
      <c r="B30" s="1472" t="s">
        <v>926</v>
      </c>
      <c r="C30" s="857" t="s">
        <v>480</v>
      </c>
      <c r="D30" s="1452">
        <v>109</v>
      </c>
      <c r="E30" s="1452" t="e">
        <f>SUM(#REF!)</f>
        <v>#REF!</v>
      </c>
      <c r="F30" s="1452">
        <v>110</v>
      </c>
      <c r="G30" s="1452">
        <v>110</v>
      </c>
      <c r="H30" s="903">
        <f>SUM(I30:V30)</f>
        <v>110</v>
      </c>
      <c r="I30" s="1449">
        <v>9</v>
      </c>
      <c r="J30" s="1449">
        <v>7</v>
      </c>
      <c r="K30" s="1449">
        <v>6</v>
      </c>
      <c r="L30" s="1449">
        <v>4</v>
      </c>
      <c r="M30" s="1449">
        <v>7</v>
      </c>
      <c r="N30" s="1449">
        <v>5</v>
      </c>
      <c r="O30" s="1449">
        <v>12</v>
      </c>
      <c r="P30" s="1449">
        <v>11</v>
      </c>
      <c r="Q30" s="1449">
        <v>7</v>
      </c>
      <c r="R30" s="1449">
        <v>6</v>
      </c>
      <c r="S30" s="1449">
        <v>8</v>
      </c>
      <c r="T30" s="1449">
        <v>9</v>
      </c>
      <c r="U30" s="1449">
        <v>8</v>
      </c>
      <c r="V30" s="1449">
        <v>11</v>
      </c>
      <c r="W30" s="1449">
        <f>SUM(X30:AK30)</f>
        <v>110</v>
      </c>
      <c r="X30" s="1449">
        <v>9</v>
      </c>
      <c r="Y30" s="1449">
        <v>7</v>
      </c>
      <c r="Z30" s="1449">
        <v>6</v>
      </c>
      <c r="AA30" s="1449">
        <v>4</v>
      </c>
      <c r="AB30" s="1449">
        <v>7</v>
      </c>
      <c r="AC30" s="1449">
        <v>5</v>
      </c>
      <c r="AD30" s="1449">
        <v>12</v>
      </c>
      <c r="AE30" s="1449">
        <v>11</v>
      </c>
      <c r="AF30" s="1449">
        <v>7</v>
      </c>
      <c r="AG30" s="1449">
        <v>6</v>
      </c>
      <c r="AH30" s="1449">
        <v>8</v>
      </c>
      <c r="AI30" s="1449">
        <v>9</v>
      </c>
      <c r="AJ30" s="1449">
        <v>8</v>
      </c>
      <c r="AK30" s="1449">
        <v>11</v>
      </c>
      <c r="AL30" s="1449">
        <v>110</v>
      </c>
      <c r="AM30" s="1449">
        <v>9</v>
      </c>
      <c r="AN30" s="1449">
        <v>7</v>
      </c>
      <c r="AO30" s="1449">
        <v>6</v>
      </c>
      <c r="AP30" s="1449">
        <v>4</v>
      </c>
      <c r="AQ30" s="1449">
        <v>7</v>
      </c>
      <c r="AR30" s="1449">
        <v>5</v>
      </c>
      <c r="AS30" s="1449">
        <v>12</v>
      </c>
      <c r="AT30" s="1449">
        <v>11</v>
      </c>
      <c r="AU30" s="1449">
        <v>7</v>
      </c>
      <c r="AV30" s="1449">
        <v>6</v>
      </c>
      <c r="AW30" s="1449">
        <v>8</v>
      </c>
      <c r="AX30" s="1449">
        <v>9</v>
      </c>
      <c r="AY30" s="1449">
        <v>8</v>
      </c>
      <c r="AZ30" s="1449">
        <v>11</v>
      </c>
      <c r="BA30" s="1063">
        <f t="shared" si="0"/>
        <v>99.999999999999986</v>
      </c>
      <c r="BB30" s="1063">
        <f t="shared" si="1"/>
        <v>99.999999999999986</v>
      </c>
      <c r="BC30" s="1452"/>
      <c r="BD30" s="1606"/>
      <c r="BE30" s="1591"/>
      <c r="BF30" s="608"/>
      <c r="BG30" s="609"/>
    </row>
    <row r="31" spans="1:60" s="598" customFormat="1" ht="36" customHeight="1">
      <c r="A31" s="1782"/>
      <c r="B31" s="889" t="s">
        <v>927</v>
      </c>
      <c r="C31" s="1782" t="s">
        <v>480</v>
      </c>
      <c r="D31" s="903">
        <v>89</v>
      </c>
      <c r="E31" s="903" t="e">
        <f>SUM(#REF!)</f>
        <v>#REF!</v>
      </c>
      <c r="F31" s="903"/>
      <c r="G31" s="903"/>
      <c r="H31" s="903">
        <f>SUM(I31:V31)</f>
        <v>92</v>
      </c>
      <c r="I31" s="903">
        <v>8</v>
      </c>
      <c r="J31" s="968">
        <v>6</v>
      </c>
      <c r="K31" s="968">
        <v>5</v>
      </c>
      <c r="L31" s="968">
        <v>3</v>
      </c>
      <c r="M31" s="968">
        <v>6</v>
      </c>
      <c r="N31" s="968">
        <v>4</v>
      </c>
      <c r="O31" s="968">
        <v>10</v>
      </c>
      <c r="P31" s="968">
        <v>9</v>
      </c>
      <c r="Q31" s="968">
        <v>6</v>
      </c>
      <c r="R31" s="968">
        <v>5</v>
      </c>
      <c r="S31" s="968">
        <v>7</v>
      </c>
      <c r="T31" s="968">
        <v>8</v>
      </c>
      <c r="U31" s="968">
        <v>7</v>
      </c>
      <c r="V31" s="968">
        <v>8</v>
      </c>
      <c r="W31" s="903">
        <f>SUM(X31:AK31)</f>
        <v>93</v>
      </c>
      <c r="X31" s="903">
        <v>8</v>
      </c>
      <c r="Y31" s="968">
        <v>6</v>
      </c>
      <c r="Z31" s="968">
        <v>5</v>
      </c>
      <c r="AA31" s="968">
        <v>3</v>
      </c>
      <c r="AB31" s="968">
        <v>6</v>
      </c>
      <c r="AC31" s="968">
        <v>4</v>
      </c>
      <c r="AD31" s="968">
        <v>10</v>
      </c>
      <c r="AE31" s="968">
        <v>10</v>
      </c>
      <c r="AF31" s="968">
        <v>6</v>
      </c>
      <c r="AG31" s="968">
        <v>5</v>
      </c>
      <c r="AH31" s="968">
        <v>7</v>
      </c>
      <c r="AI31" s="968">
        <v>8</v>
      </c>
      <c r="AJ31" s="968">
        <v>7</v>
      </c>
      <c r="AK31" s="968">
        <v>8</v>
      </c>
      <c r="AL31" s="903"/>
      <c r="AM31" s="903"/>
      <c r="AN31" s="968"/>
      <c r="AO31" s="968"/>
      <c r="AP31" s="968"/>
      <c r="AQ31" s="968"/>
      <c r="AR31" s="968"/>
      <c r="AS31" s="968"/>
      <c r="AT31" s="968"/>
      <c r="AU31" s="968"/>
      <c r="AV31" s="968"/>
      <c r="AW31" s="968"/>
      <c r="AX31" s="968"/>
      <c r="AY31" s="968"/>
      <c r="AZ31" s="968"/>
      <c r="BA31" s="1063"/>
      <c r="BB31" s="1063">
        <f t="shared" si="1"/>
        <v>0</v>
      </c>
      <c r="BC31" s="903"/>
      <c r="BD31" s="1594"/>
      <c r="BE31" s="1591"/>
      <c r="BF31" s="604"/>
      <c r="BG31" s="605"/>
    </row>
    <row r="32" spans="1:60" s="746" customFormat="1" ht="36" customHeight="1">
      <c r="A32" s="876"/>
      <c r="B32" s="877" t="s">
        <v>823</v>
      </c>
      <c r="C32" s="876" t="s">
        <v>26</v>
      </c>
      <c r="D32" s="1010">
        <v>80.909090909090907</v>
      </c>
      <c r="E32" s="1010" t="e">
        <f>E31/E29*100</f>
        <v>#REF!</v>
      </c>
      <c r="F32" s="1010"/>
      <c r="G32" s="1010"/>
      <c r="H32" s="1010">
        <f>H31/H30%</f>
        <v>83.636363636363626</v>
      </c>
      <c r="I32" s="1010">
        <f t="shared" ref="I32:V32" si="7">I31/I30%</f>
        <v>88.888888888888886</v>
      </c>
      <c r="J32" s="1010">
        <f t="shared" si="7"/>
        <v>85.714285714285708</v>
      </c>
      <c r="K32" s="1010">
        <f t="shared" si="7"/>
        <v>83.333333333333343</v>
      </c>
      <c r="L32" s="1010">
        <f t="shared" si="7"/>
        <v>75</v>
      </c>
      <c r="M32" s="1010">
        <f t="shared" si="7"/>
        <v>85.714285714285708</v>
      </c>
      <c r="N32" s="1010">
        <f t="shared" si="7"/>
        <v>80</v>
      </c>
      <c r="O32" s="1010">
        <f t="shared" si="7"/>
        <v>83.333333333333343</v>
      </c>
      <c r="P32" s="1010">
        <f t="shared" si="7"/>
        <v>81.818181818181813</v>
      </c>
      <c r="Q32" s="1010">
        <f t="shared" si="7"/>
        <v>85.714285714285708</v>
      </c>
      <c r="R32" s="1010">
        <f t="shared" si="7"/>
        <v>83.333333333333343</v>
      </c>
      <c r="S32" s="1010">
        <f t="shared" si="7"/>
        <v>87.5</v>
      </c>
      <c r="T32" s="1010">
        <f t="shared" si="7"/>
        <v>88.888888888888886</v>
      </c>
      <c r="U32" s="1010">
        <f t="shared" si="7"/>
        <v>87.5</v>
      </c>
      <c r="V32" s="1010">
        <f t="shared" si="7"/>
        <v>72.727272727272734</v>
      </c>
      <c r="W32" s="904">
        <f>W31/W30%</f>
        <v>84.545454545454533</v>
      </c>
      <c r="X32" s="1010">
        <f t="shared" ref="X32:AK32" si="8">X31/X30%</f>
        <v>88.888888888888886</v>
      </c>
      <c r="Y32" s="1010">
        <f t="shared" si="8"/>
        <v>85.714285714285708</v>
      </c>
      <c r="Z32" s="1010">
        <f t="shared" si="8"/>
        <v>83.333333333333343</v>
      </c>
      <c r="AA32" s="1010">
        <f t="shared" si="8"/>
        <v>75</v>
      </c>
      <c r="AB32" s="1010">
        <f t="shared" si="8"/>
        <v>85.714285714285708</v>
      </c>
      <c r="AC32" s="1010">
        <f t="shared" si="8"/>
        <v>80</v>
      </c>
      <c r="AD32" s="1010">
        <f t="shared" si="8"/>
        <v>83.333333333333343</v>
      </c>
      <c r="AE32" s="1010">
        <f t="shared" si="8"/>
        <v>90.909090909090907</v>
      </c>
      <c r="AF32" s="1010">
        <f t="shared" si="8"/>
        <v>85.714285714285708</v>
      </c>
      <c r="AG32" s="1010">
        <f t="shared" si="8"/>
        <v>83.333333333333343</v>
      </c>
      <c r="AH32" s="1010">
        <f t="shared" si="8"/>
        <v>87.5</v>
      </c>
      <c r="AI32" s="1010">
        <f t="shared" si="8"/>
        <v>88.888888888888886</v>
      </c>
      <c r="AJ32" s="1010">
        <f t="shared" si="8"/>
        <v>87.5</v>
      </c>
      <c r="AK32" s="1010">
        <f t="shared" si="8"/>
        <v>72.727272727272734</v>
      </c>
      <c r="AL32" s="904"/>
      <c r="AM32" s="1010"/>
      <c r="AN32" s="1010"/>
      <c r="AO32" s="1010"/>
      <c r="AP32" s="1010"/>
      <c r="AQ32" s="1010"/>
      <c r="AR32" s="1010"/>
      <c r="AS32" s="1010"/>
      <c r="AT32" s="1010"/>
      <c r="AU32" s="1010"/>
      <c r="AV32" s="1010"/>
      <c r="AW32" s="1010"/>
      <c r="AX32" s="1010"/>
      <c r="AY32" s="1010"/>
      <c r="AZ32" s="1010"/>
      <c r="BA32" s="1063"/>
      <c r="BB32" s="1063">
        <f t="shared" si="1"/>
        <v>0</v>
      </c>
      <c r="BC32" s="1010"/>
      <c r="BD32" s="1594"/>
      <c r="BE32" s="1591"/>
      <c r="BF32" s="745"/>
      <c r="BG32" s="605"/>
    </row>
    <row r="33" spans="1:59" s="746" customFormat="1" hidden="1">
      <c r="A33" s="876"/>
      <c r="B33" s="1473" t="s">
        <v>867</v>
      </c>
      <c r="C33" s="876"/>
      <c r="D33" s="1010"/>
      <c r="E33" s="1010"/>
      <c r="F33" s="1010"/>
      <c r="G33" s="1010"/>
      <c r="H33" s="1010"/>
      <c r="I33" s="1453"/>
      <c r="J33" s="1453"/>
      <c r="K33" s="1453"/>
      <c r="L33" s="1453"/>
      <c r="M33" s="1453"/>
      <c r="N33" s="968"/>
      <c r="O33" s="968"/>
      <c r="P33" s="968"/>
      <c r="Q33" s="968"/>
      <c r="R33" s="968"/>
      <c r="S33" s="968"/>
      <c r="T33" s="968"/>
      <c r="U33" s="968"/>
      <c r="V33" s="968"/>
      <c r="W33" s="1010"/>
      <c r="X33" s="1453"/>
      <c r="Y33" s="1453"/>
      <c r="Z33" s="1453"/>
      <c r="AA33" s="1453"/>
      <c r="AB33" s="1453"/>
      <c r="AC33" s="968"/>
      <c r="AD33" s="968"/>
      <c r="AE33" s="968"/>
      <c r="AF33" s="968"/>
      <c r="AG33" s="968"/>
      <c r="AH33" s="968"/>
      <c r="AI33" s="968"/>
      <c r="AJ33" s="968"/>
      <c r="AK33" s="968"/>
      <c r="AL33" s="1010"/>
      <c r="AM33" s="1453"/>
      <c r="AN33" s="1453"/>
      <c r="AO33" s="1453"/>
      <c r="AP33" s="1453"/>
      <c r="AQ33" s="1453"/>
      <c r="AR33" s="968"/>
      <c r="AS33" s="968"/>
      <c r="AT33" s="968"/>
      <c r="AU33" s="968"/>
      <c r="AV33" s="968"/>
      <c r="AW33" s="968"/>
      <c r="AX33" s="968"/>
      <c r="AY33" s="968"/>
      <c r="AZ33" s="968"/>
      <c r="BA33" s="1063" t="e">
        <f t="shared" si="0"/>
        <v>#DIV/0!</v>
      </c>
      <c r="BB33" s="1063" t="e">
        <f t="shared" si="1"/>
        <v>#DIV/0!</v>
      </c>
      <c r="BC33" s="1010"/>
      <c r="BD33" s="1594"/>
      <c r="BE33" s="1591"/>
      <c r="BF33" s="745"/>
      <c r="BG33" s="605"/>
    </row>
    <row r="34" spans="1:59" s="598" customFormat="1" ht="36" customHeight="1">
      <c r="A34" s="1782"/>
      <c r="B34" s="889" t="s">
        <v>472</v>
      </c>
      <c r="C34" s="1782" t="s">
        <v>279</v>
      </c>
      <c r="D34" s="903">
        <v>10298</v>
      </c>
      <c r="E34" s="903" t="e">
        <f>SUM(#REF!)</f>
        <v>#REF!</v>
      </c>
      <c r="F34" s="903">
        <v>10583</v>
      </c>
      <c r="G34" s="903">
        <v>10583</v>
      </c>
      <c r="H34" s="903">
        <f>SUM(I34:V34)</f>
        <v>10583</v>
      </c>
      <c r="I34" s="968">
        <v>1480</v>
      </c>
      <c r="J34" s="968">
        <v>790</v>
      </c>
      <c r="K34" s="968">
        <v>580</v>
      </c>
      <c r="L34" s="968">
        <v>396</v>
      </c>
      <c r="M34" s="968">
        <v>1196</v>
      </c>
      <c r="N34" s="968">
        <v>493</v>
      </c>
      <c r="O34" s="968">
        <v>729</v>
      </c>
      <c r="P34" s="968">
        <v>820</v>
      </c>
      <c r="Q34" s="968">
        <v>760</v>
      </c>
      <c r="R34" s="968">
        <v>398</v>
      </c>
      <c r="S34" s="968">
        <v>510</v>
      </c>
      <c r="T34" s="968">
        <v>513</v>
      </c>
      <c r="U34" s="968">
        <v>718</v>
      </c>
      <c r="V34" s="968">
        <v>1200</v>
      </c>
      <c r="W34" s="903">
        <f>SUM(X34:AK34)</f>
        <v>11105</v>
      </c>
      <c r="X34" s="968">
        <v>1518</v>
      </c>
      <c r="Y34" s="968">
        <v>805</v>
      </c>
      <c r="Z34" s="968">
        <v>625</v>
      </c>
      <c r="AA34" s="968">
        <v>420</v>
      </c>
      <c r="AB34" s="968">
        <v>1165</v>
      </c>
      <c r="AC34" s="968">
        <v>508</v>
      </c>
      <c r="AD34" s="968">
        <v>799</v>
      </c>
      <c r="AE34" s="968">
        <v>885</v>
      </c>
      <c r="AF34" s="968">
        <v>809</v>
      </c>
      <c r="AG34" s="968">
        <v>418</v>
      </c>
      <c r="AH34" s="968">
        <v>560</v>
      </c>
      <c r="AI34" s="968">
        <v>528</v>
      </c>
      <c r="AJ34" s="968">
        <v>788</v>
      </c>
      <c r="AK34" s="968">
        <v>1277</v>
      </c>
      <c r="AL34" s="903">
        <f>SUM(AM34:AZ34)</f>
        <v>11105</v>
      </c>
      <c r="AM34" s="968">
        <v>1518</v>
      </c>
      <c r="AN34" s="968">
        <v>805</v>
      </c>
      <c r="AO34" s="968">
        <v>625</v>
      </c>
      <c r="AP34" s="968">
        <v>420</v>
      </c>
      <c r="AQ34" s="968">
        <v>1165</v>
      </c>
      <c r="AR34" s="968">
        <v>508</v>
      </c>
      <c r="AS34" s="968">
        <v>799</v>
      </c>
      <c r="AT34" s="968">
        <v>885</v>
      </c>
      <c r="AU34" s="968">
        <v>809</v>
      </c>
      <c r="AV34" s="968">
        <v>418</v>
      </c>
      <c r="AW34" s="968">
        <v>560</v>
      </c>
      <c r="AX34" s="968">
        <v>528</v>
      </c>
      <c r="AY34" s="968">
        <v>788</v>
      </c>
      <c r="AZ34" s="968">
        <v>1277</v>
      </c>
      <c r="BA34" s="1063">
        <f t="shared" si="0"/>
        <v>104.93243881697062</v>
      </c>
      <c r="BB34" s="1063">
        <f t="shared" si="1"/>
        <v>100</v>
      </c>
      <c r="BC34" s="903"/>
      <c r="BD34" s="1606"/>
      <c r="BE34" s="1591"/>
      <c r="BF34" s="604"/>
      <c r="BG34" s="605"/>
    </row>
    <row r="35" spans="1:59" s="598" customFormat="1" ht="21.95" customHeight="1">
      <c r="A35" s="1782"/>
      <c r="B35" s="889" t="s">
        <v>473</v>
      </c>
      <c r="C35" s="1782" t="s">
        <v>279</v>
      </c>
      <c r="D35" s="903">
        <v>9030</v>
      </c>
      <c r="E35" s="903" t="e">
        <f>SUM(#REF!)</f>
        <v>#REF!</v>
      </c>
      <c r="F35" s="903"/>
      <c r="G35" s="903"/>
      <c r="H35" s="903">
        <f>SUM(I35:V35)</f>
        <v>8663</v>
      </c>
      <c r="I35" s="968">
        <v>1227</v>
      </c>
      <c r="J35" s="968">
        <v>715</v>
      </c>
      <c r="K35" s="968">
        <v>461</v>
      </c>
      <c r="L35" s="968">
        <v>333</v>
      </c>
      <c r="M35" s="968">
        <v>1057</v>
      </c>
      <c r="N35" s="968">
        <v>439</v>
      </c>
      <c r="O35" s="968">
        <v>713</v>
      </c>
      <c r="P35" s="968">
        <v>650</v>
      </c>
      <c r="Q35" s="968">
        <v>552</v>
      </c>
      <c r="R35" s="968">
        <v>355</v>
      </c>
      <c r="S35" s="968">
        <v>426</v>
      </c>
      <c r="T35" s="968">
        <v>432</v>
      </c>
      <c r="U35" s="968">
        <v>650</v>
      </c>
      <c r="V35" s="968">
        <v>653</v>
      </c>
      <c r="W35" s="903">
        <f>SUM(X35:AK35)</f>
        <v>9827</v>
      </c>
      <c r="X35" s="968">
        <v>1293</v>
      </c>
      <c r="Y35" s="968">
        <v>696</v>
      </c>
      <c r="Z35" s="968">
        <v>557</v>
      </c>
      <c r="AA35" s="968">
        <v>368</v>
      </c>
      <c r="AB35" s="968">
        <v>1025</v>
      </c>
      <c r="AC35" s="968">
        <v>498</v>
      </c>
      <c r="AD35" s="968">
        <v>702</v>
      </c>
      <c r="AE35" s="968">
        <v>789</v>
      </c>
      <c r="AF35" s="968">
        <v>744</v>
      </c>
      <c r="AG35" s="968">
        <v>375</v>
      </c>
      <c r="AH35" s="968">
        <v>517</v>
      </c>
      <c r="AI35" s="968">
        <v>456</v>
      </c>
      <c r="AJ35" s="968">
        <v>687</v>
      </c>
      <c r="AK35" s="968">
        <v>1120</v>
      </c>
      <c r="AL35" s="903"/>
      <c r="AM35" s="968"/>
      <c r="AN35" s="968"/>
      <c r="AO35" s="968"/>
      <c r="AP35" s="968"/>
      <c r="AQ35" s="968"/>
      <c r="AR35" s="968"/>
      <c r="AS35" s="968"/>
      <c r="AT35" s="968"/>
      <c r="AU35" s="968"/>
      <c r="AV35" s="968"/>
      <c r="AW35" s="968"/>
      <c r="AX35" s="968"/>
      <c r="AY35" s="968"/>
      <c r="AZ35" s="968"/>
      <c r="BA35" s="1063"/>
      <c r="BB35" s="1063">
        <f t="shared" si="1"/>
        <v>0</v>
      </c>
      <c r="BC35" s="903"/>
      <c r="BD35" s="1597"/>
      <c r="BE35" s="1591"/>
      <c r="BF35" s="604"/>
      <c r="BG35" s="605"/>
    </row>
    <row r="36" spans="1:59" s="746" customFormat="1" ht="36" customHeight="1">
      <c r="A36" s="876"/>
      <c r="B36" s="877" t="s">
        <v>474</v>
      </c>
      <c r="C36" s="876" t="s">
        <v>26</v>
      </c>
      <c r="D36" s="1454">
        <v>78.67224255096707</v>
      </c>
      <c r="E36" s="1454" t="e">
        <f>E35/'B7 LD&amp;VL-XDGN'!AB9*100</f>
        <v>#REF!</v>
      </c>
      <c r="F36" s="1454"/>
      <c r="G36" s="1454"/>
      <c r="H36" s="906">
        <f>H35/'B7 LD&amp;VL-XDGN'!AE9*100</f>
        <v>74.271262002743484</v>
      </c>
      <c r="I36" s="906">
        <f>I35/'B7 LD&amp;VL-XDGN'!AF9*100</f>
        <v>80.406290956749672</v>
      </c>
      <c r="J36" s="906">
        <f>J35/'B7 LD&amp;VL-XDGN'!AG9*100</f>
        <v>87.301587301587304</v>
      </c>
      <c r="K36" s="906">
        <f>K35/'B7 LD&amp;VL-XDGN'!AH9*100</f>
        <v>70.814132104454686</v>
      </c>
      <c r="L36" s="906">
        <f>L35/'B7 LD&amp;VL-XDGN'!AI9*100</f>
        <v>74.496644295302019</v>
      </c>
      <c r="M36" s="906">
        <f>M35/'B7 LD&amp;VL-XDGN'!AJ9*100</f>
        <v>87.355371900826455</v>
      </c>
      <c r="N36" s="906">
        <f>N35/'B7 LD&amp;VL-XDGN'!AK9*100</f>
        <v>81.902985074626869</v>
      </c>
      <c r="O36" s="906">
        <f>O35/'B7 LD&amp;VL-XDGN'!AL9*100</f>
        <v>86.84531059683313</v>
      </c>
      <c r="P36" s="906">
        <f>P35/'B7 LD&amp;VL-XDGN'!AM9*100</f>
        <v>69.667738478027857</v>
      </c>
      <c r="Q36" s="906">
        <f>Q35/'B7 LD&amp;VL-XDGN'!AN9*100</f>
        <v>63.230240549828174</v>
      </c>
      <c r="R36" s="906">
        <f>R35/'B7 LD&amp;VL-XDGN'!AO9*100</f>
        <v>81.422018348623851</v>
      </c>
      <c r="S36" s="906">
        <f>S35/'B7 LD&amp;VL-XDGN'!AP9*100</f>
        <v>72.081218274111677</v>
      </c>
      <c r="T36" s="906">
        <f>T35/'B7 LD&amp;VL-XDGN'!AQ9*100</f>
        <v>80.297397769516735</v>
      </c>
      <c r="U36" s="906">
        <f>U35/'B7 LD&amp;VL-XDGN'!AR9*100</f>
        <v>74.626865671641795</v>
      </c>
      <c r="V36" s="906">
        <f>V35/'B7 LD&amp;VL-XDGN'!AS9*100</f>
        <v>46.246458923512748</v>
      </c>
      <c r="W36" s="905">
        <v>81.5</v>
      </c>
      <c r="X36" s="906">
        <v>82.9</v>
      </c>
      <c r="Y36" s="906">
        <v>82.7</v>
      </c>
      <c r="Z36" s="906">
        <v>81.099999999999994</v>
      </c>
      <c r="AA36" s="906">
        <v>78</v>
      </c>
      <c r="AB36" s="906">
        <v>82.8</v>
      </c>
      <c r="AC36" s="906">
        <v>80.599999999999994</v>
      </c>
      <c r="AD36" s="906">
        <v>81.900000000000006</v>
      </c>
      <c r="AE36" s="906">
        <v>81.7</v>
      </c>
      <c r="AF36" s="906">
        <v>81.900000000000006</v>
      </c>
      <c r="AG36" s="906">
        <v>81</v>
      </c>
      <c r="AH36" s="906">
        <v>80.8</v>
      </c>
      <c r="AI36" s="906">
        <v>81.3</v>
      </c>
      <c r="AJ36" s="906">
        <v>81</v>
      </c>
      <c r="AK36" s="906">
        <v>79.7</v>
      </c>
      <c r="AL36" s="905"/>
      <c r="AM36" s="906"/>
      <c r="AN36" s="906"/>
      <c r="AO36" s="906"/>
      <c r="AP36" s="906"/>
      <c r="AQ36" s="906"/>
      <c r="AR36" s="906"/>
      <c r="AS36" s="906"/>
      <c r="AT36" s="906"/>
      <c r="AU36" s="906"/>
      <c r="AV36" s="906"/>
      <c r="AW36" s="906"/>
      <c r="AX36" s="906"/>
      <c r="AY36" s="906"/>
      <c r="AZ36" s="906"/>
      <c r="BA36" s="1063"/>
      <c r="BB36" s="1063">
        <f t="shared" si="1"/>
        <v>0</v>
      </c>
      <c r="BC36" s="1454"/>
      <c r="BD36" s="1594"/>
      <c r="BE36" s="1591"/>
      <c r="BF36" s="747"/>
      <c r="BG36" s="606"/>
    </row>
    <row r="37" spans="1:59" s="598" customFormat="1" ht="53.1" customHeight="1">
      <c r="A37" s="1782"/>
      <c r="B37" s="889" t="s">
        <v>475</v>
      </c>
      <c r="C37" s="1782" t="s">
        <v>476</v>
      </c>
      <c r="D37" s="1132">
        <v>94</v>
      </c>
      <c r="E37" s="968" t="e">
        <f>SUM(#REF!)</f>
        <v>#REF!</v>
      </c>
      <c r="F37" s="968">
        <v>123</v>
      </c>
      <c r="G37" s="968">
        <v>123</v>
      </c>
      <c r="H37" s="968">
        <f>SUM(I37:V37)</f>
        <v>93</v>
      </c>
      <c r="I37" s="917">
        <v>47</v>
      </c>
      <c r="J37" s="917">
        <v>3</v>
      </c>
      <c r="K37" s="917">
        <v>3</v>
      </c>
      <c r="L37" s="917">
        <v>3</v>
      </c>
      <c r="M37" s="917">
        <v>4</v>
      </c>
      <c r="N37" s="917">
        <v>3</v>
      </c>
      <c r="O37" s="917">
        <v>4</v>
      </c>
      <c r="P37" s="917">
        <v>4</v>
      </c>
      <c r="Q37" s="917">
        <v>3</v>
      </c>
      <c r="R37" s="917">
        <v>3</v>
      </c>
      <c r="S37" s="917">
        <v>4</v>
      </c>
      <c r="T37" s="917">
        <v>4</v>
      </c>
      <c r="U37" s="917">
        <v>4</v>
      </c>
      <c r="V37" s="917">
        <v>4</v>
      </c>
      <c r="W37" s="968">
        <f>SUM(X37:AK37)</f>
        <v>96</v>
      </c>
      <c r="X37" s="917">
        <v>50</v>
      </c>
      <c r="Y37" s="917">
        <v>3</v>
      </c>
      <c r="Z37" s="917">
        <v>3</v>
      </c>
      <c r="AA37" s="917">
        <v>3</v>
      </c>
      <c r="AB37" s="917">
        <v>4</v>
      </c>
      <c r="AC37" s="917">
        <v>3</v>
      </c>
      <c r="AD37" s="917">
        <v>4</v>
      </c>
      <c r="AE37" s="917">
        <v>4</v>
      </c>
      <c r="AF37" s="917">
        <v>3</v>
      </c>
      <c r="AG37" s="917">
        <v>3</v>
      </c>
      <c r="AH37" s="917">
        <v>4</v>
      </c>
      <c r="AI37" s="917">
        <v>4</v>
      </c>
      <c r="AJ37" s="917">
        <v>4</v>
      </c>
      <c r="AK37" s="917">
        <v>4</v>
      </c>
      <c r="AL37" s="968">
        <f>SUM(AM37:AZ37)</f>
        <v>96</v>
      </c>
      <c r="AM37" s="917">
        <v>50</v>
      </c>
      <c r="AN37" s="917">
        <v>3</v>
      </c>
      <c r="AO37" s="917">
        <v>3</v>
      </c>
      <c r="AP37" s="917">
        <v>3</v>
      </c>
      <c r="AQ37" s="917">
        <v>4</v>
      </c>
      <c r="AR37" s="917">
        <v>3</v>
      </c>
      <c r="AS37" s="917">
        <v>4</v>
      </c>
      <c r="AT37" s="917">
        <v>4</v>
      </c>
      <c r="AU37" s="917">
        <v>3</v>
      </c>
      <c r="AV37" s="917">
        <v>3</v>
      </c>
      <c r="AW37" s="917">
        <v>4</v>
      </c>
      <c r="AX37" s="917">
        <v>4</v>
      </c>
      <c r="AY37" s="917">
        <v>4</v>
      </c>
      <c r="AZ37" s="917">
        <v>4</v>
      </c>
      <c r="BA37" s="1063">
        <f t="shared" si="0"/>
        <v>78.048780487804876</v>
      </c>
      <c r="BB37" s="1063">
        <f t="shared" si="1"/>
        <v>100</v>
      </c>
      <c r="BC37" s="968"/>
      <c r="BD37" s="1594"/>
      <c r="BE37" s="1591"/>
      <c r="BF37" s="607"/>
      <c r="BG37" s="606"/>
    </row>
    <row r="38" spans="1:59" s="598" customFormat="1" ht="53.1" customHeight="1">
      <c r="A38" s="1782"/>
      <c r="B38" s="889" t="s">
        <v>477</v>
      </c>
      <c r="C38" s="1782" t="s">
        <v>476</v>
      </c>
      <c r="D38" s="1132">
        <v>87</v>
      </c>
      <c r="E38" s="1452" t="e">
        <f>SUM(#REF!)</f>
        <v>#REF!</v>
      </c>
      <c r="F38" s="1452"/>
      <c r="G38" s="1452"/>
      <c r="H38" s="903">
        <f>SUM(I38:V38)</f>
        <v>93</v>
      </c>
      <c r="I38" s="1455">
        <v>47</v>
      </c>
      <c r="J38" s="1448">
        <v>3</v>
      </c>
      <c r="K38" s="968">
        <v>3</v>
      </c>
      <c r="L38" s="968">
        <v>3</v>
      </c>
      <c r="M38" s="968">
        <v>4</v>
      </c>
      <c r="N38" s="968">
        <v>3</v>
      </c>
      <c r="O38" s="968">
        <v>4</v>
      </c>
      <c r="P38" s="968">
        <v>4</v>
      </c>
      <c r="Q38" s="968">
        <v>3</v>
      </c>
      <c r="R38" s="968">
        <v>3</v>
      </c>
      <c r="S38" s="968">
        <v>4</v>
      </c>
      <c r="T38" s="968">
        <v>4</v>
      </c>
      <c r="U38" s="968">
        <v>4</v>
      </c>
      <c r="V38" s="968">
        <v>4</v>
      </c>
      <c r="W38" s="903">
        <f>SUM(X38:AK38)</f>
        <v>95</v>
      </c>
      <c r="X38" s="1455">
        <v>49</v>
      </c>
      <c r="Y38" s="1448">
        <v>3</v>
      </c>
      <c r="Z38" s="968">
        <v>3</v>
      </c>
      <c r="AA38" s="968">
        <v>3</v>
      </c>
      <c r="AB38" s="968">
        <v>4</v>
      </c>
      <c r="AC38" s="968">
        <v>3</v>
      </c>
      <c r="AD38" s="968">
        <v>4</v>
      </c>
      <c r="AE38" s="968">
        <v>4</v>
      </c>
      <c r="AF38" s="968">
        <v>3</v>
      </c>
      <c r="AG38" s="968">
        <v>3</v>
      </c>
      <c r="AH38" s="968">
        <v>4</v>
      </c>
      <c r="AI38" s="968">
        <v>4</v>
      </c>
      <c r="AJ38" s="968">
        <v>4</v>
      </c>
      <c r="AK38" s="968">
        <v>4</v>
      </c>
      <c r="AL38" s="903"/>
      <c r="AM38" s="1455"/>
      <c r="AN38" s="1448"/>
      <c r="AO38" s="968"/>
      <c r="AP38" s="968"/>
      <c r="AQ38" s="968"/>
      <c r="AR38" s="968"/>
      <c r="AS38" s="968"/>
      <c r="AT38" s="968"/>
      <c r="AU38" s="968"/>
      <c r="AV38" s="968"/>
      <c r="AW38" s="968"/>
      <c r="AX38" s="968"/>
      <c r="AY38" s="968"/>
      <c r="AZ38" s="968"/>
      <c r="BA38" s="1063"/>
      <c r="BB38" s="1063">
        <f t="shared" si="1"/>
        <v>0</v>
      </c>
      <c r="BC38" s="1452"/>
      <c r="BD38" s="1594"/>
      <c r="BE38" s="1591"/>
      <c r="BF38" s="607"/>
      <c r="BG38" s="606"/>
    </row>
    <row r="39" spans="1:59" s="746" customFormat="1" ht="36" customHeight="1">
      <c r="A39" s="876"/>
      <c r="B39" s="877" t="s">
        <v>54</v>
      </c>
      <c r="C39" s="876" t="s">
        <v>26</v>
      </c>
      <c r="D39" s="1456">
        <f>D38/D37%</f>
        <v>92.553191489361708</v>
      </c>
      <c r="E39" s="1457" t="e">
        <f t="shared" ref="E39" si="9">E38/E37%</f>
        <v>#REF!</v>
      </c>
      <c r="F39" s="1457"/>
      <c r="G39" s="1457"/>
      <c r="H39" s="1010">
        <f>H38/H37%</f>
        <v>100</v>
      </c>
      <c r="I39" s="1010">
        <f t="shared" ref="I39:AK39" si="10">I38/I37%</f>
        <v>100</v>
      </c>
      <c r="J39" s="1010">
        <f t="shared" si="10"/>
        <v>100</v>
      </c>
      <c r="K39" s="1010">
        <f t="shared" si="10"/>
        <v>100</v>
      </c>
      <c r="L39" s="1010">
        <f t="shared" si="10"/>
        <v>100</v>
      </c>
      <c r="M39" s="1010">
        <f t="shared" si="10"/>
        <v>100</v>
      </c>
      <c r="N39" s="1010">
        <f t="shared" si="10"/>
        <v>100</v>
      </c>
      <c r="O39" s="1010">
        <f t="shared" si="10"/>
        <v>100</v>
      </c>
      <c r="P39" s="1010">
        <f t="shared" si="10"/>
        <v>100</v>
      </c>
      <c r="Q39" s="1010">
        <f t="shared" si="10"/>
        <v>100</v>
      </c>
      <c r="R39" s="1010">
        <f t="shared" si="10"/>
        <v>100</v>
      </c>
      <c r="S39" s="1010">
        <f t="shared" si="10"/>
        <v>100</v>
      </c>
      <c r="T39" s="1010">
        <f t="shared" si="10"/>
        <v>100</v>
      </c>
      <c r="U39" s="1010">
        <f t="shared" si="10"/>
        <v>100</v>
      </c>
      <c r="V39" s="1010">
        <f t="shared" si="10"/>
        <v>100</v>
      </c>
      <c r="W39" s="904">
        <f t="shared" si="10"/>
        <v>98.958333333333343</v>
      </c>
      <c r="X39" s="1010">
        <f t="shared" si="10"/>
        <v>98</v>
      </c>
      <c r="Y39" s="1010">
        <f t="shared" si="10"/>
        <v>100</v>
      </c>
      <c r="Z39" s="1010">
        <f t="shared" si="10"/>
        <v>100</v>
      </c>
      <c r="AA39" s="1010">
        <f t="shared" si="10"/>
        <v>100</v>
      </c>
      <c r="AB39" s="1010">
        <f t="shared" si="10"/>
        <v>100</v>
      </c>
      <c r="AC39" s="1010">
        <f t="shared" si="10"/>
        <v>100</v>
      </c>
      <c r="AD39" s="1010">
        <f t="shared" si="10"/>
        <v>100</v>
      </c>
      <c r="AE39" s="1010">
        <f t="shared" si="10"/>
        <v>100</v>
      </c>
      <c r="AF39" s="1010">
        <f t="shared" si="10"/>
        <v>100</v>
      </c>
      <c r="AG39" s="1010">
        <f t="shared" si="10"/>
        <v>100</v>
      </c>
      <c r="AH39" s="1010">
        <f t="shared" si="10"/>
        <v>100</v>
      </c>
      <c r="AI39" s="1010">
        <f t="shared" si="10"/>
        <v>100</v>
      </c>
      <c r="AJ39" s="1010">
        <f t="shared" si="10"/>
        <v>100</v>
      </c>
      <c r="AK39" s="1010">
        <f t="shared" si="10"/>
        <v>100</v>
      </c>
      <c r="AL39" s="904"/>
      <c r="AM39" s="1010"/>
      <c r="AN39" s="1010"/>
      <c r="AO39" s="1010"/>
      <c r="AP39" s="1010"/>
      <c r="AQ39" s="1010"/>
      <c r="AR39" s="1010"/>
      <c r="AS39" s="1010"/>
      <c r="AT39" s="1010"/>
      <c r="AU39" s="1010"/>
      <c r="AV39" s="1010"/>
      <c r="AW39" s="1010"/>
      <c r="AX39" s="1010"/>
      <c r="AY39" s="1010"/>
      <c r="AZ39" s="1010"/>
      <c r="BA39" s="1063"/>
      <c r="BB39" s="1063">
        <f t="shared" si="1"/>
        <v>0</v>
      </c>
      <c r="BC39" s="1457"/>
      <c r="BD39" s="1594"/>
      <c r="BE39" s="1598"/>
      <c r="BF39" s="762"/>
      <c r="BG39" s="605"/>
    </row>
    <row r="40" spans="1:59" s="610" customFormat="1" ht="21.95" customHeight="1">
      <c r="A40" s="1793">
        <v>6</v>
      </c>
      <c r="B40" s="1018" t="s">
        <v>478</v>
      </c>
      <c r="C40" s="1793"/>
      <c r="D40" s="1452"/>
      <c r="E40" s="1452"/>
      <c r="F40" s="1452"/>
      <c r="G40" s="1452"/>
      <c r="H40" s="1452"/>
      <c r="I40" s="1452"/>
      <c r="J40" s="1452"/>
      <c r="K40" s="1452"/>
      <c r="L40" s="1452"/>
      <c r="M40" s="1452"/>
      <c r="N40" s="1452"/>
      <c r="O40" s="1452"/>
      <c r="P40" s="1452"/>
      <c r="Q40" s="1452"/>
      <c r="R40" s="1452"/>
      <c r="S40" s="1452"/>
      <c r="T40" s="1452"/>
      <c r="U40" s="1452"/>
      <c r="V40" s="1452"/>
      <c r="W40" s="1452"/>
      <c r="X40" s="1452"/>
      <c r="Y40" s="1452"/>
      <c r="Z40" s="1452"/>
      <c r="AA40" s="1452"/>
      <c r="AB40" s="1452"/>
      <c r="AC40" s="1452"/>
      <c r="AD40" s="1452"/>
      <c r="AE40" s="1452"/>
      <c r="AF40" s="1452"/>
      <c r="AG40" s="1452"/>
      <c r="AH40" s="1452"/>
      <c r="AI40" s="1452"/>
      <c r="AJ40" s="1452"/>
      <c r="AK40" s="1452"/>
      <c r="AL40" s="1452"/>
      <c r="AM40" s="1452"/>
      <c r="AN40" s="1452"/>
      <c r="AO40" s="1452"/>
      <c r="AP40" s="1452"/>
      <c r="AQ40" s="1452"/>
      <c r="AR40" s="1452"/>
      <c r="AS40" s="1452"/>
      <c r="AT40" s="1452"/>
      <c r="AU40" s="1452"/>
      <c r="AV40" s="1452"/>
      <c r="AW40" s="1452"/>
      <c r="AX40" s="1452"/>
      <c r="AY40" s="1452"/>
      <c r="AZ40" s="1452"/>
      <c r="BA40" s="1063"/>
      <c r="BB40" s="1063"/>
      <c r="BC40" s="1452"/>
      <c r="BD40" s="1594"/>
      <c r="BE40" s="1591"/>
      <c r="BF40" s="608"/>
      <c r="BG40" s="609"/>
    </row>
    <row r="41" spans="1:59" s="610" customFormat="1" ht="21.95" customHeight="1">
      <c r="A41" s="857"/>
      <c r="B41" s="1472" t="s">
        <v>479</v>
      </c>
      <c r="C41" s="857" t="s">
        <v>480</v>
      </c>
      <c r="D41" s="903">
        <v>124</v>
      </c>
      <c r="E41" s="903">
        <v>150</v>
      </c>
      <c r="F41" s="903">
        <v>150</v>
      </c>
      <c r="G41" s="903">
        <v>100</v>
      </c>
      <c r="H41" s="903">
        <v>150</v>
      </c>
      <c r="I41" s="903"/>
      <c r="J41" s="903"/>
      <c r="K41" s="903"/>
      <c r="L41" s="903"/>
      <c r="M41" s="903"/>
      <c r="N41" s="903"/>
      <c r="O41" s="903"/>
      <c r="P41" s="903"/>
      <c r="Q41" s="903"/>
      <c r="R41" s="903"/>
      <c r="S41" s="903"/>
      <c r="T41" s="903"/>
      <c r="U41" s="903"/>
      <c r="V41" s="903"/>
      <c r="W41" s="968">
        <v>150</v>
      </c>
      <c r="X41" s="903"/>
      <c r="Y41" s="903"/>
      <c r="Z41" s="903"/>
      <c r="AA41" s="903"/>
      <c r="AB41" s="903"/>
      <c r="AC41" s="903"/>
      <c r="AD41" s="903"/>
      <c r="AE41" s="903"/>
      <c r="AF41" s="903"/>
      <c r="AG41" s="903"/>
      <c r="AH41" s="903"/>
      <c r="AI41" s="903"/>
      <c r="AJ41" s="903"/>
      <c r="AK41" s="903"/>
      <c r="AL41" s="968">
        <v>58</v>
      </c>
      <c r="AM41" s="903"/>
      <c r="AN41" s="903"/>
      <c r="AO41" s="903"/>
      <c r="AP41" s="903"/>
      <c r="AQ41" s="903"/>
      <c r="AR41" s="903"/>
      <c r="AS41" s="903"/>
      <c r="AT41" s="903"/>
      <c r="AU41" s="903"/>
      <c r="AV41" s="903"/>
      <c r="AW41" s="903"/>
      <c r="AX41" s="903"/>
      <c r="AY41" s="903"/>
      <c r="AZ41" s="903"/>
      <c r="BA41" s="1063">
        <f t="shared" si="0"/>
        <v>38.666666666666664</v>
      </c>
      <c r="BB41" s="1063">
        <f t="shared" si="1"/>
        <v>38.666666666666664</v>
      </c>
      <c r="BC41" s="903"/>
      <c r="BD41" s="1594"/>
      <c r="BE41" s="1591"/>
      <c r="BF41" s="608"/>
      <c r="BG41" s="609"/>
    </row>
    <row r="42" spans="1:59" s="610" customFormat="1" ht="21.95" customHeight="1">
      <c r="A42" s="857"/>
      <c r="B42" s="1472" t="s">
        <v>481</v>
      </c>
      <c r="C42" s="857" t="s">
        <v>480</v>
      </c>
      <c r="D42" s="903">
        <v>0</v>
      </c>
      <c r="E42" s="903">
        <f>SUM(D42:D42)</f>
        <v>0</v>
      </c>
      <c r="F42" s="903"/>
      <c r="G42" s="903"/>
      <c r="H42" s="1458" t="s">
        <v>578</v>
      </c>
      <c r="I42" s="903"/>
      <c r="J42" s="903"/>
      <c r="K42" s="903"/>
      <c r="L42" s="903"/>
      <c r="M42" s="903"/>
      <c r="N42" s="903"/>
      <c r="O42" s="903"/>
      <c r="P42" s="903"/>
      <c r="Q42" s="903"/>
      <c r="R42" s="903"/>
      <c r="S42" s="903"/>
      <c r="T42" s="903"/>
      <c r="U42" s="903"/>
      <c r="V42" s="903"/>
      <c r="W42" s="1459" t="s">
        <v>578</v>
      </c>
      <c r="X42" s="903"/>
      <c r="Y42" s="903"/>
      <c r="Z42" s="903"/>
      <c r="AA42" s="903"/>
      <c r="AB42" s="903"/>
      <c r="AC42" s="903"/>
      <c r="AD42" s="903"/>
      <c r="AE42" s="903"/>
      <c r="AF42" s="903"/>
      <c r="AG42" s="903"/>
      <c r="AH42" s="903"/>
      <c r="AI42" s="903"/>
      <c r="AJ42" s="903"/>
      <c r="AK42" s="903"/>
      <c r="AL42" s="1459"/>
      <c r="AM42" s="903"/>
      <c r="AN42" s="903"/>
      <c r="AO42" s="903"/>
      <c r="AP42" s="903"/>
      <c r="AQ42" s="903"/>
      <c r="AR42" s="903"/>
      <c r="AS42" s="903"/>
      <c r="AT42" s="903"/>
      <c r="AU42" s="903"/>
      <c r="AV42" s="903"/>
      <c r="AW42" s="903"/>
      <c r="AX42" s="903"/>
      <c r="AY42" s="903"/>
      <c r="AZ42" s="903"/>
      <c r="BA42" s="1063"/>
      <c r="BB42" s="1063"/>
      <c r="BC42" s="903"/>
      <c r="BD42" s="1594"/>
      <c r="BE42" s="1591"/>
      <c r="BF42" s="608"/>
      <c r="BG42" s="609"/>
    </row>
    <row r="43" spans="1:59" s="610" customFormat="1" ht="36" customHeight="1">
      <c r="A43" s="857"/>
      <c r="B43" s="1472" t="s">
        <v>800</v>
      </c>
      <c r="C43" s="857" t="s">
        <v>480</v>
      </c>
      <c r="D43" s="903">
        <v>124</v>
      </c>
      <c r="E43" s="903">
        <v>150</v>
      </c>
      <c r="F43" s="903">
        <v>150</v>
      </c>
      <c r="G43" s="903">
        <v>100</v>
      </c>
      <c r="H43" s="903">
        <v>150</v>
      </c>
      <c r="I43" s="903"/>
      <c r="J43" s="903"/>
      <c r="K43" s="903"/>
      <c r="L43" s="903"/>
      <c r="M43" s="903"/>
      <c r="N43" s="903"/>
      <c r="O43" s="903"/>
      <c r="P43" s="903"/>
      <c r="Q43" s="903"/>
      <c r="R43" s="903"/>
      <c r="S43" s="903"/>
      <c r="T43" s="903"/>
      <c r="U43" s="903"/>
      <c r="V43" s="903"/>
      <c r="W43" s="968">
        <v>150</v>
      </c>
      <c r="X43" s="903"/>
      <c r="Y43" s="903"/>
      <c r="Z43" s="903"/>
      <c r="AA43" s="903"/>
      <c r="AB43" s="903"/>
      <c r="AC43" s="903"/>
      <c r="AD43" s="903"/>
      <c r="AE43" s="903"/>
      <c r="AF43" s="903"/>
      <c r="AG43" s="903"/>
      <c r="AH43" s="903"/>
      <c r="AI43" s="903"/>
      <c r="AJ43" s="903"/>
      <c r="AK43" s="903"/>
      <c r="AL43" s="968">
        <v>58</v>
      </c>
      <c r="AM43" s="903"/>
      <c r="AN43" s="903"/>
      <c r="AO43" s="903"/>
      <c r="AP43" s="903"/>
      <c r="AQ43" s="903"/>
      <c r="AR43" s="903"/>
      <c r="AS43" s="903"/>
      <c r="AT43" s="903"/>
      <c r="AU43" s="903"/>
      <c r="AV43" s="903"/>
      <c r="AW43" s="903"/>
      <c r="AX43" s="903"/>
      <c r="AY43" s="903"/>
      <c r="AZ43" s="903"/>
      <c r="BA43" s="1063">
        <f t="shared" si="0"/>
        <v>38.666666666666664</v>
      </c>
      <c r="BB43" s="1063">
        <f t="shared" si="1"/>
        <v>38.666666666666664</v>
      </c>
      <c r="BC43" s="903"/>
      <c r="BD43" s="1594"/>
      <c r="BE43" s="1591"/>
      <c r="BF43" s="608"/>
      <c r="BG43" s="609"/>
    </row>
    <row r="44" spans="1:59" s="610" customFormat="1" ht="21.95" customHeight="1">
      <c r="A44" s="857"/>
      <c r="B44" s="1472" t="s">
        <v>482</v>
      </c>
      <c r="C44" s="857" t="s">
        <v>480</v>
      </c>
      <c r="D44" s="968">
        <v>11285</v>
      </c>
      <c r="E44" s="903">
        <v>11461</v>
      </c>
      <c r="F44" s="903">
        <v>11341</v>
      </c>
      <c r="G44" s="903">
        <v>10815</v>
      </c>
      <c r="H44" s="903">
        <v>8200</v>
      </c>
      <c r="I44" s="903"/>
      <c r="J44" s="903"/>
      <c r="K44" s="903"/>
      <c r="L44" s="903"/>
      <c r="M44" s="903"/>
      <c r="N44" s="903"/>
      <c r="O44" s="903"/>
      <c r="P44" s="903"/>
      <c r="Q44" s="903"/>
      <c r="R44" s="903"/>
      <c r="S44" s="903"/>
      <c r="T44" s="903"/>
      <c r="U44" s="903"/>
      <c r="V44" s="903"/>
      <c r="W44" s="968">
        <f>W46</f>
        <v>8350</v>
      </c>
      <c r="X44" s="903"/>
      <c r="Y44" s="903"/>
      <c r="Z44" s="903"/>
      <c r="AA44" s="903"/>
      <c r="AB44" s="903"/>
      <c r="AC44" s="903"/>
      <c r="AD44" s="903"/>
      <c r="AE44" s="903"/>
      <c r="AF44" s="903"/>
      <c r="AG44" s="903"/>
      <c r="AH44" s="903"/>
      <c r="AI44" s="903"/>
      <c r="AJ44" s="903"/>
      <c r="AK44" s="903"/>
      <c r="AL44" s="968">
        <v>8350</v>
      </c>
      <c r="AM44" s="903"/>
      <c r="AN44" s="903"/>
      <c r="AO44" s="903"/>
      <c r="AP44" s="903"/>
      <c r="AQ44" s="903"/>
      <c r="AR44" s="903"/>
      <c r="AS44" s="903"/>
      <c r="AT44" s="903"/>
      <c r="AU44" s="903"/>
      <c r="AV44" s="903"/>
      <c r="AW44" s="903"/>
      <c r="AX44" s="903"/>
      <c r="AY44" s="903"/>
      <c r="AZ44" s="903"/>
      <c r="BA44" s="1063">
        <f t="shared" si="0"/>
        <v>73.626664315316106</v>
      </c>
      <c r="BB44" s="1063">
        <f t="shared" si="1"/>
        <v>100</v>
      </c>
      <c r="BC44" s="903"/>
      <c r="BD44" s="1636"/>
      <c r="BE44" s="1605"/>
      <c r="BF44" s="608"/>
      <c r="BG44" s="609"/>
    </row>
    <row r="45" spans="1:59" s="610" customFormat="1" ht="21.95" customHeight="1">
      <c r="A45" s="857"/>
      <c r="B45" s="1472" t="s">
        <v>483</v>
      </c>
      <c r="C45" s="857" t="s">
        <v>480</v>
      </c>
      <c r="D45" s="968"/>
      <c r="E45" s="903">
        <f>SUM(D45:D45)</f>
        <v>0</v>
      </c>
      <c r="F45" s="903"/>
      <c r="G45" s="903" t="s">
        <v>197</v>
      </c>
      <c r="H45" s="1458" t="s">
        <v>578</v>
      </c>
      <c r="I45" s="903"/>
      <c r="J45" s="903"/>
      <c r="K45" s="903"/>
      <c r="L45" s="903"/>
      <c r="M45" s="903"/>
      <c r="N45" s="903"/>
      <c r="O45" s="903"/>
      <c r="P45" s="903"/>
      <c r="Q45" s="903"/>
      <c r="R45" s="903"/>
      <c r="S45" s="903"/>
      <c r="T45" s="903"/>
      <c r="U45" s="903"/>
      <c r="V45" s="903"/>
      <c r="W45" s="1459" t="s">
        <v>578</v>
      </c>
      <c r="X45" s="903"/>
      <c r="Y45" s="903"/>
      <c r="Z45" s="903"/>
      <c r="AA45" s="903"/>
      <c r="AB45" s="903"/>
      <c r="AC45" s="903"/>
      <c r="AD45" s="903"/>
      <c r="AE45" s="903"/>
      <c r="AF45" s="903"/>
      <c r="AG45" s="903"/>
      <c r="AH45" s="903"/>
      <c r="AI45" s="903"/>
      <c r="AJ45" s="903"/>
      <c r="AK45" s="903"/>
      <c r="AL45" s="1459"/>
      <c r="AM45" s="903"/>
      <c r="AN45" s="903"/>
      <c r="AO45" s="903"/>
      <c r="AP45" s="903"/>
      <c r="AQ45" s="903"/>
      <c r="AR45" s="903"/>
      <c r="AS45" s="903"/>
      <c r="AT45" s="903"/>
      <c r="AU45" s="903"/>
      <c r="AV45" s="903"/>
      <c r="AW45" s="903"/>
      <c r="AX45" s="903"/>
      <c r="AY45" s="903"/>
      <c r="AZ45" s="903"/>
      <c r="BA45" s="1063"/>
      <c r="BB45" s="1063"/>
      <c r="BC45" s="903"/>
      <c r="BD45" s="1636"/>
      <c r="BE45" s="1605"/>
      <c r="BF45" s="608"/>
      <c r="BG45" s="609"/>
    </row>
    <row r="46" spans="1:59" s="610" customFormat="1" ht="21.95" customHeight="1">
      <c r="A46" s="857"/>
      <c r="B46" s="1472" t="s">
        <v>998</v>
      </c>
      <c r="C46" s="857" t="s">
        <v>480</v>
      </c>
      <c r="D46" s="968">
        <v>11285</v>
      </c>
      <c r="E46" s="903">
        <v>11461</v>
      </c>
      <c r="F46" s="903">
        <v>11341</v>
      </c>
      <c r="G46" s="903">
        <v>10815</v>
      </c>
      <c r="H46" s="903">
        <v>8200</v>
      </c>
      <c r="I46" s="903"/>
      <c r="J46" s="903"/>
      <c r="K46" s="903"/>
      <c r="L46" s="903"/>
      <c r="M46" s="903"/>
      <c r="N46" s="903"/>
      <c r="O46" s="903"/>
      <c r="P46" s="903"/>
      <c r="Q46" s="903"/>
      <c r="R46" s="903"/>
      <c r="S46" s="903"/>
      <c r="T46" s="903"/>
      <c r="U46" s="903"/>
      <c r="V46" s="903"/>
      <c r="W46" s="968">
        <f>H46+W43</f>
        <v>8350</v>
      </c>
      <c r="X46" s="903"/>
      <c r="Y46" s="903"/>
      <c r="Z46" s="903"/>
      <c r="AA46" s="903"/>
      <c r="AB46" s="903"/>
      <c r="AC46" s="903"/>
      <c r="AD46" s="903"/>
      <c r="AE46" s="903"/>
      <c r="AF46" s="903"/>
      <c r="AG46" s="903"/>
      <c r="AH46" s="903"/>
      <c r="AI46" s="903"/>
      <c r="AJ46" s="903"/>
      <c r="AK46" s="903"/>
      <c r="AL46" s="968">
        <v>8350</v>
      </c>
      <c r="AM46" s="903"/>
      <c r="AN46" s="903"/>
      <c r="AO46" s="903"/>
      <c r="AP46" s="903"/>
      <c r="AQ46" s="903"/>
      <c r="AR46" s="903"/>
      <c r="AS46" s="903"/>
      <c r="AT46" s="903"/>
      <c r="AU46" s="903"/>
      <c r="AV46" s="903"/>
      <c r="AW46" s="903"/>
      <c r="AX46" s="903"/>
      <c r="AY46" s="903"/>
      <c r="AZ46" s="903"/>
      <c r="BA46" s="1063">
        <f t="shared" si="0"/>
        <v>73.626664315316106</v>
      </c>
      <c r="BB46" s="1063">
        <f t="shared" si="1"/>
        <v>100</v>
      </c>
      <c r="BC46" s="903"/>
      <c r="BD46" s="1636"/>
      <c r="BE46" s="1605"/>
      <c r="BF46" s="608"/>
      <c r="BG46" s="609"/>
    </row>
    <row r="47" spans="1:59" s="598" customFormat="1" ht="21.95" customHeight="1">
      <c r="A47" s="1782"/>
      <c r="B47" s="889" t="s">
        <v>484</v>
      </c>
      <c r="C47" s="1782" t="s">
        <v>207</v>
      </c>
      <c r="D47" s="1436"/>
      <c r="E47" s="1436"/>
      <c r="F47" s="1436"/>
      <c r="G47" s="1436"/>
      <c r="H47" s="1436"/>
      <c r="I47" s="1436"/>
      <c r="J47" s="1436"/>
      <c r="K47" s="1436"/>
      <c r="L47" s="1436"/>
      <c r="M47" s="1436"/>
      <c r="N47" s="1436"/>
      <c r="O47" s="1436"/>
      <c r="P47" s="1436"/>
      <c r="Q47" s="1436"/>
      <c r="R47" s="1436"/>
      <c r="S47" s="1436"/>
      <c r="T47" s="1436"/>
      <c r="U47" s="1436"/>
      <c r="V47" s="1436"/>
      <c r="W47" s="1436"/>
      <c r="X47" s="1436"/>
      <c r="Y47" s="1436"/>
      <c r="Z47" s="1436"/>
      <c r="AA47" s="1436"/>
      <c r="AB47" s="1436"/>
      <c r="AC47" s="1436"/>
      <c r="AD47" s="1436"/>
      <c r="AE47" s="1436"/>
      <c r="AF47" s="1436"/>
      <c r="AG47" s="1436"/>
      <c r="AH47" s="1436"/>
      <c r="AI47" s="1436"/>
      <c r="AJ47" s="1436"/>
      <c r="AK47" s="1436"/>
      <c r="AL47" s="1436"/>
      <c r="AM47" s="1436"/>
      <c r="AN47" s="1436"/>
      <c r="AO47" s="1436"/>
      <c r="AP47" s="1436"/>
      <c r="AQ47" s="1436"/>
      <c r="AR47" s="1436"/>
      <c r="AS47" s="1436"/>
      <c r="AT47" s="1436"/>
      <c r="AU47" s="1436"/>
      <c r="AV47" s="1436"/>
      <c r="AW47" s="1436"/>
      <c r="AX47" s="1436"/>
      <c r="AY47" s="1436"/>
      <c r="AZ47" s="1436"/>
      <c r="BA47" s="1063"/>
      <c r="BB47" s="1063"/>
      <c r="BC47" s="1436"/>
      <c r="BD47" s="454"/>
      <c r="BE47" s="1591"/>
      <c r="BF47" s="604"/>
      <c r="BG47" s="605"/>
    </row>
    <row r="48" spans="1:59" s="598" customFormat="1" ht="21.95" customHeight="1">
      <c r="A48" s="1784">
        <v>7</v>
      </c>
      <c r="B48" s="841" t="s">
        <v>485</v>
      </c>
      <c r="C48" s="1782"/>
      <c r="D48" s="1436"/>
      <c r="E48" s="1436"/>
      <c r="F48" s="1436"/>
      <c r="G48" s="1436"/>
      <c r="H48" s="1436"/>
      <c r="I48" s="1436"/>
      <c r="J48" s="1436"/>
      <c r="K48" s="1436"/>
      <c r="L48" s="1436"/>
      <c r="M48" s="1436"/>
      <c r="N48" s="1436"/>
      <c r="O48" s="1436"/>
      <c r="P48" s="1436"/>
      <c r="Q48" s="1436"/>
      <c r="R48" s="1436"/>
      <c r="S48" s="1436"/>
      <c r="T48" s="1436"/>
      <c r="U48" s="1436"/>
      <c r="V48" s="1436"/>
      <c r="W48" s="1436"/>
      <c r="X48" s="1436"/>
      <c r="Y48" s="1436"/>
      <c r="Z48" s="1436"/>
      <c r="AA48" s="1436"/>
      <c r="AB48" s="1436"/>
      <c r="AC48" s="1436"/>
      <c r="AD48" s="1436"/>
      <c r="AE48" s="1436"/>
      <c r="AF48" s="1436"/>
      <c r="AG48" s="1436"/>
      <c r="AH48" s="1436"/>
      <c r="AI48" s="1436"/>
      <c r="AJ48" s="1436"/>
      <c r="AK48" s="1436"/>
      <c r="AL48" s="1436"/>
      <c r="AM48" s="1436"/>
      <c r="AN48" s="1436"/>
      <c r="AO48" s="1436"/>
      <c r="AP48" s="1436"/>
      <c r="AQ48" s="1436"/>
      <c r="AR48" s="1436"/>
      <c r="AS48" s="1436"/>
      <c r="AT48" s="1436"/>
      <c r="AU48" s="1436"/>
      <c r="AV48" s="1436"/>
      <c r="AW48" s="1436"/>
      <c r="AX48" s="1436"/>
      <c r="AY48" s="1436"/>
      <c r="AZ48" s="1436"/>
      <c r="BA48" s="1063"/>
      <c r="BB48" s="1063"/>
      <c r="BC48" s="1436"/>
      <c r="BD48" s="454"/>
      <c r="BE48" s="1591"/>
      <c r="BF48" s="604"/>
      <c r="BG48" s="605"/>
    </row>
    <row r="49" spans="1:59" s="598" customFormat="1" ht="36" customHeight="1">
      <c r="A49" s="1782"/>
      <c r="B49" s="889" t="s">
        <v>486</v>
      </c>
      <c r="C49" s="1782" t="s">
        <v>487</v>
      </c>
      <c r="D49" s="1224">
        <v>80</v>
      </c>
      <c r="E49" s="1224" t="e">
        <f>SUM(#REF!)</f>
        <v>#REF!</v>
      </c>
      <c r="F49" s="1224">
        <v>80</v>
      </c>
      <c r="G49" s="1224">
        <v>80</v>
      </c>
      <c r="H49" s="1224">
        <f>SUM(I49:V49)</f>
        <v>80</v>
      </c>
      <c r="I49" s="1224"/>
      <c r="J49" s="1224"/>
      <c r="K49" s="1224"/>
      <c r="L49" s="1224"/>
      <c r="M49" s="1224">
        <v>80</v>
      </c>
      <c r="N49" s="1224"/>
      <c r="O49" s="1224"/>
      <c r="P49" s="1224"/>
      <c r="Q49" s="1224"/>
      <c r="R49" s="1224"/>
      <c r="S49" s="1224"/>
      <c r="T49" s="1224"/>
      <c r="U49" s="1224"/>
      <c r="V49" s="1224"/>
      <c r="W49" s="1313">
        <f>SUM(X49:AK49)</f>
        <v>80</v>
      </c>
      <c r="X49" s="1224"/>
      <c r="Y49" s="1224"/>
      <c r="Z49" s="1224"/>
      <c r="AA49" s="1224"/>
      <c r="AB49" s="1224">
        <v>80</v>
      </c>
      <c r="AC49" s="1224"/>
      <c r="AD49" s="1224"/>
      <c r="AE49" s="1224"/>
      <c r="AF49" s="1224"/>
      <c r="AG49" s="1224"/>
      <c r="AH49" s="1224"/>
      <c r="AI49" s="1224"/>
      <c r="AJ49" s="1224"/>
      <c r="AK49" s="1224"/>
      <c r="AL49" s="1221">
        <f>SUM(AM49:AZ49)</f>
        <v>80</v>
      </c>
      <c r="AM49" s="1221"/>
      <c r="AN49" s="1221"/>
      <c r="AO49" s="1221"/>
      <c r="AP49" s="1221"/>
      <c r="AQ49" s="1221">
        <v>80</v>
      </c>
      <c r="AR49" s="1224"/>
      <c r="AS49" s="1224"/>
      <c r="AT49" s="1224"/>
      <c r="AU49" s="1224"/>
      <c r="AV49" s="1224"/>
      <c r="AW49" s="1224"/>
      <c r="AX49" s="1224"/>
      <c r="AY49" s="1224"/>
      <c r="AZ49" s="1224"/>
      <c r="BA49" s="1063">
        <f t="shared" si="0"/>
        <v>100</v>
      </c>
      <c r="BB49" s="1063">
        <f t="shared" si="1"/>
        <v>100</v>
      </c>
      <c r="BC49" s="1224"/>
      <c r="BD49" s="1604"/>
      <c r="BE49" s="1605"/>
      <c r="BF49" s="604"/>
      <c r="BG49" s="605"/>
    </row>
    <row r="50" spans="1:59" s="598" customFormat="1" ht="36" customHeight="1">
      <c r="A50" s="1782"/>
      <c r="B50" s="889" t="s">
        <v>488</v>
      </c>
      <c r="C50" s="1782" t="s">
        <v>487</v>
      </c>
      <c r="D50" s="1224">
        <v>0</v>
      </c>
      <c r="E50" s="1224"/>
      <c r="F50" s="1224"/>
      <c r="G50" s="1224"/>
      <c r="H50" s="1224">
        <v>0</v>
      </c>
      <c r="I50" s="1224"/>
      <c r="J50" s="1224"/>
      <c r="K50" s="1224"/>
      <c r="L50" s="1224"/>
      <c r="M50" s="1224"/>
      <c r="N50" s="1224"/>
      <c r="O50" s="1224"/>
      <c r="P50" s="1224"/>
      <c r="Q50" s="1224"/>
      <c r="R50" s="1224"/>
      <c r="S50" s="1224"/>
      <c r="T50" s="1224"/>
      <c r="U50" s="1224"/>
      <c r="V50" s="1224"/>
      <c r="W50" s="1313">
        <v>150</v>
      </c>
      <c r="X50" s="1224"/>
      <c r="Y50" s="1224"/>
      <c r="Z50" s="1224"/>
      <c r="AA50" s="1224"/>
      <c r="AB50" s="1224"/>
      <c r="AC50" s="1224"/>
      <c r="AD50" s="1224"/>
      <c r="AE50" s="1224"/>
      <c r="AF50" s="1224"/>
      <c r="AG50" s="1224"/>
      <c r="AH50" s="1224"/>
      <c r="AI50" s="1224"/>
      <c r="AJ50" s="1224"/>
      <c r="AK50" s="1224"/>
      <c r="AL50" s="1221"/>
      <c r="AM50" s="1221"/>
      <c r="AN50" s="1221"/>
      <c r="AO50" s="1221"/>
      <c r="AP50" s="1221"/>
      <c r="AQ50" s="1221"/>
      <c r="AR50" s="1224"/>
      <c r="AS50" s="1224"/>
      <c r="AT50" s="1224"/>
      <c r="AU50" s="1224"/>
      <c r="AV50" s="1224"/>
      <c r="AW50" s="1224"/>
      <c r="AX50" s="1224"/>
      <c r="AY50" s="1224"/>
      <c r="AZ50" s="1224"/>
      <c r="BA50" s="1063"/>
      <c r="BB50" s="1063">
        <f t="shared" si="1"/>
        <v>0</v>
      </c>
      <c r="BC50" s="1224"/>
      <c r="BD50" s="454"/>
      <c r="BE50" s="1591"/>
      <c r="BF50" s="604"/>
      <c r="BG50" s="605"/>
    </row>
    <row r="51" spans="1:59" s="598" customFormat="1" ht="21.95" customHeight="1">
      <c r="A51" s="1782"/>
      <c r="B51" s="889" t="s">
        <v>489</v>
      </c>
      <c r="C51" s="1782" t="s">
        <v>490</v>
      </c>
      <c r="D51" s="1224">
        <v>3</v>
      </c>
      <c r="E51" s="1224" t="e">
        <f>SUM(#REF!)</f>
        <v>#REF!</v>
      </c>
      <c r="F51" s="1224">
        <v>3</v>
      </c>
      <c r="G51" s="1224">
        <v>3</v>
      </c>
      <c r="H51" s="1224">
        <f>SUM(I51:V51)</f>
        <v>3</v>
      </c>
      <c r="I51" s="1224">
        <v>1</v>
      </c>
      <c r="J51" s="1224"/>
      <c r="K51" s="1224"/>
      <c r="L51" s="1224"/>
      <c r="M51" s="1224">
        <v>2</v>
      </c>
      <c r="N51" s="1224"/>
      <c r="O51" s="1224"/>
      <c r="P51" s="1224"/>
      <c r="Q51" s="1224"/>
      <c r="R51" s="1224"/>
      <c r="S51" s="1224"/>
      <c r="T51" s="1224"/>
      <c r="U51" s="1224"/>
      <c r="V51" s="1224"/>
      <c r="W51" s="1313">
        <f>SUM(X51:AK51)</f>
        <v>5</v>
      </c>
      <c r="X51" s="1224">
        <v>1</v>
      </c>
      <c r="Y51" s="1224"/>
      <c r="Z51" s="1224">
        <v>1</v>
      </c>
      <c r="AA51" s="1224"/>
      <c r="AB51" s="1224">
        <v>2</v>
      </c>
      <c r="AC51" s="1224"/>
      <c r="AD51" s="1224">
        <v>1</v>
      </c>
      <c r="AE51" s="1224"/>
      <c r="AF51" s="1224"/>
      <c r="AG51" s="1224"/>
      <c r="AH51" s="1224"/>
      <c r="AI51" s="1224"/>
      <c r="AJ51" s="1224"/>
      <c r="AK51" s="1224"/>
      <c r="AL51" s="1221">
        <f>SUM(AM51:AZ51)</f>
        <v>4</v>
      </c>
      <c r="AM51" s="1221">
        <v>1</v>
      </c>
      <c r="AN51" s="1221"/>
      <c r="AO51" s="1221">
        <v>1</v>
      </c>
      <c r="AP51" s="1221"/>
      <c r="AQ51" s="1221">
        <v>2</v>
      </c>
      <c r="AR51" s="1224"/>
      <c r="AS51" s="1224"/>
      <c r="AT51" s="1224"/>
      <c r="AU51" s="1224"/>
      <c r="AV51" s="1224"/>
      <c r="AW51" s="1224"/>
      <c r="AX51" s="1224"/>
      <c r="AY51" s="1224"/>
      <c r="AZ51" s="1224"/>
      <c r="BA51" s="1063">
        <f t="shared" si="0"/>
        <v>133.33333333333334</v>
      </c>
      <c r="BB51" s="1063">
        <f t="shared" si="1"/>
        <v>80</v>
      </c>
      <c r="BC51" s="1224"/>
      <c r="BD51" s="454"/>
      <c r="BE51" s="1591"/>
      <c r="BF51" s="604"/>
      <c r="BG51" s="605"/>
    </row>
    <row r="52" spans="1:59" s="603" customFormat="1" ht="36" customHeight="1">
      <c r="A52" s="1784" t="s">
        <v>100</v>
      </c>
      <c r="B52" s="841" t="s">
        <v>491</v>
      </c>
      <c r="C52" s="1782"/>
      <c r="D52" s="1436"/>
      <c r="E52" s="1436"/>
      <c r="F52" s="1436"/>
      <c r="G52" s="1436"/>
      <c r="H52" s="1436"/>
      <c r="I52" s="1436"/>
      <c r="J52" s="1436"/>
      <c r="K52" s="1436"/>
      <c r="L52" s="1436"/>
      <c r="M52" s="1436"/>
      <c r="N52" s="1436"/>
      <c r="O52" s="1436"/>
      <c r="P52" s="1436"/>
      <c r="Q52" s="1436"/>
      <c r="R52" s="1436"/>
      <c r="S52" s="1436"/>
      <c r="T52" s="1436"/>
      <c r="U52" s="1436"/>
      <c r="V52" s="1436"/>
      <c r="W52" s="1436"/>
      <c r="X52" s="1436"/>
      <c r="Y52" s="1436"/>
      <c r="Z52" s="1436"/>
      <c r="AA52" s="1436"/>
      <c r="AB52" s="1436"/>
      <c r="AC52" s="1436"/>
      <c r="AD52" s="1436"/>
      <c r="AE52" s="1436"/>
      <c r="AF52" s="1436"/>
      <c r="AG52" s="1436"/>
      <c r="AH52" s="1436"/>
      <c r="AI52" s="1436"/>
      <c r="AJ52" s="1436"/>
      <c r="AK52" s="1436"/>
      <c r="AL52" s="1436"/>
      <c r="AM52" s="1436"/>
      <c r="AN52" s="1436"/>
      <c r="AO52" s="1436"/>
      <c r="AP52" s="1436"/>
      <c r="AQ52" s="1436"/>
      <c r="AR52" s="1436"/>
      <c r="AS52" s="1436"/>
      <c r="AT52" s="1436"/>
      <c r="AU52" s="1436"/>
      <c r="AV52" s="1436"/>
      <c r="AW52" s="1436"/>
      <c r="AX52" s="1436"/>
      <c r="AY52" s="1436"/>
      <c r="AZ52" s="1436"/>
      <c r="BA52" s="1063"/>
      <c r="BB52" s="1063"/>
      <c r="BC52" s="1436"/>
      <c r="BD52" s="1592"/>
      <c r="BE52" s="1591"/>
      <c r="BF52" s="604"/>
      <c r="BG52" s="605"/>
    </row>
    <row r="53" spans="1:59" s="603" customFormat="1" ht="21.95" customHeight="1">
      <c r="A53" s="1784">
        <v>1</v>
      </c>
      <c r="B53" s="841" t="s">
        <v>492</v>
      </c>
      <c r="C53" s="1784" t="s">
        <v>467</v>
      </c>
      <c r="D53" s="1436">
        <v>1</v>
      </c>
      <c r="E53" s="1436">
        <v>1</v>
      </c>
      <c r="F53" s="1436">
        <v>1</v>
      </c>
      <c r="G53" s="1436">
        <v>1</v>
      </c>
      <c r="H53" s="1436">
        <v>1</v>
      </c>
      <c r="I53" s="1436"/>
      <c r="J53" s="1436"/>
      <c r="K53" s="1436"/>
      <c r="L53" s="1436"/>
      <c r="M53" s="1436"/>
      <c r="N53" s="1436"/>
      <c r="O53" s="1436"/>
      <c r="P53" s="1436"/>
      <c r="Q53" s="1436"/>
      <c r="R53" s="1436"/>
      <c r="S53" s="1436"/>
      <c r="T53" s="1436"/>
      <c r="U53" s="1436"/>
      <c r="V53" s="1436"/>
      <c r="W53" s="1436">
        <v>1</v>
      </c>
      <c r="X53" s="1436"/>
      <c r="Y53" s="1436"/>
      <c r="Z53" s="1436"/>
      <c r="AA53" s="1436"/>
      <c r="AB53" s="1436"/>
      <c r="AC53" s="1436"/>
      <c r="AD53" s="1436"/>
      <c r="AE53" s="1436"/>
      <c r="AF53" s="1436"/>
      <c r="AG53" s="1436"/>
      <c r="AH53" s="1436"/>
      <c r="AI53" s="1436"/>
      <c r="AJ53" s="1436"/>
      <c r="AK53" s="1436"/>
      <c r="AL53" s="1436">
        <v>1</v>
      </c>
      <c r="AM53" s="1436"/>
      <c r="AN53" s="1436"/>
      <c r="AO53" s="1436"/>
      <c r="AP53" s="1436"/>
      <c r="AQ53" s="1436"/>
      <c r="AR53" s="1436"/>
      <c r="AS53" s="1436"/>
      <c r="AT53" s="1436"/>
      <c r="AU53" s="1436"/>
      <c r="AV53" s="1436"/>
      <c r="AW53" s="1436"/>
      <c r="AX53" s="1436"/>
      <c r="AY53" s="1436"/>
      <c r="AZ53" s="1436"/>
      <c r="BA53" s="842">
        <f t="shared" si="0"/>
        <v>100</v>
      </c>
      <c r="BB53" s="842">
        <f t="shared" si="1"/>
        <v>100</v>
      </c>
      <c r="BC53" s="1436"/>
      <c r="BD53" s="1592"/>
      <c r="BE53" s="1593"/>
      <c r="BF53" s="611"/>
      <c r="BG53" s="717"/>
    </row>
    <row r="54" spans="1:59" s="603" customFormat="1" ht="21.95" customHeight="1">
      <c r="A54" s="1784">
        <v>2</v>
      </c>
      <c r="B54" s="841" t="s">
        <v>493</v>
      </c>
      <c r="C54" s="1784" t="s">
        <v>494</v>
      </c>
      <c r="D54" s="1437">
        <v>134</v>
      </c>
      <c r="E54" s="1437" t="e">
        <f t="shared" ref="E54:AK54" si="11">SUM(E55:E58)</f>
        <v>#REF!</v>
      </c>
      <c r="F54" s="1437">
        <f t="shared" si="11"/>
        <v>120</v>
      </c>
      <c r="G54" s="1437">
        <f t="shared" si="11"/>
        <v>125</v>
      </c>
      <c r="H54" s="1437">
        <f t="shared" si="11"/>
        <v>125</v>
      </c>
      <c r="I54" s="1437">
        <f t="shared" si="11"/>
        <v>12</v>
      </c>
      <c r="J54" s="1437">
        <f t="shared" si="11"/>
        <v>8</v>
      </c>
      <c r="K54" s="1437">
        <f t="shared" si="11"/>
        <v>9</v>
      </c>
      <c r="L54" s="1437">
        <f t="shared" si="11"/>
        <v>6</v>
      </c>
      <c r="M54" s="1437">
        <f t="shared" si="11"/>
        <v>10</v>
      </c>
      <c r="N54" s="1437">
        <f t="shared" si="11"/>
        <v>8</v>
      </c>
      <c r="O54" s="1437">
        <f t="shared" si="11"/>
        <v>10</v>
      </c>
      <c r="P54" s="1437">
        <f t="shared" si="11"/>
        <v>11</v>
      </c>
      <c r="Q54" s="1437">
        <f t="shared" si="11"/>
        <v>8</v>
      </c>
      <c r="R54" s="1437">
        <f t="shared" si="11"/>
        <v>7</v>
      </c>
      <c r="S54" s="1437">
        <f t="shared" si="11"/>
        <v>9</v>
      </c>
      <c r="T54" s="1437">
        <f t="shared" si="11"/>
        <v>9</v>
      </c>
      <c r="U54" s="1437">
        <f t="shared" si="11"/>
        <v>9</v>
      </c>
      <c r="V54" s="1437">
        <f t="shared" si="11"/>
        <v>9</v>
      </c>
      <c r="W54" s="1437">
        <f t="shared" si="11"/>
        <v>127</v>
      </c>
      <c r="X54" s="1437">
        <f t="shared" si="11"/>
        <v>12</v>
      </c>
      <c r="Y54" s="1437">
        <f t="shared" si="11"/>
        <v>8</v>
      </c>
      <c r="Z54" s="1437">
        <f t="shared" si="11"/>
        <v>9</v>
      </c>
      <c r="AA54" s="1437">
        <f t="shared" si="11"/>
        <v>6</v>
      </c>
      <c r="AB54" s="1437">
        <f t="shared" si="11"/>
        <v>10</v>
      </c>
      <c r="AC54" s="1437">
        <f t="shared" si="11"/>
        <v>8</v>
      </c>
      <c r="AD54" s="1437">
        <f t="shared" si="11"/>
        <v>11</v>
      </c>
      <c r="AE54" s="1437">
        <f t="shared" si="11"/>
        <v>12</v>
      </c>
      <c r="AF54" s="1437">
        <f t="shared" si="11"/>
        <v>8</v>
      </c>
      <c r="AG54" s="1437">
        <f t="shared" si="11"/>
        <v>7</v>
      </c>
      <c r="AH54" s="1437">
        <f t="shared" si="11"/>
        <v>9</v>
      </c>
      <c r="AI54" s="1437">
        <f t="shared" si="11"/>
        <v>9</v>
      </c>
      <c r="AJ54" s="1437">
        <f t="shared" si="11"/>
        <v>9</v>
      </c>
      <c r="AK54" s="1437">
        <f t="shared" si="11"/>
        <v>9</v>
      </c>
      <c r="AL54" s="1735">
        <f>SUM(AL56:AL58)</f>
        <v>126</v>
      </c>
      <c r="AM54" s="1437">
        <v>12</v>
      </c>
      <c r="AN54" s="1437">
        <v>8</v>
      </c>
      <c r="AO54" s="1437">
        <v>9</v>
      </c>
      <c r="AP54" s="1437">
        <v>6</v>
      </c>
      <c r="AQ54" s="1437">
        <v>10</v>
      </c>
      <c r="AR54" s="1437">
        <v>8</v>
      </c>
      <c r="AS54" s="1437">
        <v>10</v>
      </c>
      <c r="AT54" s="1437">
        <v>12</v>
      </c>
      <c r="AU54" s="1437">
        <v>8</v>
      </c>
      <c r="AV54" s="1437">
        <v>7</v>
      </c>
      <c r="AW54" s="1437">
        <v>9</v>
      </c>
      <c r="AX54" s="1437">
        <v>9</v>
      </c>
      <c r="AY54" s="1437">
        <v>9</v>
      </c>
      <c r="AZ54" s="1437">
        <v>9</v>
      </c>
      <c r="BA54" s="842">
        <f t="shared" si="0"/>
        <v>105</v>
      </c>
      <c r="BB54" s="842">
        <f t="shared" si="1"/>
        <v>99.212598425196845</v>
      </c>
      <c r="BC54" s="1437"/>
      <c r="BD54" s="1592"/>
      <c r="BE54" s="1593"/>
      <c r="BF54" s="611"/>
      <c r="BG54" s="717"/>
    </row>
    <row r="55" spans="1:59" s="598" customFormat="1" ht="21.95" customHeight="1">
      <c r="A55" s="1784"/>
      <c r="B55" s="889" t="s">
        <v>495</v>
      </c>
      <c r="C55" s="1782" t="s">
        <v>494</v>
      </c>
      <c r="D55" s="1436"/>
      <c r="E55" s="1436"/>
      <c r="F55" s="1436"/>
      <c r="G55" s="1436"/>
      <c r="H55" s="1436"/>
      <c r="I55" s="1224"/>
      <c r="J55" s="1436"/>
      <c r="K55" s="1436"/>
      <c r="L55" s="1436"/>
      <c r="M55" s="1436"/>
      <c r="N55" s="1436"/>
      <c r="O55" s="1436"/>
      <c r="P55" s="1436"/>
      <c r="Q55" s="1436"/>
      <c r="R55" s="1436"/>
      <c r="S55" s="1436"/>
      <c r="T55" s="1436"/>
      <c r="U55" s="1436"/>
      <c r="V55" s="1436"/>
      <c r="W55" s="1436"/>
      <c r="X55" s="1224"/>
      <c r="Y55" s="1436"/>
      <c r="Z55" s="1436"/>
      <c r="AA55" s="1436"/>
      <c r="AB55" s="1436"/>
      <c r="AC55" s="1436"/>
      <c r="AD55" s="1436"/>
      <c r="AE55" s="1436"/>
      <c r="AF55" s="1436"/>
      <c r="AG55" s="1436"/>
      <c r="AH55" s="1436"/>
      <c r="AI55" s="1436"/>
      <c r="AJ55" s="1436"/>
      <c r="AK55" s="1436"/>
      <c r="AL55" s="1436"/>
      <c r="AM55" s="1224"/>
      <c r="AN55" s="1436"/>
      <c r="AO55" s="1436"/>
      <c r="AP55" s="1436"/>
      <c r="AQ55" s="1436"/>
      <c r="AR55" s="1436"/>
      <c r="AS55" s="1436"/>
      <c r="AT55" s="1436"/>
      <c r="AU55" s="1436"/>
      <c r="AV55" s="1436"/>
      <c r="AW55" s="1436"/>
      <c r="AX55" s="1436"/>
      <c r="AY55" s="1436"/>
      <c r="AZ55" s="1436"/>
      <c r="BA55" s="1063"/>
      <c r="BB55" s="1063"/>
      <c r="BC55" s="1436"/>
      <c r="BD55" s="454"/>
      <c r="BE55" s="1591"/>
      <c r="BF55" s="604"/>
      <c r="BG55" s="605"/>
    </row>
    <row r="56" spans="1:59" s="598" customFormat="1" ht="21.95" customHeight="1">
      <c r="A56" s="1784"/>
      <c r="B56" s="889" t="s">
        <v>861</v>
      </c>
      <c r="C56" s="1782" t="s">
        <v>494</v>
      </c>
      <c r="D56" s="903">
        <v>1</v>
      </c>
      <c r="E56" s="903" t="e">
        <f>SUM(#REF!)</f>
        <v>#REF!</v>
      </c>
      <c r="F56" s="903">
        <v>1</v>
      </c>
      <c r="G56" s="903">
        <v>1</v>
      </c>
      <c r="H56" s="903">
        <v>1</v>
      </c>
      <c r="I56" s="903">
        <v>1</v>
      </c>
      <c r="J56" s="903"/>
      <c r="K56" s="903"/>
      <c r="L56" s="903"/>
      <c r="M56" s="903"/>
      <c r="N56" s="903"/>
      <c r="O56" s="903"/>
      <c r="P56" s="903"/>
      <c r="Q56" s="903"/>
      <c r="R56" s="903"/>
      <c r="S56" s="903"/>
      <c r="T56" s="903"/>
      <c r="U56" s="903"/>
      <c r="V56" s="903"/>
      <c r="W56" s="903">
        <f>SUM(X56:AK56)</f>
        <v>1</v>
      </c>
      <c r="X56" s="903">
        <v>1</v>
      </c>
      <c r="Y56" s="903"/>
      <c r="Z56" s="903"/>
      <c r="AA56" s="903"/>
      <c r="AB56" s="903"/>
      <c r="AC56" s="903"/>
      <c r="AD56" s="903"/>
      <c r="AE56" s="903"/>
      <c r="AF56" s="903"/>
      <c r="AG56" s="903"/>
      <c r="AH56" s="903"/>
      <c r="AI56" s="903"/>
      <c r="AJ56" s="903"/>
      <c r="AK56" s="903"/>
      <c r="AL56" s="903">
        <v>1</v>
      </c>
      <c r="AM56" s="903"/>
      <c r="AN56" s="903"/>
      <c r="AO56" s="903"/>
      <c r="AP56" s="903"/>
      <c r="AQ56" s="903"/>
      <c r="AR56" s="903"/>
      <c r="AS56" s="903"/>
      <c r="AT56" s="903"/>
      <c r="AU56" s="903"/>
      <c r="AV56" s="903"/>
      <c r="AW56" s="903"/>
      <c r="AX56" s="903"/>
      <c r="AY56" s="903"/>
      <c r="AZ56" s="903"/>
      <c r="BA56" s="1063">
        <f t="shared" si="0"/>
        <v>100</v>
      </c>
      <c r="BB56" s="1063">
        <f t="shared" si="1"/>
        <v>100</v>
      </c>
      <c r="BC56" s="903"/>
      <c r="BD56" s="454"/>
      <c r="BE56" s="1591"/>
      <c r="BF56" s="604"/>
      <c r="BG56" s="605"/>
    </row>
    <row r="57" spans="1:59" s="603" customFormat="1" ht="21.95" customHeight="1">
      <c r="A57" s="1784"/>
      <c r="B57" s="889" t="s">
        <v>862</v>
      </c>
      <c r="C57" s="1782" t="s">
        <v>494</v>
      </c>
      <c r="D57" s="903">
        <v>13</v>
      </c>
      <c r="E57" s="903" t="e">
        <f>SUM(#REF!)</f>
        <v>#REF!</v>
      </c>
      <c r="F57" s="903">
        <v>13</v>
      </c>
      <c r="G57" s="903">
        <v>13</v>
      </c>
      <c r="H57" s="903">
        <v>13</v>
      </c>
      <c r="I57" s="968"/>
      <c r="J57" s="968">
        <v>1</v>
      </c>
      <c r="K57" s="968">
        <v>1</v>
      </c>
      <c r="L57" s="968">
        <v>1</v>
      </c>
      <c r="M57" s="968">
        <v>1</v>
      </c>
      <c r="N57" s="968">
        <v>1</v>
      </c>
      <c r="O57" s="968">
        <v>1</v>
      </c>
      <c r="P57" s="968">
        <v>1</v>
      </c>
      <c r="Q57" s="968">
        <v>1</v>
      </c>
      <c r="R57" s="968">
        <v>1</v>
      </c>
      <c r="S57" s="968">
        <v>1</v>
      </c>
      <c r="T57" s="968">
        <v>1</v>
      </c>
      <c r="U57" s="968">
        <v>1</v>
      </c>
      <c r="V57" s="968">
        <v>1</v>
      </c>
      <c r="W57" s="903">
        <f>SUM(X57:AK57)</f>
        <v>13</v>
      </c>
      <c r="X57" s="1455"/>
      <c r="Y57" s="1448">
        <v>1</v>
      </c>
      <c r="Z57" s="1448">
        <v>1</v>
      </c>
      <c r="AA57" s="1448">
        <v>1</v>
      </c>
      <c r="AB57" s="1448">
        <v>1</v>
      </c>
      <c r="AC57" s="1448">
        <v>1</v>
      </c>
      <c r="AD57" s="1448">
        <v>1</v>
      </c>
      <c r="AE57" s="1448">
        <v>1</v>
      </c>
      <c r="AF57" s="1448">
        <v>1</v>
      </c>
      <c r="AG57" s="1448">
        <v>1</v>
      </c>
      <c r="AH57" s="1448">
        <v>1</v>
      </c>
      <c r="AI57" s="1448">
        <v>1</v>
      </c>
      <c r="AJ57" s="1448">
        <v>1</v>
      </c>
      <c r="AK57" s="1448">
        <v>1</v>
      </c>
      <c r="AL57" s="903">
        <f>SUM(AM57:AZ57)</f>
        <v>13</v>
      </c>
      <c r="AM57" s="1455"/>
      <c r="AN57" s="1448">
        <v>1</v>
      </c>
      <c r="AO57" s="1448">
        <v>1</v>
      </c>
      <c r="AP57" s="1448">
        <v>1</v>
      </c>
      <c r="AQ57" s="1448">
        <v>1</v>
      </c>
      <c r="AR57" s="1448">
        <v>1</v>
      </c>
      <c r="AS57" s="1448">
        <v>1</v>
      </c>
      <c r="AT57" s="1448">
        <v>1</v>
      </c>
      <c r="AU57" s="1448">
        <v>1</v>
      </c>
      <c r="AV57" s="1448">
        <v>1</v>
      </c>
      <c r="AW57" s="1448">
        <v>1</v>
      </c>
      <c r="AX57" s="1448">
        <v>1</v>
      </c>
      <c r="AY57" s="1448">
        <v>1</v>
      </c>
      <c r="AZ57" s="1448">
        <v>1</v>
      </c>
      <c r="BA57" s="1063">
        <f t="shared" si="0"/>
        <v>100</v>
      </c>
      <c r="BB57" s="1063">
        <f t="shared" si="1"/>
        <v>100</v>
      </c>
      <c r="BC57" s="903"/>
      <c r="BD57" s="136"/>
      <c r="BE57" s="1591"/>
      <c r="BF57" s="612"/>
      <c r="BG57" s="605"/>
    </row>
    <row r="58" spans="1:59" s="598" customFormat="1" ht="21.95" customHeight="1">
      <c r="A58" s="1784"/>
      <c r="B58" s="889" t="s">
        <v>863</v>
      </c>
      <c r="C58" s="1782" t="s">
        <v>494</v>
      </c>
      <c r="D58" s="1452">
        <v>120</v>
      </c>
      <c r="E58" s="903" t="e">
        <f>#REF!+#REF!+#REF!+#REF!+#REF!+#REF!+#REF!+#REF!+#REF!+#REF!+#REF!+#REF!+#REF!+#REF!</f>
        <v>#REF!</v>
      </c>
      <c r="F58" s="903">
        <v>106</v>
      </c>
      <c r="G58" s="903">
        <v>111</v>
      </c>
      <c r="H58" s="903">
        <v>111</v>
      </c>
      <c r="I58" s="968">
        <v>11</v>
      </c>
      <c r="J58" s="968">
        <v>7</v>
      </c>
      <c r="K58" s="968">
        <v>8</v>
      </c>
      <c r="L58" s="968">
        <v>5</v>
      </c>
      <c r="M58" s="968">
        <v>9</v>
      </c>
      <c r="N58" s="968">
        <v>7</v>
      </c>
      <c r="O58" s="968">
        <v>9</v>
      </c>
      <c r="P58" s="968">
        <v>10</v>
      </c>
      <c r="Q58" s="968">
        <v>7</v>
      </c>
      <c r="R58" s="968">
        <v>6</v>
      </c>
      <c r="S58" s="968">
        <v>8</v>
      </c>
      <c r="T58" s="968">
        <v>8</v>
      </c>
      <c r="U58" s="968">
        <v>8</v>
      </c>
      <c r="V58" s="968">
        <v>8</v>
      </c>
      <c r="W58" s="903">
        <f>SUM(X58:AK58)</f>
        <v>113</v>
      </c>
      <c r="X58" s="1455">
        <v>11</v>
      </c>
      <c r="Y58" s="1448">
        <v>7</v>
      </c>
      <c r="Z58" s="1448">
        <v>8</v>
      </c>
      <c r="AA58" s="1448">
        <v>5</v>
      </c>
      <c r="AB58" s="1448">
        <v>9</v>
      </c>
      <c r="AC58" s="1448">
        <v>7</v>
      </c>
      <c r="AD58" s="1448">
        <v>10</v>
      </c>
      <c r="AE58" s="1448">
        <v>11</v>
      </c>
      <c r="AF58" s="1448">
        <v>7</v>
      </c>
      <c r="AG58" s="1448">
        <v>6</v>
      </c>
      <c r="AH58" s="1448">
        <v>8</v>
      </c>
      <c r="AI58" s="1448">
        <v>8</v>
      </c>
      <c r="AJ58" s="1448">
        <v>8</v>
      </c>
      <c r="AK58" s="1448">
        <v>8</v>
      </c>
      <c r="AL58" s="903">
        <f>SUM(AM58:AZ58)</f>
        <v>112</v>
      </c>
      <c r="AM58" s="1736">
        <v>11</v>
      </c>
      <c r="AN58" s="1736">
        <v>7</v>
      </c>
      <c r="AO58" s="1736">
        <v>8</v>
      </c>
      <c r="AP58" s="1736">
        <v>5</v>
      </c>
      <c r="AQ58" s="1736">
        <v>9</v>
      </c>
      <c r="AR58" s="1736">
        <v>7</v>
      </c>
      <c r="AS58" s="1736">
        <v>9</v>
      </c>
      <c r="AT58" s="1736">
        <v>11</v>
      </c>
      <c r="AU58" s="1736">
        <v>7</v>
      </c>
      <c r="AV58" s="1736">
        <v>6</v>
      </c>
      <c r="AW58" s="1736">
        <v>8</v>
      </c>
      <c r="AX58" s="1736">
        <v>8</v>
      </c>
      <c r="AY58" s="1736">
        <v>8</v>
      </c>
      <c r="AZ58" s="1736">
        <v>8</v>
      </c>
      <c r="BA58" s="1063">
        <f t="shared" si="0"/>
        <v>105.66037735849056</v>
      </c>
      <c r="BB58" s="1063">
        <f t="shared" si="1"/>
        <v>99.115044247787623</v>
      </c>
      <c r="BC58" s="903"/>
      <c r="BD58" s="1599"/>
      <c r="BE58" s="1591"/>
      <c r="BF58" s="634"/>
      <c r="BG58" s="605"/>
    </row>
    <row r="59" spans="1:59" s="598" customFormat="1" ht="30" hidden="1">
      <c r="A59" s="1784"/>
      <c r="B59" s="889" t="s">
        <v>868</v>
      </c>
      <c r="C59" s="1782"/>
      <c r="D59" s="1452">
        <v>88.181818181818187</v>
      </c>
      <c r="E59" s="903"/>
      <c r="F59" s="903"/>
      <c r="G59" s="903"/>
      <c r="H59" s="973">
        <f>SUM(I59:V59)</f>
        <v>102</v>
      </c>
      <c r="I59" s="1460">
        <v>9</v>
      </c>
      <c r="J59" s="1460">
        <v>7</v>
      </c>
      <c r="K59" s="1460">
        <v>6</v>
      </c>
      <c r="L59" s="1460">
        <v>4</v>
      </c>
      <c r="M59" s="1460">
        <v>7</v>
      </c>
      <c r="N59" s="1460">
        <v>5</v>
      </c>
      <c r="O59" s="1460">
        <v>9</v>
      </c>
      <c r="P59" s="1460">
        <v>10</v>
      </c>
      <c r="Q59" s="1460">
        <v>7</v>
      </c>
      <c r="R59" s="1460">
        <v>6</v>
      </c>
      <c r="S59" s="1460">
        <v>8</v>
      </c>
      <c r="T59" s="1460">
        <v>8</v>
      </c>
      <c r="U59" s="1460">
        <v>8</v>
      </c>
      <c r="V59" s="1460">
        <v>8</v>
      </c>
      <c r="W59" s="1008">
        <f>SUM(X59:AK59)</f>
        <v>104</v>
      </c>
      <c r="X59" s="1460">
        <v>9</v>
      </c>
      <c r="Y59" s="1460">
        <v>7</v>
      </c>
      <c r="Z59" s="1460">
        <v>6</v>
      </c>
      <c r="AA59" s="1460">
        <v>4</v>
      </c>
      <c r="AB59" s="1460">
        <v>7</v>
      </c>
      <c r="AC59" s="1460">
        <v>5</v>
      </c>
      <c r="AD59" s="1460">
        <v>10</v>
      </c>
      <c r="AE59" s="1460">
        <v>11</v>
      </c>
      <c r="AF59" s="1460">
        <v>7</v>
      </c>
      <c r="AG59" s="1460">
        <v>6</v>
      </c>
      <c r="AH59" s="1460">
        <v>8</v>
      </c>
      <c r="AI59" s="1460">
        <v>8</v>
      </c>
      <c r="AJ59" s="1460">
        <v>8</v>
      </c>
      <c r="AK59" s="1460">
        <v>8</v>
      </c>
      <c r="AL59" s="1008">
        <v>103</v>
      </c>
      <c r="AM59" s="1460"/>
      <c r="AN59" s="1460"/>
      <c r="AO59" s="1460"/>
      <c r="AP59" s="1460"/>
      <c r="AQ59" s="1460"/>
      <c r="AR59" s="1460"/>
      <c r="AS59" s="1460"/>
      <c r="AT59" s="1460"/>
      <c r="AU59" s="1460"/>
      <c r="AV59" s="1460"/>
      <c r="AW59" s="1460"/>
      <c r="AX59" s="1460"/>
      <c r="AY59" s="1460"/>
      <c r="AZ59" s="1460"/>
      <c r="BA59" s="1063" t="e">
        <f t="shared" si="0"/>
        <v>#DIV/0!</v>
      </c>
      <c r="BB59" s="1063">
        <f t="shared" si="1"/>
        <v>99.038461538461533</v>
      </c>
      <c r="BC59" s="903"/>
      <c r="BD59" s="1599"/>
      <c r="BE59" s="1591"/>
      <c r="BF59" s="634"/>
      <c r="BG59" s="605"/>
    </row>
    <row r="60" spans="1:59" s="598" customFormat="1" ht="21.95" customHeight="1">
      <c r="A60" s="1784"/>
      <c r="B60" s="889" t="s">
        <v>592</v>
      </c>
      <c r="C60" s="1782" t="s">
        <v>26</v>
      </c>
      <c r="D60" s="961">
        <f>97/110*100</f>
        <v>88.181818181818187</v>
      </c>
      <c r="E60" s="1665">
        <f>101/110*100</f>
        <v>91.818181818181827</v>
      </c>
      <c r="F60" s="1665">
        <f>97/110*100</f>
        <v>88.181818181818187</v>
      </c>
      <c r="G60" s="1666">
        <f>102/110*100</f>
        <v>92.72727272727272</v>
      </c>
      <c r="H60" s="1666">
        <f>H59/H30%</f>
        <v>92.72727272727272</v>
      </c>
      <c r="I60" s="1667">
        <f>I59/I30%</f>
        <v>100</v>
      </c>
      <c r="J60" s="1667">
        <f t="shared" ref="J60:V60" si="12">J59/J30%</f>
        <v>99.999999999999986</v>
      </c>
      <c r="K60" s="1667">
        <f t="shared" si="12"/>
        <v>100</v>
      </c>
      <c r="L60" s="1667">
        <f t="shared" si="12"/>
        <v>100</v>
      </c>
      <c r="M60" s="1667">
        <f t="shared" si="12"/>
        <v>99.999999999999986</v>
      </c>
      <c r="N60" s="1667">
        <f t="shared" si="12"/>
        <v>100</v>
      </c>
      <c r="O60" s="1667">
        <f t="shared" si="12"/>
        <v>75</v>
      </c>
      <c r="P60" s="1667">
        <f t="shared" si="12"/>
        <v>90.909090909090907</v>
      </c>
      <c r="Q60" s="1667">
        <f t="shared" si="12"/>
        <v>99.999999999999986</v>
      </c>
      <c r="R60" s="1667">
        <f t="shared" si="12"/>
        <v>100</v>
      </c>
      <c r="S60" s="1667">
        <f t="shared" si="12"/>
        <v>100</v>
      </c>
      <c r="T60" s="1667">
        <f t="shared" si="12"/>
        <v>88.888888888888886</v>
      </c>
      <c r="U60" s="1667">
        <f t="shared" si="12"/>
        <v>100</v>
      </c>
      <c r="V60" s="1667">
        <f t="shared" si="12"/>
        <v>72.727272727272734</v>
      </c>
      <c r="W60" s="1665">
        <f t="shared" ref="W60" si="13">W59/W30%</f>
        <v>94.545454545454533</v>
      </c>
      <c r="X60" s="1461">
        <f t="shared" ref="X60" si="14">X59/X30%</f>
        <v>100</v>
      </c>
      <c r="Y60" s="1461">
        <f t="shared" ref="Y60" si="15">Y59/Y30%</f>
        <v>99.999999999999986</v>
      </c>
      <c r="Z60" s="1461">
        <f t="shared" ref="Z60" si="16">Z59/Z30%</f>
        <v>100</v>
      </c>
      <c r="AA60" s="1461">
        <f t="shared" ref="AA60" si="17">AA59/AA30%</f>
        <v>100</v>
      </c>
      <c r="AB60" s="1461">
        <f t="shared" ref="AB60" si="18">AB59/AB30%</f>
        <v>99.999999999999986</v>
      </c>
      <c r="AC60" s="1461">
        <f t="shared" ref="AC60" si="19">AC59/AC30%</f>
        <v>100</v>
      </c>
      <c r="AD60" s="1665">
        <f t="shared" ref="AD60" si="20">AD59/AD30%</f>
        <v>83.333333333333343</v>
      </c>
      <c r="AE60" s="1461">
        <f t="shared" ref="AE60" si="21">AE59/AE30%</f>
        <v>100</v>
      </c>
      <c r="AF60" s="1461">
        <f t="shared" ref="AF60" si="22">AF59/AF30%</f>
        <v>99.999999999999986</v>
      </c>
      <c r="AG60" s="1461">
        <f t="shared" ref="AG60" si="23">AG59/AG30%</f>
        <v>100</v>
      </c>
      <c r="AH60" s="1461">
        <f t="shared" ref="AH60" si="24">AH59/AH30%</f>
        <v>100</v>
      </c>
      <c r="AI60" s="1665">
        <f t="shared" ref="AI60" si="25">AI59/AI30%</f>
        <v>88.888888888888886</v>
      </c>
      <c r="AJ60" s="1461">
        <f t="shared" ref="AJ60" si="26">AJ59/AJ30%</f>
        <v>100</v>
      </c>
      <c r="AK60" s="1665">
        <f t="shared" ref="AK60" si="27">AK59/AK30%</f>
        <v>72.727272727272734</v>
      </c>
      <c r="AL60" s="1461">
        <f>AL59/W30%</f>
        <v>93.636363636363626</v>
      </c>
      <c r="AM60" s="1461">
        <v>100</v>
      </c>
      <c r="AN60" s="1461">
        <v>100</v>
      </c>
      <c r="AO60" s="1461">
        <v>100</v>
      </c>
      <c r="AP60" s="1461">
        <v>100</v>
      </c>
      <c r="AQ60" s="1461">
        <v>100</v>
      </c>
      <c r="AR60" s="1461">
        <v>100</v>
      </c>
      <c r="AS60" s="1665">
        <v>75</v>
      </c>
      <c r="AT60" s="1461">
        <v>100</v>
      </c>
      <c r="AU60" s="1461">
        <v>100</v>
      </c>
      <c r="AV60" s="1461">
        <v>100</v>
      </c>
      <c r="AW60" s="1461">
        <v>100</v>
      </c>
      <c r="AX60" s="1665">
        <v>88.9</v>
      </c>
      <c r="AY60" s="1461">
        <v>100</v>
      </c>
      <c r="AZ60" s="1665">
        <v>72.7</v>
      </c>
      <c r="BA60" s="1063">
        <f t="shared" si="0"/>
        <v>106.18556701030927</v>
      </c>
      <c r="BB60" s="1063">
        <f t="shared" si="1"/>
        <v>99.038461538461547</v>
      </c>
      <c r="BC60" s="961"/>
      <c r="BD60" s="1596"/>
      <c r="BE60" s="1591"/>
      <c r="BF60" s="653"/>
      <c r="BG60" s="605"/>
    </row>
    <row r="61" spans="1:59" s="598" customFormat="1" ht="20.100000000000001" hidden="1" customHeight="1">
      <c r="A61" s="1784">
        <v>3</v>
      </c>
      <c r="B61" s="841" t="s">
        <v>496</v>
      </c>
      <c r="C61" s="1784"/>
      <c r="D61" s="962"/>
      <c r="E61" s="1436"/>
      <c r="F61" s="1436"/>
      <c r="G61" s="1436"/>
      <c r="H61" s="1436"/>
      <c r="I61" s="1436"/>
      <c r="J61" s="1436"/>
      <c r="K61" s="1436"/>
      <c r="L61" s="1436"/>
      <c r="M61" s="1436"/>
      <c r="N61" s="1436"/>
      <c r="O61" s="1436"/>
      <c r="P61" s="1436"/>
      <c r="Q61" s="1436"/>
      <c r="R61" s="1436"/>
      <c r="S61" s="1436"/>
      <c r="T61" s="1436"/>
      <c r="U61" s="1436"/>
      <c r="V61" s="1436"/>
      <c r="W61" s="1436"/>
      <c r="X61" s="1436"/>
      <c r="Y61" s="1436"/>
      <c r="Z61" s="1436"/>
      <c r="AA61" s="1436"/>
      <c r="AB61" s="1436"/>
      <c r="AC61" s="1436"/>
      <c r="AD61" s="1436"/>
      <c r="AE61" s="1436"/>
      <c r="AF61" s="1436"/>
      <c r="AG61" s="1436"/>
      <c r="AH61" s="1436"/>
      <c r="AI61" s="1436"/>
      <c r="AJ61" s="1436"/>
      <c r="AK61" s="1436"/>
      <c r="AL61" s="1436"/>
      <c r="AM61" s="1436"/>
      <c r="AN61" s="1436"/>
      <c r="AO61" s="1436"/>
      <c r="AP61" s="1436"/>
      <c r="AQ61" s="1436"/>
      <c r="AR61" s="1436"/>
      <c r="AS61" s="1436"/>
      <c r="AT61" s="1436"/>
      <c r="AU61" s="1436"/>
      <c r="AV61" s="1436"/>
      <c r="AW61" s="1436"/>
      <c r="AX61" s="1436"/>
      <c r="AY61" s="1436"/>
      <c r="AZ61" s="1436"/>
      <c r="BA61" s="1063" t="e">
        <f t="shared" si="0"/>
        <v>#DIV/0!</v>
      </c>
      <c r="BB61" s="1063" t="e">
        <f t="shared" si="1"/>
        <v>#DIV/0!</v>
      </c>
      <c r="BC61" s="1436"/>
      <c r="BD61" s="1600"/>
      <c r="BE61" s="1591"/>
      <c r="BF61" s="634"/>
      <c r="BG61" s="605"/>
    </row>
    <row r="62" spans="1:59" s="598" customFormat="1" ht="33.75" hidden="1" customHeight="1">
      <c r="A62" s="1784"/>
      <c r="B62" s="889" t="s">
        <v>497</v>
      </c>
      <c r="C62" s="1782" t="s">
        <v>494</v>
      </c>
      <c r="D62" s="1224">
        <v>1</v>
      </c>
      <c r="E62" s="1446" t="e">
        <f>SUM(#REF!)</f>
        <v>#REF!</v>
      </c>
      <c r="F62" s="1446">
        <v>1</v>
      </c>
      <c r="G62" s="1446">
        <v>1</v>
      </c>
      <c r="H62" s="1446">
        <v>1</v>
      </c>
      <c r="I62" s="1446"/>
      <c r="J62" s="1446"/>
      <c r="K62" s="1446"/>
      <c r="L62" s="1446"/>
      <c r="M62" s="1446"/>
      <c r="N62" s="1446"/>
      <c r="O62" s="1446"/>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063">
        <f t="shared" si="0"/>
        <v>0</v>
      </c>
      <c r="BB62" s="1063" t="e">
        <f t="shared" si="1"/>
        <v>#DIV/0!</v>
      </c>
      <c r="BC62" s="1446"/>
      <c r="BD62" s="454"/>
      <c r="BE62" s="1591"/>
      <c r="BF62" s="604"/>
      <c r="BG62" s="605"/>
    </row>
    <row r="63" spans="1:59" s="598" customFormat="1" ht="15.75" hidden="1" customHeight="1">
      <c r="A63" s="1784" t="s">
        <v>118</v>
      </c>
      <c r="B63" s="841" t="s">
        <v>498</v>
      </c>
      <c r="C63" s="1782"/>
      <c r="D63" s="1436"/>
      <c r="E63" s="1446" t="e">
        <f>SUM(#REF!)</f>
        <v>#REF!</v>
      </c>
      <c r="F63" s="1446"/>
      <c r="G63" s="1446"/>
      <c r="H63" s="1446"/>
      <c r="I63" s="1446"/>
      <c r="J63" s="1446"/>
      <c r="K63" s="1446"/>
      <c r="L63" s="1446"/>
      <c r="M63" s="1446"/>
      <c r="N63" s="1446"/>
      <c r="O63" s="1446"/>
      <c r="P63" s="1446"/>
      <c r="Q63" s="1446"/>
      <c r="R63" s="1446"/>
      <c r="S63" s="1446"/>
      <c r="T63" s="1446"/>
      <c r="U63" s="1446"/>
      <c r="V63" s="1446"/>
      <c r="W63" s="1446"/>
      <c r="X63" s="1446"/>
      <c r="Y63" s="1446"/>
      <c r="Z63" s="1446"/>
      <c r="AA63" s="1446"/>
      <c r="AB63" s="1446"/>
      <c r="AC63" s="1446"/>
      <c r="AD63" s="1446"/>
      <c r="AE63" s="1446"/>
      <c r="AF63" s="1446"/>
      <c r="AG63" s="1446"/>
      <c r="AH63" s="1446"/>
      <c r="AI63" s="1446"/>
      <c r="AJ63" s="1446"/>
      <c r="AK63" s="1446"/>
      <c r="AL63" s="1446"/>
      <c r="AM63" s="1446"/>
      <c r="AN63" s="1446"/>
      <c r="AO63" s="1446"/>
      <c r="AP63" s="1446"/>
      <c r="AQ63" s="1446"/>
      <c r="AR63" s="1446"/>
      <c r="AS63" s="1446"/>
      <c r="AT63" s="1446"/>
      <c r="AU63" s="1446"/>
      <c r="AV63" s="1446"/>
      <c r="AW63" s="1446"/>
      <c r="AX63" s="1446"/>
      <c r="AY63" s="1446"/>
      <c r="AZ63" s="1446"/>
      <c r="BA63" s="1063" t="e">
        <f t="shared" si="0"/>
        <v>#DIV/0!</v>
      </c>
      <c r="BB63" s="1063" t="e">
        <f t="shared" si="1"/>
        <v>#DIV/0!</v>
      </c>
      <c r="BC63" s="1446"/>
      <c r="BD63" s="454"/>
      <c r="BE63" s="1591"/>
      <c r="BF63" s="604"/>
      <c r="BG63" s="605"/>
    </row>
    <row r="64" spans="1:59" s="598" customFormat="1" ht="15.75" hidden="1" customHeight="1">
      <c r="A64" s="1784"/>
      <c r="B64" s="841" t="s">
        <v>499</v>
      </c>
      <c r="C64" s="1782"/>
      <c r="D64" s="1436"/>
      <c r="E64" s="1446" t="e">
        <f>SUM(#REF!)</f>
        <v>#REF!</v>
      </c>
      <c r="F64" s="1446"/>
      <c r="G64" s="1446"/>
      <c r="H64" s="1446"/>
      <c r="I64" s="1446"/>
      <c r="J64" s="1446"/>
      <c r="K64" s="1446"/>
      <c r="L64" s="1446"/>
      <c r="M64" s="1446"/>
      <c r="N64" s="1446"/>
      <c r="O64" s="1446"/>
      <c r="P64" s="1446"/>
      <c r="Q64" s="1446"/>
      <c r="R64" s="1446"/>
      <c r="S64" s="1446"/>
      <c r="T64" s="1446"/>
      <c r="U64" s="1446"/>
      <c r="V64" s="1446"/>
      <c r="W64" s="1446"/>
      <c r="X64" s="1446"/>
      <c r="Y64" s="1446"/>
      <c r="Z64" s="1446"/>
      <c r="AA64" s="1446"/>
      <c r="AB64" s="1446"/>
      <c r="AC64" s="1446"/>
      <c r="AD64" s="1446"/>
      <c r="AE64" s="1446"/>
      <c r="AF64" s="1446"/>
      <c r="AG64" s="1446"/>
      <c r="AH64" s="1446"/>
      <c r="AI64" s="1446"/>
      <c r="AJ64" s="1446"/>
      <c r="AK64" s="1446"/>
      <c r="AL64" s="1446"/>
      <c r="AM64" s="1446"/>
      <c r="AN64" s="1446"/>
      <c r="AO64" s="1446"/>
      <c r="AP64" s="1446"/>
      <c r="AQ64" s="1446"/>
      <c r="AR64" s="1446"/>
      <c r="AS64" s="1446"/>
      <c r="AT64" s="1446"/>
      <c r="AU64" s="1446"/>
      <c r="AV64" s="1446"/>
      <c r="AW64" s="1446"/>
      <c r="AX64" s="1446"/>
      <c r="AY64" s="1446"/>
      <c r="AZ64" s="1446"/>
      <c r="BA64" s="1063" t="e">
        <f t="shared" si="0"/>
        <v>#DIV/0!</v>
      </c>
      <c r="BB64" s="1063" t="e">
        <f t="shared" si="1"/>
        <v>#DIV/0!</v>
      </c>
      <c r="BC64" s="1446"/>
      <c r="BD64" s="454"/>
      <c r="BE64" s="1591"/>
      <c r="BF64" s="604"/>
      <c r="BG64" s="605"/>
    </row>
    <row r="65" spans="1:59" s="598" customFormat="1" ht="15.75" hidden="1" customHeight="1">
      <c r="A65" s="1784"/>
      <c r="B65" s="889" t="s">
        <v>500</v>
      </c>
      <c r="C65" s="1782" t="s">
        <v>501</v>
      </c>
      <c r="D65" s="1224"/>
      <c r="E65" s="1446" t="e">
        <f>SUM(#REF!)</f>
        <v>#REF!</v>
      </c>
      <c r="F65" s="1446"/>
      <c r="G65" s="1446"/>
      <c r="H65" s="1446"/>
      <c r="I65" s="1446"/>
      <c r="J65" s="1446"/>
      <c r="K65" s="1446"/>
      <c r="L65" s="1446"/>
      <c r="M65" s="1446"/>
      <c r="N65" s="1446"/>
      <c r="O65" s="1446"/>
      <c r="P65" s="1446"/>
      <c r="Q65" s="1446"/>
      <c r="R65" s="1446"/>
      <c r="S65" s="1446"/>
      <c r="T65" s="1446"/>
      <c r="U65" s="1446"/>
      <c r="V65" s="1446"/>
      <c r="W65" s="1446"/>
      <c r="X65" s="1446"/>
      <c r="Y65" s="1446"/>
      <c r="Z65" s="1446"/>
      <c r="AA65" s="1446"/>
      <c r="AB65" s="1446"/>
      <c r="AC65" s="1446"/>
      <c r="AD65" s="1446"/>
      <c r="AE65" s="1446"/>
      <c r="AF65" s="1446"/>
      <c r="AG65" s="1446"/>
      <c r="AH65" s="1446"/>
      <c r="AI65" s="1446"/>
      <c r="AJ65" s="1446"/>
      <c r="AK65" s="1446"/>
      <c r="AL65" s="1446"/>
      <c r="AM65" s="1446"/>
      <c r="AN65" s="1446"/>
      <c r="AO65" s="1446"/>
      <c r="AP65" s="1446"/>
      <c r="AQ65" s="1446"/>
      <c r="AR65" s="1446"/>
      <c r="AS65" s="1446"/>
      <c r="AT65" s="1446"/>
      <c r="AU65" s="1446"/>
      <c r="AV65" s="1446"/>
      <c r="AW65" s="1446"/>
      <c r="AX65" s="1446"/>
      <c r="AY65" s="1446"/>
      <c r="AZ65" s="1446"/>
      <c r="BA65" s="1063" t="e">
        <f t="shared" si="0"/>
        <v>#DIV/0!</v>
      </c>
      <c r="BB65" s="1063" t="e">
        <f t="shared" si="1"/>
        <v>#DIV/0!</v>
      </c>
      <c r="BC65" s="1446"/>
      <c r="BD65" s="454"/>
      <c r="BE65" s="1591"/>
      <c r="BF65" s="604"/>
      <c r="BG65" s="605"/>
    </row>
    <row r="66" spans="1:59" s="598" customFormat="1" ht="15.75" hidden="1" customHeight="1">
      <c r="A66" s="1784"/>
      <c r="B66" s="889" t="s">
        <v>502</v>
      </c>
      <c r="C66" s="1782" t="s">
        <v>503</v>
      </c>
      <c r="D66" s="1224"/>
      <c r="E66" s="1446" t="e">
        <f>SUM(#REF!)</f>
        <v>#REF!</v>
      </c>
      <c r="F66" s="1446"/>
      <c r="G66" s="1446"/>
      <c r="H66" s="1446"/>
      <c r="I66" s="1446"/>
      <c r="J66" s="1446"/>
      <c r="K66" s="1446"/>
      <c r="L66" s="1446"/>
      <c r="M66" s="1446"/>
      <c r="N66" s="1446"/>
      <c r="O66" s="1446"/>
      <c r="P66" s="1446"/>
      <c r="Q66" s="1446"/>
      <c r="R66" s="1446"/>
      <c r="S66" s="1446"/>
      <c r="T66" s="1446"/>
      <c r="U66" s="1446"/>
      <c r="V66" s="1446"/>
      <c r="W66" s="1446"/>
      <c r="X66" s="1446"/>
      <c r="Y66" s="1446"/>
      <c r="Z66" s="1446"/>
      <c r="AA66" s="1446"/>
      <c r="AB66" s="1446"/>
      <c r="AC66" s="1446"/>
      <c r="AD66" s="1446"/>
      <c r="AE66" s="1446"/>
      <c r="AF66" s="1446"/>
      <c r="AG66" s="1446"/>
      <c r="AH66" s="1446"/>
      <c r="AI66" s="1446"/>
      <c r="AJ66" s="1446"/>
      <c r="AK66" s="1446"/>
      <c r="AL66" s="1446"/>
      <c r="AM66" s="1446"/>
      <c r="AN66" s="1446"/>
      <c r="AO66" s="1446"/>
      <c r="AP66" s="1446"/>
      <c r="AQ66" s="1446"/>
      <c r="AR66" s="1446"/>
      <c r="AS66" s="1446"/>
      <c r="AT66" s="1446"/>
      <c r="AU66" s="1446"/>
      <c r="AV66" s="1446"/>
      <c r="AW66" s="1446"/>
      <c r="AX66" s="1446"/>
      <c r="AY66" s="1446"/>
      <c r="AZ66" s="1446"/>
      <c r="BA66" s="1063" t="e">
        <f t="shared" si="0"/>
        <v>#DIV/0!</v>
      </c>
      <c r="BB66" s="1063" t="e">
        <f t="shared" si="1"/>
        <v>#DIV/0!</v>
      </c>
      <c r="BC66" s="1446"/>
      <c r="BD66" s="454"/>
      <c r="BE66" s="1591"/>
      <c r="BF66" s="604"/>
      <c r="BG66" s="605"/>
    </row>
    <row r="67" spans="1:59" s="598" customFormat="1" ht="21.95" customHeight="1">
      <c r="A67" s="1784" t="s">
        <v>133</v>
      </c>
      <c r="B67" s="841" t="s">
        <v>504</v>
      </c>
      <c r="C67" s="1782"/>
      <c r="D67" s="1436"/>
      <c r="E67" s="1446" t="e">
        <f>SUM(#REF!)</f>
        <v>#REF!</v>
      </c>
      <c r="F67" s="1446"/>
      <c r="G67" s="1446"/>
      <c r="H67" s="1446"/>
      <c r="I67" s="1446"/>
      <c r="J67" s="1446"/>
      <c r="K67" s="1446"/>
      <c r="L67" s="1446"/>
      <c r="M67" s="1446"/>
      <c r="N67" s="1446"/>
      <c r="O67" s="1446"/>
      <c r="P67" s="1446"/>
      <c r="Q67" s="1446"/>
      <c r="R67" s="1446"/>
      <c r="S67" s="1446"/>
      <c r="T67" s="1446"/>
      <c r="U67" s="1446"/>
      <c r="V67" s="1446"/>
      <c r="W67" s="1446"/>
      <c r="X67" s="1446"/>
      <c r="Y67" s="1446"/>
      <c r="Z67" s="1446"/>
      <c r="AA67" s="1446"/>
      <c r="AB67" s="1446"/>
      <c r="AC67" s="1446"/>
      <c r="AD67" s="1446"/>
      <c r="AE67" s="1446"/>
      <c r="AF67" s="1446"/>
      <c r="AG67" s="1446"/>
      <c r="AH67" s="1446"/>
      <c r="AI67" s="1446"/>
      <c r="AJ67" s="1446"/>
      <c r="AK67" s="1446"/>
      <c r="AL67" s="1446"/>
      <c r="AM67" s="1446"/>
      <c r="AN67" s="1446"/>
      <c r="AO67" s="1446"/>
      <c r="AP67" s="1446"/>
      <c r="AQ67" s="1446"/>
      <c r="AR67" s="1446"/>
      <c r="AS67" s="1446"/>
      <c r="AT67" s="1446"/>
      <c r="AU67" s="1446"/>
      <c r="AV67" s="1446"/>
      <c r="AW67" s="1446"/>
      <c r="AX67" s="1446"/>
      <c r="AY67" s="1446"/>
      <c r="AZ67" s="1446"/>
      <c r="BA67" s="1063"/>
      <c r="BB67" s="1063"/>
      <c r="BC67" s="1446"/>
      <c r="BD67" s="454"/>
      <c r="BE67" s="1591"/>
      <c r="BF67" s="604"/>
      <c r="BG67" s="605"/>
    </row>
    <row r="68" spans="1:59" s="598" customFormat="1" ht="36" customHeight="1">
      <c r="A68" s="1782">
        <v>1</v>
      </c>
      <c r="B68" s="889" t="s">
        <v>505</v>
      </c>
      <c r="C68" s="1782" t="s">
        <v>49</v>
      </c>
      <c r="D68" s="1462">
        <v>15379</v>
      </c>
      <c r="E68" s="1446" t="e">
        <f>SUM(#REF!)</f>
        <v>#REF!</v>
      </c>
      <c r="F68" s="1446">
        <v>15979</v>
      </c>
      <c r="G68" s="1463">
        <v>16139</v>
      </c>
      <c r="H68" s="1455">
        <f>SUM(I68:V68)</f>
        <v>16329</v>
      </c>
      <c r="I68" s="1463">
        <v>2210</v>
      </c>
      <c r="J68" s="1463">
        <v>1350</v>
      </c>
      <c r="K68" s="1463">
        <v>1030</v>
      </c>
      <c r="L68" s="1463">
        <v>570</v>
      </c>
      <c r="M68" s="1463">
        <v>1530</v>
      </c>
      <c r="N68" s="1463">
        <v>680</v>
      </c>
      <c r="O68" s="1463">
        <v>985</v>
      </c>
      <c r="P68" s="1463">
        <v>1190</v>
      </c>
      <c r="Q68" s="1463">
        <v>1045</v>
      </c>
      <c r="R68" s="1463">
        <v>576</v>
      </c>
      <c r="S68" s="1463">
        <v>905</v>
      </c>
      <c r="T68" s="1463">
        <v>883</v>
      </c>
      <c r="U68" s="1463">
        <v>895</v>
      </c>
      <c r="V68" s="1463">
        <v>2480</v>
      </c>
      <c r="W68" s="1455">
        <f>SUM(X68:AK68)</f>
        <v>16782</v>
      </c>
      <c r="X68" s="1463">
        <v>2280</v>
      </c>
      <c r="Y68" s="1463">
        <v>1360</v>
      </c>
      <c r="Z68" s="1463">
        <v>1040</v>
      </c>
      <c r="AA68" s="1463">
        <v>570</v>
      </c>
      <c r="AB68" s="1463">
        <v>1530</v>
      </c>
      <c r="AC68" s="1463">
        <v>680</v>
      </c>
      <c r="AD68" s="1463">
        <v>1015</v>
      </c>
      <c r="AE68" s="1463">
        <v>1236</v>
      </c>
      <c r="AF68" s="1463">
        <v>1125</v>
      </c>
      <c r="AG68" s="1463">
        <v>610</v>
      </c>
      <c r="AH68" s="1463">
        <v>905</v>
      </c>
      <c r="AI68" s="1463">
        <v>883</v>
      </c>
      <c r="AJ68" s="1463">
        <v>968</v>
      </c>
      <c r="AK68" s="1463">
        <v>2580</v>
      </c>
      <c r="AL68" s="1135">
        <f>SUM(AM68:AZ68)</f>
        <v>16067</v>
      </c>
      <c r="AM68" s="1445">
        <v>2125</v>
      </c>
      <c r="AN68" s="1445">
        <v>1338</v>
      </c>
      <c r="AO68" s="1445">
        <v>1033</v>
      </c>
      <c r="AP68" s="1445">
        <v>523</v>
      </c>
      <c r="AQ68" s="1445">
        <v>1499</v>
      </c>
      <c r="AR68" s="1445">
        <v>625</v>
      </c>
      <c r="AS68" s="1445">
        <v>997</v>
      </c>
      <c r="AT68" s="1445">
        <v>1195</v>
      </c>
      <c r="AU68" s="1445">
        <v>1055</v>
      </c>
      <c r="AV68" s="1445">
        <v>582</v>
      </c>
      <c r="AW68" s="1445">
        <v>896</v>
      </c>
      <c r="AX68" s="1445">
        <v>803</v>
      </c>
      <c r="AY68" s="1445">
        <v>901</v>
      </c>
      <c r="AZ68" s="1445">
        <v>2495</v>
      </c>
      <c r="BA68" s="1063">
        <f t="shared" si="0"/>
        <v>100.55072282370612</v>
      </c>
      <c r="BB68" s="1063">
        <f t="shared" si="1"/>
        <v>95.739482779168156</v>
      </c>
      <c r="BC68" s="1446"/>
      <c r="BD68" s="136"/>
      <c r="BE68" s="1591"/>
      <c r="BF68" s="604"/>
      <c r="BG68" s="605"/>
    </row>
    <row r="69" spans="1:59" s="615" customFormat="1" ht="21.95" customHeight="1">
      <c r="A69" s="846"/>
      <c r="B69" s="892" t="s">
        <v>506</v>
      </c>
      <c r="C69" s="846" t="s">
        <v>26</v>
      </c>
      <c r="D69" s="1007">
        <v>31.476933153219534</v>
      </c>
      <c r="E69" s="1007" t="e">
        <f>E68/'B8. DS-GD&amp;TE '!E9*100</f>
        <v>#REF!</v>
      </c>
      <c r="F69" s="1007">
        <f>F68/'B8. DS-GD&amp;TE '!F9*100</f>
        <v>32.506713320856051</v>
      </c>
      <c r="G69" s="1007">
        <f>G68/'B8. DS-GD&amp;TE '!G9*100</f>
        <v>32.740292936259991</v>
      </c>
      <c r="H69" s="1464">
        <f>H68/'B8. DS-GD&amp;TE '!H9*100</f>
        <v>33.003880669415473</v>
      </c>
      <c r="I69" s="1464">
        <f>I68/'B8. DS-GD&amp;TE '!I9*100</f>
        <v>36.040443574690151</v>
      </c>
      <c r="J69" s="1464">
        <f>J68/'B8. DS-GD&amp;TE '!J9*100</f>
        <v>34.491568727644356</v>
      </c>
      <c r="K69" s="1464">
        <f>K68/'B8. DS-GD&amp;TE '!K9*100</f>
        <v>33.06581059390048</v>
      </c>
      <c r="L69" s="1464">
        <f>L68/'B8. DS-GD&amp;TE '!L9*100</f>
        <v>31.808035714285715</v>
      </c>
      <c r="M69" s="1464">
        <f>M68/'B8. DS-GD&amp;TE '!M9*100</f>
        <v>33.326072751034637</v>
      </c>
      <c r="N69" s="1464">
        <f>N68/'B8. DS-GD&amp;TE '!N9*100</f>
        <v>29.811486190267427</v>
      </c>
      <c r="O69" s="1464">
        <f>O68/'B8. DS-GD&amp;TE '!O9*100</f>
        <v>32.659151193633953</v>
      </c>
      <c r="P69" s="1464">
        <f>P68/'B8. DS-GD&amp;TE '!P9*100</f>
        <v>31.707966959765521</v>
      </c>
      <c r="Q69" s="1464">
        <f>Q68/'B8. DS-GD&amp;TE '!Q9*100</f>
        <v>29.329216952006735</v>
      </c>
      <c r="R69" s="1464">
        <f>R68/'B8. DS-GD&amp;TE '!R9*100</f>
        <v>30.125523012552303</v>
      </c>
      <c r="S69" s="1464">
        <f>S68/'B8. DS-GD&amp;TE '!S9*100</f>
        <v>34.780937740199846</v>
      </c>
      <c r="T69" s="1464">
        <f>T68/'B8. DS-GD&amp;TE '!T9*100</f>
        <v>33.034044145155256</v>
      </c>
      <c r="U69" s="1464">
        <f>U68/'B8. DS-GD&amp;TE '!U9*100</f>
        <v>34.04336249524534</v>
      </c>
      <c r="V69" s="1464">
        <f>V68/'B8. DS-GD&amp;TE '!V9*100</f>
        <v>33.053445288551245</v>
      </c>
      <c r="W69" s="1464">
        <f>W68/'B8. DS-GD&amp;TE '!W9*100</f>
        <v>33.503693351966461</v>
      </c>
      <c r="X69" s="1464">
        <f>X68/'B8. DS-GD&amp;TE '!X9*100</f>
        <v>36.720889032050252</v>
      </c>
      <c r="Y69" s="1464">
        <f>Y68/'B8. DS-GD&amp;TE '!Y9*100</f>
        <v>34.317436285642188</v>
      </c>
      <c r="Z69" s="1464">
        <f>Z68/'B8. DS-GD&amp;TE '!Z9*100</f>
        <v>32.974001268230815</v>
      </c>
      <c r="AA69" s="1464">
        <f>AA68/'B8. DS-GD&amp;TE '!AA9*100</f>
        <v>31.422271223814775</v>
      </c>
      <c r="AB69" s="1464">
        <f>AB68/'B8. DS-GD&amp;TE '!AB9*100</f>
        <v>32.910303291030331</v>
      </c>
      <c r="AC69" s="1464">
        <f>AC68/'B8. DS-GD&amp;TE '!AC9*100</f>
        <v>29.462738301559792</v>
      </c>
      <c r="AD69" s="1464">
        <f>AD68/'B8. DS-GD&amp;TE '!AD9*100</f>
        <v>33.245987553226335</v>
      </c>
      <c r="AE69" s="1464">
        <f>AE68/'B8. DS-GD&amp;TE '!AE9*100</f>
        <v>32.526315789473685</v>
      </c>
      <c r="AF69" s="1464">
        <f>AF68/'B8. DS-GD&amp;TE '!AF9*100</f>
        <v>31.189354033823118</v>
      </c>
      <c r="AG69" s="1464">
        <f>AG68/'B8. DS-GD&amp;TE '!AG9*100</f>
        <v>31.524547803617569</v>
      </c>
      <c r="AH69" s="1464">
        <f>AH68/'B8. DS-GD&amp;TE '!AH9*100</f>
        <v>34.358390280941535</v>
      </c>
      <c r="AI69" s="1464">
        <f>AI68/'B8. DS-GD&amp;TE '!AI9*100</f>
        <v>32.64325323475046</v>
      </c>
      <c r="AJ69" s="1464">
        <f>AJ68/'B8. DS-GD&amp;TE '!AJ9*100</f>
        <v>36.377301766253289</v>
      </c>
      <c r="AK69" s="1464">
        <f>AK68/'B8. DS-GD&amp;TE '!AK9*100</f>
        <v>33.956304290602787</v>
      </c>
      <c r="AL69" s="1136">
        <f>AL68/'B8. DS-GD&amp;TE '!AL9*100</f>
        <v>32.280553713860925</v>
      </c>
      <c r="AM69" s="1136">
        <f>AM68/'B8. DS-GD&amp;TE '!AM9*100</f>
        <v>34.818941504178277</v>
      </c>
      <c r="AN69" s="1136">
        <f>AN68/'B8. DS-GD&amp;TE '!AN9*100</f>
        <v>33.89916392196605</v>
      </c>
      <c r="AO69" s="1136">
        <f>AO68/'B8. DS-GD&amp;TE '!AO9*100</f>
        <v>32.919056724028046</v>
      </c>
      <c r="AP69" s="1136">
        <f>AP68/'B8. DS-GD&amp;TE '!AP9*100</f>
        <v>29.283314669652853</v>
      </c>
      <c r="AQ69" s="1136">
        <f>AQ68/'B8. DS-GD&amp;TE '!AQ9*100</f>
        <v>32.354845672350528</v>
      </c>
      <c r="AR69" s="1136">
        <f>AR68/'B8. DS-GD&amp;TE '!AR9*100</f>
        <v>27.268760907504365</v>
      </c>
      <c r="AS69" s="1136">
        <f>AS68/'B8. DS-GD&amp;TE '!AS9*100</f>
        <v>32.828449127428385</v>
      </c>
      <c r="AT69" s="1136">
        <f>AT68/'B8. DS-GD&amp;TE '!AT9*100</f>
        <v>31.480505795574288</v>
      </c>
      <c r="AU69" s="1136">
        <f>AU68/'B8. DS-GD&amp;TE '!AU9*100</f>
        <v>29.379003063213588</v>
      </c>
      <c r="AV69" s="1136">
        <f>AV68/'B8. DS-GD&amp;TE '!AV9*100</f>
        <v>30.328295987493487</v>
      </c>
      <c r="AW69" s="1136">
        <f>AW68/'B8. DS-GD&amp;TE '!AW9*100</f>
        <v>34.224598930481278</v>
      </c>
      <c r="AX69" s="1136">
        <f>AX68/'B8. DS-GD&amp;TE '!AX9*100</f>
        <v>29.862402380066939</v>
      </c>
      <c r="AY69" s="1136">
        <f>AY68/'B8. DS-GD&amp;TE '!AY9*100</f>
        <v>34.064272211720223</v>
      </c>
      <c r="AZ69" s="1136">
        <f>AZ68/'B8. DS-GD&amp;TE '!AZ9*100</f>
        <v>32.919910278400842</v>
      </c>
      <c r="BA69" s="1063">
        <f t="shared" si="0"/>
        <v>99.304267999158114</v>
      </c>
      <c r="BB69" s="1063">
        <f t="shared" si="1"/>
        <v>96.349239395024057</v>
      </c>
      <c r="BC69" s="1007"/>
      <c r="BD69" s="1601"/>
      <c r="BE69" s="1602"/>
      <c r="BF69" s="613"/>
      <c r="BG69" s="614"/>
    </row>
    <row r="70" spans="1:59" s="598" customFormat="1" ht="36" customHeight="1">
      <c r="A70" s="1782">
        <v>2</v>
      </c>
      <c r="B70" s="889" t="s">
        <v>507</v>
      </c>
      <c r="C70" s="1782" t="s">
        <v>508</v>
      </c>
      <c r="D70" s="1462">
        <v>1218</v>
      </c>
      <c r="E70" s="1446" t="e">
        <f>SUM(#REF!)</f>
        <v>#REF!</v>
      </c>
      <c r="F70" s="1446"/>
      <c r="G70" s="1446"/>
      <c r="H70" s="1446">
        <f>SUM(I70:V70)</f>
        <v>1513</v>
      </c>
      <c r="I70" s="1463">
        <v>345</v>
      </c>
      <c r="J70" s="1463">
        <v>170</v>
      </c>
      <c r="K70" s="1463">
        <v>115</v>
      </c>
      <c r="L70" s="1463">
        <v>68</v>
      </c>
      <c r="M70" s="1463">
        <v>150</v>
      </c>
      <c r="N70" s="1463">
        <v>70</v>
      </c>
      <c r="O70" s="1463">
        <v>40</v>
      </c>
      <c r="P70" s="1463">
        <v>76</v>
      </c>
      <c r="Q70" s="1463">
        <v>72</v>
      </c>
      <c r="R70" s="1463">
        <v>65</v>
      </c>
      <c r="S70" s="1463">
        <v>122</v>
      </c>
      <c r="T70" s="1463">
        <v>145</v>
      </c>
      <c r="U70" s="1463">
        <v>32</v>
      </c>
      <c r="V70" s="1463">
        <v>43</v>
      </c>
      <c r="W70" s="1455">
        <f>SUM(X70:AK70)</f>
        <v>1633</v>
      </c>
      <c r="X70" s="1463">
        <v>350</v>
      </c>
      <c r="Y70" s="1463">
        <v>190</v>
      </c>
      <c r="Z70" s="1463">
        <v>120</v>
      </c>
      <c r="AA70" s="1463">
        <v>70</v>
      </c>
      <c r="AB70" s="1463">
        <v>160</v>
      </c>
      <c r="AC70" s="1463">
        <v>80</v>
      </c>
      <c r="AD70" s="1463">
        <v>45</v>
      </c>
      <c r="AE70" s="1463">
        <v>90</v>
      </c>
      <c r="AF70" s="1463">
        <v>80</v>
      </c>
      <c r="AG70" s="1463">
        <v>70</v>
      </c>
      <c r="AH70" s="1463">
        <v>130</v>
      </c>
      <c r="AI70" s="1463">
        <v>150</v>
      </c>
      <c r="AJ70" s="1463">
        <v>40</v>
      </c>
      <c r="AK70" s="1463">
        <v>58</v>
      </c>
      <c r="AL70" s="1135">
        <f>SUM(AM70:AZ70)</f>
        <v>1513</v>
      </c>
      <c r="AM70" s="1445">
        <v>345</v>
      </c>
      <c r="AN70" s="1445">
        <v>170</v>
      </c>
      <c r="AO70" s="1445">
        <v>115</v>
      </c>
      <c r="AP70" s="1445">
        <v>68</v>
      </c>
      <c r="AQ70" s="1445">
        <v>150</v>
      </c>
      <c r="AR70" s="1445">
        <v>70</v>
      </c>
      <c r="AS70" s="1445">
        <v>40</v>
      </c>
      <c r="AT70" s="1445">
        <v>76</v>
      </c>
      <c r="AU70" s="1445">
        <v>72</v>
      </c>
      <c r="AV70" s="1445">
        <v>65</v>
      </c>
      <c r="AW70" s="1445">
        <v>122</v>
      </c>
      <c r="AX70" s="1445">
        <v>145</v>
      </c>
      <c r="AY70" s="1445">
        <v>32</v>
      </c>
      <c r="AZ70" s="1445">
        <v>43</v>
      </c>
      <c r="BA70" s="1063"/>
      <c r="BB70" s="1063">
        <f t="shared" si="1"/>
        <v>92.651561543172079</v>
      </c>
      <c r="BC70" s="1446"/>
      <c r="BD70" s="655"/>
      <c r="BE70" s="1591"/>
      <c r="BF70" s="607"/>
      <c r="BG70" s="606"/>
    </row>
    <row r="71" spans="1:59" s="598" customFormat="1" ht="21.95" customHeight="1">
      <c r="A71" s="1782">
        <v>3</v>
      </c>
      <c r="B71" s="889" t="s">
        <v>509</v>
      </c>
      <c r="C71" s="1782" t="s">
        <v>510</v>
      </c>
      <c r="D71" s="1462">
        <v>49</v>
      </c>
      <c r="E71" s="1446" t="e">
        <f>SUM(#REF!)</f>
        <v>#REF!</v>
      </c>
      <c r="F71" s="1446">
        <v>50</v>
      </c>
      <c r="G71" s="1446">
        <v>50</v>
      </c>
      <c r="H71" s="1446">
        <f>SUM(I71:V71)</f>
        <v>52</v>
      </c>
      <c r="I71" s="1224">
        <v>10</v>
      </c>
      <c r="J71" s="1224">
        <v>4</v>
      </c>
      <c r="K71" s="1224">
        <v>3</v>
      </c>
      <c r="L71" s="1224">
        <v>2</v>
      </c>
      <c r="M71" s="1224">
        <v>4</v>
      </c>
      <c r="N71" s="1465">
        <v>3</v>
      </c>
      <c r="O71" s="1465">
        <v>3</v>
      </c>
      <c r="P71" s="1465">
        <v>3</v>
      </c>
      <c r="Q71" s="1224">
        <v>3</v>
      </c>
      <c r="R71" s="1224">
        <v>3</v>
      </c>
      <c r="S71" s="1224">
        <v>4</v>
      </c>
      <c r="T71" s="1224">
        <v>4</v>
      </c>
      <c r="U71" s="1465">
        <v>3</v>
      </c>
      <c r="V71" s="1224">
        <v>3</v>
      </c>
      <c r="W71" s="1455">
        <f>SUM(X71:AK71)</f>
        <v>52</v>
      </c>
      <c r="X71" s="1224">
        <v>10</v>
      </c>
      <c r="Y71" s="1224">
        <v>4</v>
      </c>
      <c r="Z71" s="1224">
        <v>3</v>
      </c>
      <c r="AA71" s="1224">
        <v>2</v>
      </c>
      <c r="AB71" s="1224">
        <v>4</v>
      </c>
      <c r="AC71" s="1465">
        <v>3</v>
      </c>
      <c r="AD71" s="1465">
        <v>3</v>
      </c>
      <c r="AE71" s="1465">
        <v>3</v>
      </c>
      <c r="AF71" s="1224">
        <v>3</v>
      </c>
      <c r="AG71" s="1224">
        <v>3</v>
      </c>
      <c r="AH71" s="1224">
        <v>4</v>
      </c>
      <c r="AI71" s="1224">
        <v>4</v>
      </c>
      <c r="AJ71" s="1465">
        <v>3</v>
      </c>
      <c r="AK71" s="1224">
        <v>3</v>
      </c>
      <c r="AL71" s="1455">
        <f>SUM(AM71:AZ71)</f>
        <v>52</v>
      </c>
      <c r="AM71" s="1224">
        <v>10</v>
      </c>
      <c r="AN71" s="1224">
        <v>4</v>
      </c>
      <c r="AO71" s="1224">
        <v>3</v>
      </c>
      <c r="AP71" s="1224">
        <v>2</v>
      </c>
      <c r="AQ71" s="1224">
        <v>4</v>
      </c>
      <c r="AR71" s="1465">
        <v>3</v>
      </c>
      <c r="AS71" s="1465">
        <v>3</v>
      </c>
      <c r="AT71" s="1465">
        <v>3</v>
      </c>
      <c r="AU71" s="1224">
        <v>3</v>
      </c>
      <c r="AV71" s="1224">
        <v>3</v>
      </c>
      <c r="AW71" s="1224">
        <v>4</v>
      </c>
      <c r="AX71" s="1224">
        <v>4</v>
      </c>
      <c r="AY71" s="1465">
        <v>3</v>
      </c>
      <c r="AZ71" s="1224">
        <v>3</v>
      </c>
      <c r="BA71" s="1063">
        <f t="shared" si="0"/>
        <v>104</v>
      </c>
      <c r="BB71" s="1063">
        <f t="shared" si="1"/>
        <v>100</v>
      </c>
      <c r="BC71" s="1446"/>
      <c r="BD71" s="454"/>
      <c r="BE71" s="1591"/>
      <c r="BF71" s="607"/>
      <c r="BG71" s="606"/>
    </row>
    <row r="72" spans="1:59" s="598" customFormat="1" ht="21.95" customHeight="1">
      <c r="A72" s="1782">
        <v>4</v>
      </c>
      <c r="B72" s="889" t="s">
        <v>511</v>
      </c>
      <c r="C72" s="1782"/>
      <c r="D72" s="1462">
        <v>18</v>
      </c>
      <c r="E72" s="1462" t="e">
        <f>SUM(E73:E74)</f>
        <v>#REF!</v>
      </c>
      <c r="F72" s="1446">
        <v>18</v>
      </c>
      <c r="G72" s="1446">
        <v>18</v>
      </c>
      <c r="H72" s="1462">
        <f>SUM(H73:H74)</f>
        <v>20</v>
      </c>
      <c r="I72" s="1135"/>
      <c r="J72" s="1466"/>
      <c r="K72" s="1466"/>
      <c r="L72" s="1466"/>
      <c r="M72" s="1466"/>
      <c r="N72" s="1466"/>
      <c r="O72" s="1467"/>
      <c r="P72" s="1467"/>
      <c r="Q72" s="1467"/>
      <c r="R72" s="1467"/>
      <c r="S72" s="1467"/>
      <c r="T72" s="1467"/>
      <c r="U72" s="1467"/>
      <c r="V72" s="1467"/>
      <c r="W72" s="1462">
        <f>SUM(W73:W74)</f>
        <v>20</v>
      </c>
      <c r="X72" s="1135"/>
      <c r="Y72" s="1466"/>
      <c r="Z72" s="1466"/>
      <c r="AA72" s="1466"/>
      <c r="AB72" s="1466"/>
      <c r="AC72" s="1466"/>
      <c r="AD72" s="1467"/>
      <c r="AE72" s="1467"/>
      <c r="AF72" s="1467"/>
      <c r="AG72" s="1467"/>
      <c r="AH72" s="1467"/>
      <c r="AI72" s="1467"/>
      <c r="AJ72" s="1467"/>
      <c r="AK72" s="1467"/>
      <c r="AL72" s="1462">
        <v>20</v>
      </c>
      <c r="AM72" s="1135"/>
      <c r="AN72" s="1466"/>
      <c r="AO72" s="1466"/>
      <c r="AP72" s="1466"/>
      <c r="AQ72" s="1466"/>
      <c r="AR72" s="1466"/>
      <c r="AS72" s="1467"/>
      <c r="AT72" s="1467"/>
      <c r="AU72" s="1467"/>
      <c r="AV72" s="1467"/>
      <c r="AW72" s="1467"/>
      <c r="AX72" s="1467"/>
      <c r="AY72" s="1467"/>
      <c r="AZ72" s="1467"/>
      <c r="BA72" s="1063">
        <f t="shared" si="0"/>
        <v>111.11111111111111</v>
      </c>
      <c r="BB72" s="1063">
        <f t="shared" si="1"/>
        <v>100</v>
      </c>
      <c r="BC72" s="1462"/>
      <c r="BD72" s="454"/>
      <c r="BE72" s="1591"/>
      <c r="BF72" s="607"/>
      <c r="BG72" s="606"/>
    </row>
    <row r="73" spans="1:59" s="615" customFormat="1" ht="21.95" customHeight="1">
      <c r="A73" s="846"/>
      <c r="B73" s="892" t="s">
        <v>512</v>
      </c>
      <c r="C73" s="846" t="s">
        <v>513</v>
      </c>
      <c r="D73" s="1468">
        <v>4</v>
      </c>
      <c r="E73" s="1469" t="e">
        <f>SUM(#REF!)</f>
        <v>#REF!</v>
      </c>
      <c r="F73" s="1469">
        <v>4</v>
      </c>
      <c r="G73" s="1469">
        <v>4</v>
      </c>
      <c r="H73" s="1469">
        <f>SUM(I73:V73)</f>
        <v>6</v>
      </c>
      <c r="I73" s="1466">
        <v>1</v>
      </c>
      <c r="J73" s="1466">
        <v>1</v>
      </c>
      <c r="K73" s="1466">
        <v>1</v>
      </c>
      <c r="L73" s="1466"/>
      <c r="M73" s="1466">
        <v>1</v>
      </c>
      <c r="N73" s="1467">
        <v>1</v>
      </c>
      <c r="O73" s="1467"/>
      <c r="P73" s="1467"/>
      <c r="Q73" s="1467"/>
      <c r="R73" s="1467"/>
      <c r="S73" s="1467"/>
      <c r="T73" s="1467">
        <v>1</v>
      </c>
      <c r="U73" s="1467"/>
      <c r="V73" s="1467"/>
      <c r="W73" s="1322">
        <f t="shared" ref="W73:W74" si="28">SUM(X73:AK73)</f>
        <v>6</v>
      </c>
      <c r="X73" s="1466">
        <v>1</v>
      </c>
      <c r="Y73" s="1466">
        <v>1</v>
      </c>
      <c r="Z73" s="1466">
        <v>1</v>
      </c>
      <c r="AA73" s="1466"/>
      <c r="AB73" s="1466">
        <v>1</v>
      </c>
      <c r="AC73" s="1467">
        <v>1</v>
      </c>
      <c r="AD73" s="1467"/>
      <c r="AE73" s="1467"/>
      <c r="AF73" s="1467"/>
      <c r="AG73" s="1467"/>
      <c r="AH73" s="1467"/>
      <c r="AI73" s="1467">
        <v>1</v>
      </c>
      <c r="AJ73" s="1467"/>
      <c r="AK73" s="1467"/>
      <c r="AL73" s="1322">
        <f>SUM(AM73:AZ73)</f>
        <v>6</v>
      </c>
      <c r="AM73" s="1466">
        <v>1</v>
      </c>
      <c r="AN73" s="1466">
        <v>1</v>
      </c>
      <c r="AO73" s="1466">
        <v>1</v>
      </c>
      <c r="AP73" s="1466"/>
      <c r="AQ73" s="1466">
        <v>1</v>
      </c>
      <c r="AR73" s="1467">
        <v>1</v>
      </c>
      <c r="AS73" s="1467"/>
      <c r="AT73" s="1467"/>
      <c r="AU73" s="1467"/>
      <c r="AV73" s="1467"/>
      <c r="AW73" s="1467"/>
      <c r="AX73" s="1467">
        <v>1</v>
      </c>
      <c r="AY73" s="1467"/>
      <c r="AZ73" s="1467"/>
      <c r="BA73" s="1063">
        <f t="shared" si="0"/>
        <v>150</v>
      </c>
      <c r="BB73" s="1063">
        <f t="shared" si="1"/>
        <v>100</v>
      </c>
      <c r="BC73" s="1470"/>
      <c r="BD73" s="1603"/>
      <c r="BE73" s="1602"/>
      <c r="BF73" s="613"/>
      <c r="BG73" s="614"/>
    </row>
    <row r="74" spans="1:59" s="615" customFormat="1" ht="21.95" customHeight="1">
      <c r="A74" s="846"/>
      <c r="B74" s="892" t="s">
        <v>514</v>
      </c>
      <c r="C74" s="846" t="s">
        <v>494</v>
      </c>
      <c r="D74" s="1468">
        <v>14</v>
      </c>
      <c r="E74" s="1469" t="e">
        <f>SUM(#REF!)</f>
        <v>#REF!</v>
      </c>
      <c r="F74" s="1469">
        <v>14</v>
      </c>
      <c r="G74" s="1469">
        <v>14</v>
      </c>
      <c r="H74" s="1469">
        <f>SUM(I74:V74)</f>
        <v>14</v>
      </c>
      <c r="I74" s="1467">
        <v>9</v>
      </c>
      <c r="J74" s="1467"/>
      <c r="K74" s="1467"/>
      <c r="L74" s="1467"/>
      <c r="M74" s="1467"/>
      <c r="N74" s="1467"/>
      <c r="O74" s="1467"/>
      <c r="P74" s="1467">
        <v>1</v>
      </c>
      <c r="Q74" s="1467"/>
      <c r="R74" s="1467"/>
      <c r="S74" s="1467">
        <v>1</v>
      </c>
      <c r="T74" s="1467">
        <v>1</v>
      </c>
      <c r="U74" s="1467">
        <v>1</v>
      </c>
      <c r="V74" s="1467">
        <v>1</v>
      </c>
      <c r="W74" s="1322">
        <f t="shared" si="28"/>
        <v>14</v>
      </c>
      <c r="X74" s="1467">
        <v>9</v>
      </c>
      <c r="Y74" s="1467"/>
      <c r="Z74" s="1467"/>
      <c r="AA74" s="1467"/>
      <c r="AB74" s="1467"/>
      <c r="AC74" s="1467"/>
      <c r="AD74" s="1467"/>
      <c r="AE74" s="1467">
        <v>1</v>
      </c>
      <c r="AF74" s="1467"/>
      <c r="AG74" s="1467"/>
      <c r="AH74" s="1467">
        <v>1</v>
      </c>
      <c r="AI74" s="1467">
        <v>1</v>
      </c>
      <c r="AJ74" s="1467">
        <v>1</v>
      </c>
      <c r="AK74" s="1467">
        <v>1</v>
      </c>
      <c r="AL74" s="1322">
        <f>SUM(AM74:AZ74)</f>
        <v>14</v>
      </c>
      <c r="AM74" s="1467">
        <v>9</v>
      </c>
      <c r="AN74" s="1467"/>
      <c r="AO74" s="1467"/>
      <c r="AP74" s="1467"/>
      <c r="AQ74" s="1467"/>
      <c r="AR74" s="1467"/>
      <c r="AS74" s="1467"/>
      <c r="AT74" s="1467">
        <v>1</v>
      </c>
      <c r="AU74" s="1467"/>
      <c r="AV74" s="1467"/>
      <c r="AW74" s="1467">
        <v>1</v>
      </c>
      <c r="AX74" s="1467">
        <v>1</v>
      </c>
      <c r="AY74" s="1467">
        <v>1</v>
      </c>
      <c r="AZ74" s="1467">
        <v>1</v>
      </c>
      <c r="BA74" s="1063">
        <f t="shared" si="0"/>
        <v>99.999999999999986</v>
      </c>
      <c r="BB74" s="1063">
        <f t="shared" si="1"/>
        <v>99.999999999999986</v>
      </c>
      <c r="BC74" s="1467"/>
      <c r="BD74" s="1603"/>
      <c r="BE74" s="1602"/>
      <c r="BF74" s="613"/>
      <c r="BG74" s="614"/>
    </row>
    <row r="75" spans="1:59" ht="15.75" customHeight="1">
      <c r="A75" s="616"/>
      <c r="B75" s="493"/>
      <c r="C75" s="524"/>
      <c r="D75" s="458"/>
      <c r="E75" s="458"/>
      <c r="F75" s="458"/>
      <c r="G75" s="458"/>
      <c r="H75" s="458"/>
      <c r="I75" s="458"/>
      <c r="J75" s="458"/>
      <c r="K75" s="458"/>
      <c r="L75" s="458"/>
      <c r="M75" s="458"/>
      <c r="N75" s="458"/>
      <c r="O75" s="458"/>
      <c r="P75" s="458"/>
      <c r="Q75" s="458"/>
      <c r="R75" s="458"/>
      <c r="S75" s="458"/>
      <c r="T75" s="458"/>
      <c r="U75" s="458"/>
      <c r="V75" s="458"/>
      <c r="W75" s="458"/>
      <c r="X75" s="458"/>
      <c r="Y75" s="458"/>
      <c r="Z75" s="458"/>
      <c r="AA75" s="458"/>
      <c r="AB75" s="458"/>
      <c r="AC75" s="458"/>
      <c r="AD75" s="458"/>
      <c r="AE75" s="458"/>
      <c r="AF75" s="458"/>
      <c r="AG75" s="458"/>
      <c r="AH75" s="458"/>
      <c r="AI75" s="458"/>
      <c r="AJ75" s="458"/>
      <c r="AK75" s="458"/>
      <c r="AL75" s="458"/>
      <c r="AM75" s="458"/>
      <c r="AN75" s="458"/>
      <c r="AO75" s="458"/>
      <c r="AP75" s="458"/>
      <c r="AQ75" s="458"/>
      <c r="AR75" s="458"/>
      <c r="AS75" s="458"/>
      <c r="AT75" s="458"/>
      <c r="AU75" s="458"/>
      <c r="AV75" s="458"/>
      <c r="AW75" s="458"/>
      <c r="AX75" s="458"/>
      <c r="AY75" s="458"/>
      <c r="AZ75" s="458"/>
      <c r="BA75" s="458"/>
      <c r="BB75" s="458"/>
      <c r="BC75" s="458"/>
    </row>
    <row r="76" spans="1:59" ht="15.75" customHeight="1">
      <c r="A76" s="405"/>
      <c r="B76" s="570"/>
      <c r="C76" s="524"/>
    </row>
    <row r="77" spans="1:59" ht="15.75" hidden="1" customHeight="1">
      <c r="A77" s="405"/>
      <c r="B77" s="494"/>
      <c r="C77" s="494"/>
    </row>
    <row r="78" spans="1:59" ht="15.75" customHeight="1">
      <c r="A78" s="405"/>
      <c r="B78" s="494"/>
      <c r="C78" s="494"/>
    </row>
    <row r="79" spans="1:59" ht="15.75" customHeight="1">
      <c r="A79" s="405"/>
      <c r="B79" s="494"/>
      <c r="C79" s="494"/>
    </row>
    <row r="80" spans="1:59" ht="15.75" customHeight="1">
      <c r="A80" s="405"/>
      <c r="B80" s="494"/>
      <c r="C80" s="494"/>
    </row>
    <row r="81" spans="1:3" ht="15.75" customHeight="1">
      <c r="A81" s="405"/>
      <c r="B81" s="494"/>
      <c r="C81" s="494"/>
    </row>
    <row r="82" spans="1:3" ht="15.75" customHeight="1">
      <c r="A82" s="405"/>
      <c r="B82" s="494"/>
      <c r="C82" s="494"/>
    </row>
    <row r="83" spans="1:3" ht="15.75" customHeight="1">
      <c r="A83" s="405"/>
      <c r="B83" s="494"/>
      <c r="C83" s="494"/>
    </row>
    <row r="84" spans="1:3" ht="15.75" customHeight="1">
      <c r="A84" s="405"/>
      <c r="B84" s="494"/>
      <c r="C84" s="494"/>
    </row>
    <row r="85" spans="1:3" ht="15.75" customHeight="1">
      <c r="A85" s="405"/>
      <c r="B85" s="494"/>
      <c r="C85" s="494"/>
    </row>
    <row r="86" spans="1:3" ht="15.75" customHeight="1">
      <c r="A86" s="405"/>
      <c r="B86" s="494"/>
      <c r="C86" s="494"/>
    </row>
    <row r="87" spans="1:3" ht="15.75" customHeight="1">
      <c r="A87" s="405"/>
      <c r="B87" s="494"/>
      <c r="C87" s="494"/>
    </row>
    <row r="88" spans="1:3" ht="15.75" customHeight="1">
      <c r="A88" s="405"/>
      <c r="B88" s="494"/>
      <c r="C88" s="494"/>
    </row>
    <row r="89" spans="1:3" ht="15.75" customHeight="1">
      <c r="A89" s="405"/>
      <c r="B89" s="494"/>
      <c r="C89" s="494"/>
    </row>
    <row r="90" spans="1:3" ht="15.75" customHeight="1">
      <c r="A90" s="405"/>
      <c r="B90" s="494"/>
      <c r="C90" s="494"/>
    </row>
    <row r="91" spans="1:3" ht="15.75" customHeight="1">
      <c r="A91" s="405"/>
      <c r="B91" s="494"/>
      <c r="C91" s="494"/>
    </row>
    <row r="92" spans="1:3" ht="15.75" customHeight="1">
      <c r="A92" s="405"/>
      <c r="B92" s="494"/>
      <c r="C92" s="494"/>
    </row>
    <row r="93" spans="1:3" ht="15.75" customHeight="1">
      <c r="A93" s="405"/>
      <c r="B93" s="494"/>
      <c r="C93" s="494"/>
    </row>
    <row r="94" spans="1:3" ht="15.75" customHeight="1">
      <c r="A94" s="405"/>
      <c r="B94" s="494"/>
      <c r="C94" s="494"/>
    </row>
    <row r="95" spans="1:3" ht="15.75" customHeight="1">
      <c r="A95" s="405"/>
      <c r="B95" s="494"/>
      <c r="C95" s="494"/>
    </row>
    <row r="96" spans="1:3" ht="15.75" customHeight="1">
      <c r="A96" s="405"/>
      <c r="B96" s="494"/>
      <c r="C96" s="494"/>
    </row>
    <row r="97" spans="1:3" ht="15.75" customHeight="1">
      <c r="A97" s="405"/>
      <c r="B97" s="494"/>
      <c r="C97" s="494"/>
    </row>
    <row r="98" spans="1:3" ht="15.75" customHeight="1">
      <c r="A98" s="405"/>
      <c r="B98" s="494"/>
      <c r="C98" s="494"/>
    </row>
    <row r="99" spans="1:3" ht="15.75" customHeight="1">
      <c r="A99" s="405"/>
      <c r="B99" s="494"/>
      <c r="C99" s="494"/>
    </row>
    <row r="100" spans="1:3" ht="15.75" customHeight="1">
      <c r="A100" s="405"/>
      <c r="B100" s="494"/>
      <c r="C100" s="494"/>
    </row>
    <row r="101" spans="1:3" ht="15.75" customHeight="1">
      <c r="A101" s="405"/>
      <c r="B101" s="494"/>
      <c r="C101" s="494"/>
    </row>
    <row r="102" spans="1:3" ht="15.75" customHeight="1">
      <c r="A102" s="405"/>
      <c r="B102" s="494"/>
      <c r="C102" s="494"/>
    </row>
    <row r="103" spans="1:3" ht="15.75" customHeight="1">
      <c r="A103" s="405"/>
      <c r="B103" s="494"/>
      <c r="C103" s="494"/>
    </row>
    <row r="104" spans="1:3" ht="15.75" customHeight="1">
      <c r="A104" s="405"/>
      <c r="B104" s="494"/>
      <c r="C104" s="494"/>
    </row>
    <row r="105" spans="1:3" ht="15.75" customHeight="1">
      <c r="A105" s="405"/>
      <c r="B105" s="494"/>
      <c r="C105" s="494"/>
    </row>
    <row r="106" spans="1:3" ht="15.75" customHeight="1">
      <c r="A106" s="405"/>
      <c r="B106" s="494"/>
      <c r="C106" s="494"/>
    </row>
    <row r="107" spans="1:3" ht="15.75" customHeight="1">
      <c r="A107" s="405"/>
      <c r="B107" s="494"/>
      <c r="C107" s="494"/>
    </row>
    <row r="108" spans="1:3" ht="15.75" customHeight="1">
      <c r="A108" s="405"/>
      <c r="B108" s="494"/>
      <c r="C108" s="494"/>
    </row>
    <row r="109" spans="1:3" ht="15.75" customHeight="1">
      <c r="A109" s="405"/>
      <c r="B109" s="494"/>
      <c r="C109" s="494"/>
    </row>
    <row r="110" spans="1:3" ht="15.75" customHeight="1">
      <c r="A110" s="405"/>
      <c r="B110" s="494"/>
      <c r="C110" s="494"/>
    </row>
    <row r="111" spans="1:3" ht="15.75" customHeight="1">
      <c r="A111" s="405"/>
      <c r="B111" s="494"/>
      <c r="C111" s="494"/>
    </row>
    <row r="112" spans="1:3" ht="15.75" customHeight="1">
      <c r="A112" s="405"/>
      <c r="B112" s="494"/>
      <c r="C112" s="494"/>
    </row>
    <row r="113" spans="1:3" ht="15.75" customHeight="1">
      <c r="A113" s="405"/>
      <c r="B113" s="494"/>
      <c r="C113" s="494"/>
    </row>
    <row r="114" spans="1:3" ht="15.75" customHeight="1">
      <c r="A114" s="405"/>
      <c r="B114" s="494"/>
      <c r="C114" s="494"/>
    </row>
    <row r="115" spans="1:3" ht="15.75" customHeight="1">
      <c r="A115" s="405"/>
      <c r="B115" s="494"/>
      <c r="C115" s="494"/>
    </row>
    <row r="116" spans="1:3" ht="15.75" customHeight="1">
      <c r="A116" s="405"/>
      <c r="B116" s="494"/>
      <c r="C116" s="494"/>
    </row>
    <row r="117" spans="1:3" ht="15.75" customHeight="1">
      <c r="A117" s="405"/>
      <c r="B117" s="494"/>
      <c r="C117" s="494"/>
    </row>
    <row r="118" spans="1:3" ht="15.75" customHeight="1">
      <c r="A118" s="405"/>
      <c r="B118" s="494"/>
      <c r="C118" s="494"/>
    </row>
    <row r="119" spans="1:3" ht="15.75" customHeight="1">
      <c r="A119" s="405"/>
      <c r="B119" s="494"/>
      <c r="C119" s="494"/>
    </row>
    <row r="120" spans="1:3" ht="15.75" customHeight="1">
      <c r="A120" s="405"/>
      <c r="B120" s="494"/>
      <c r="C120" s="494"/>
    </row>
    <row r="121" spans="1:3" ht="15.75" customHeight="1">
      <c r="A121" s="405"/>
      <c r="B121" s="494"/>
      <c r="C121" s="494"/>
    </row>
  </sheetData>
  <mergeCells count="23">
    <mergeCell ref="A1:BC1"/>
    <mergeCell ref="A5:A7"/>
    <mergeCell ref="B5:B7"/>
    <mergeCell ref="C5:C7"/>
    <mergeCell ref="A3:BC3"/>
    <mergeCell ref="A2:BC2"/>
    <mergeCell ref="A4:BC4"/>
    <mergeCell ref="BA5:BB5"/>
    <mergeCell ref="BC5:BC7"/>
    <mergeCell ref="W6:W7"/>
    <mergeCell ref="X6:AK6"/>
    <mergeCell ref="BA6:BA7"/>
    <mergeCell ref="BB6:BB7"/>
    <mergeCell ref="D5:D7"/>
    <mergeCell ref="E5:V5"/>
    <mergeCell ref="I6:V6"/>
    <mergeCell ref="AM6:AZ6"/>
    <mergeCell ref="W5:AZ5"/>
    <mergeCell ref="E6:E7"/>
    <mergeCell ref="F6:F7"/>
    <mergeCell ref="G6:G7"/>
    <mergeCell ref="H6:H7"/>
    <mergeCell ref="AL6:AL7"/>
  </mergeCells>
  <printOptions horizontalCentered="1"/>
  <pageMargins left="0.19685039370078741" right="0.19685039370078741" top="0.6692913385826772" bottom="0.51181102362204722" header="0.19685039370078741" footer="0.35"/>
  <pageSetup paperSize="9" scale="74" fitToHeight="0" orientation="landscape" r:id="rId1"/>
  <headerFooter>
    <oddFooter>&amp;C&amp;"Times New Roman,Regular"&amp;10Page &amp;P</oddFooter>
    <evenFooter>Page &amp;P</even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heetViews>
  <sheetFormatPr defaultRowHeight="15"/>
  <sheetData/>
  <pageMargins left="0.7" right="0.7" top="0.75" bottom="0.75" header="0.3" footer="0.3"/>
</worksheet>
</file>

<file path=xl/worksheets/sheet1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heetViews>
  <sheetFormatPr defaultRowHeight="15"/>
  <sheetData/>
  <pageMargins left="0.7" right="0.7" top="0.75" bottom="0.75" header="0.3" footer="0.3"/>
</worksheet>
</file>

<file path=xl/worksheets/sheet1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10" workbookViewId="0"/>
  </sheetViews>
  <sheetFormatPr defaultRowHeight="15"/>
  <sheetData/>
  <pageMargins left="0.7" right="0.7" top="0.75" bottom="0.75" header="0.3" footer="0.3"/>
</worksheet>
</file>

<file path=xl/worksheets/sheet1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O117"/>
  <sheetViews>
    <sheetView zoomScale="115" zoomScaleNormal="115" zoomScaleSheetLayoutView="100" workbookViewId="0">
      <pane ySplit="7" topLeftCell="A8" activePane="bottomLeft" state="frozen"/>
      <selection activeCell="AP143" sqref="AP143"/>
      <selection pane="bottomLeft" activeCell="R10" sqref="R10"/>
    </sheetView>
  </sheetViews>
  <sheetFormatPr defaultColWidth="9" defaultRowHeight="15.75" customHeight="1"/>
  <cols>
    <col min="1" max="1" width="4.875" style="550" customWidth="1"/>
    <col min="2" max="2" width="25.25" style="551" customWidth="1"/>
    <col min="3" max="3" width="6.125" style="551" customWidth="1"/>
    <col min="4" max="4" width="9.75" style="571" hidden="1" customWidth="1"/>
    <col min="5" max="5" width="8.125" style="571" hidden="1" customWidth="1"/>
    <col min="6" max="6" width="8.625" style="571" customWidth="1"/>
    <col min="7" max="8" width="8.125" style="571" hidden="1" customWidth="1"/>
    <col min="9" max="9" width="10.5" style="571" customWidth="1"/>
    <col min="10" max="10" width="10" style="571" customWidth="1"/>
    <col min="11" max="11" width="9.875" style="571" customWidth="1"/>
    <col min="12" max="12" width="9.25" style="571" customWidth="1"/>
    <col min="13" max="13" width="5.5" style="551" customWidth="1"/>
    <col min="14" max="15" width="13" style="584" hidden="1" customWidth="1"/>
    <col min="16" max="16" width="8.75" style="763" customWidth="1"/>
    <col min="17" max="17" width="9" style="765" customWidth="1"/>
    <col min="18" max="18" width="11.75" style="370" customWidth="1"/>
    <col min="19" max="20" width="9" style="370" customWidth="1"/>
    <col min="21" max="21" width="14.75" style="370" bestFit="1" customWidth="1"/>
    <col min="22" max="16384" width="9" style="370"/>
  </cols>
  <sheetData>
    <row r="1" spans="1:23" s="617" customFormat="1" ht="21.95" customHeight="1">
      <c r="A1" s="2127" t="s">
        <v>453</v>
      </c>
      <c r="B1" s="2127"/>
      <c r="C1" s="2127"/>
      <c r="D1" s="2127"/>
      <c r="E1" s="2127"/>
      <c r="F1" s="2127"/>
      <c r="G1" s="2127"/>
      <c r="H1" s="2127"/>
      <c r="I1" s="2127"/>
      <c r="J1" s="2127"/>
      <c r="K1" s="2127"/>
      <c r="L1" s="2127"/>
      <c r="M1" s="2127"/>
      <c r="N1" s="584"/>
      <c r="O1" s="584"/>
      <c r="P1" s="763"/>
      <c r="Q1" s="764"/>
    </row>
    <row r="2" spans="1:23" s="617" customFormat="1" ht="21.95" customHeight="1">
      <c r="A2" s="2132" t="s">
        <v>790</v>
      </c>
      <c r="B2" s="2132"/>
      <c r="C2" s="2132"/>
      <c r="D2" s="2132"/>
      <c r="E2" s="2132"/>
      <c r="F2" s="2132"/>
      <c r="G2" s="2132"/>
      <c r="H2" s="2132"/>
      <c r="I2" s="2132"/>
      <c r="J2" s="2132"/>
      <c r="K2" s="2132"/>
      <c r="L2" s="2132"/>
      <c r="M2" s="2132"/>
      <c r="N2" s="584"/>
      <c r="O2" s="584"/>
      <c r="P2" s="763"/>
      <c r="Q2" s="764"/>
    </row>
    <row r="3" spans="1:23" s="617" customFormat="1" ht="21.95" customHeight="1">
      <c r="A3" s="2131" t="str">
        <f>'B11 VHTT'!A3:BC3</f>
        <v>(Kèm theo Báo cáo số:  1525 /BC-UBND, ngày   30  tháng 5 năm 2025 của UBND huyện Mường Tè)</v>
      </c>
      <c r="B3" s="2131"/>
      <c r="C3" s="2131"/>
      <c r="D3" s="2131"/>
      <c r="E3" s="2131"/>
      <c r="F3" s="2131"/>
      <c r="G3" s="2131"/>
      <c r="H3" s="2131"/>
      <c r="I3" s="2131"/>
      <c r="J3" s="2131"/>
      <c r="K3" s="2131"/>
      <c r="L3" s="2131"/>
      <c r="M3" s="2131"/>
      <c r="N3" s="584"/>
      <c r="O3" s="584"/>
      <c r="P3" s="763"/>
      <c r="Q3" s="764"/>
    </row>
    <row r="4" spans="1:23" ht="12.75" customHeight="1">
      <c r="B4" s="748"/>
      <c r="C4" s="748"/>
      <c r="D4" s="749"/>
      <c r="E4" s="749"/>
      <c r="F4" s="749"/>
      <c r="G4" s="749"/>
      <c r="H4" s="749"/>
      <c r="I4" s="749"/>
      <c r="J4" s="749"/>
      <c r="K4" s="749"/>
      <c r="L4" s="749"/>
      <c r="M4" s="617"/>
    </row>
    <row r="5" spans="1:23" s="551" customFormat="1" ht="32.25" customHeight="1">
      <c r="A5" s="2130" t="s">
        <v>178</v>
      </c>
      <c r="B5" s="2046" t="s">
        <v>4</v>
      </c>
      <c r="C5" s="2046" t="s">
        <v>5</v>
      </c>
      <c r="D5" s="2017" t="s">
        <v>880</v>
      </c>
      <c r="E5" s="2017" t="s">
        <v>865</v>
      </c>
      <c r="F5" s="2017"/>
      <c r="G5" s="2017"/>
      <c r="H5" s="2017"/>
      <c r="I5" s="2014" t="s">
        <v>881</v>
      </c>
      <c r="J5" s="2088"/>
      <c r="K5" s="2048" t="s">
        <v>866</v>
      </c>
      <c r="L5" s="2048"/>
      <c r="M5" s="2130" t="s">
        <v>656</v>
      </c>
      <c r="N5" s="2128"/>
      <c r="O5" s="2129"/>
      <c r="P5" s="2129"/>
      <c r="Q5" s="766"/>
    </row>
    <row r="6" spans="1:23" s="551" customFormat="1" ht="15" customHeight="1">
      <c r="A6" s="2119"/>
      <c r="B6" s="2021"/>
      <c r="C6" s="2021"/>
      <c r="D6" s="2017"/>
      <c r="E6" s="2048" t="s">
        <v>11</v>
      </c>
      <c r="F6" s="2048" t="s">
        <v>972</v>
      </c>
      <c r="G6" s="2048" t="s">
        <v>871</v>
      </c>
      <c r="H6" s="2048" t="s">
        <v>797</v>
      </c>
      <c r="I6" s="2053" t="s">
        <v>11</v>
      </c>
      <c r="J6" s="2053" t="s">
        <v>795</v>
      </c>
      <c r="K6" s="2048" t="str">
        <f>'B11 VHTT'!BA6:BA7</f>
        <v>Ước TH 6 tháng năm 2025/TH 6 tháng năm 2024</v>
      </c>
      <c r="L6" s="2048" t="str">
        <f>'B11 VHTT'!BB6:BB7</f>
        <v>Ước TH 6 tháng năm 2025/KH năm 2025</v>
      </c>
      <c r="M6" s="2018"/>
      <c r="N6" s="1334"/>
      <c r="O6" s="1334"/>
      <c r="P6" s="767"/>
      <c r="Q6" s="768"/>
      <c r="R6" s="618"/>
      <c r="S6" s="618"/>
      <c r="T6" s="618"/>
      <c r="U6" s="618"/>
      <c r="V6" s="618"/>
      <c r="W6" s="618"/>
    </row>
    <row r="7" spans="1:23" s="551" customFormat="1" ht="68.25" customHeight="1">
      <c r="A7" s="2119"/>
      <c r="B7" s="2021"/>
      <c r="C7" s="2021"/>
      <c r="D7" s="2017"/>
      <c r="E7" s="2048"/>
      <c r="F7" s="2048"/>
      <c r="G7" s="2048"/>
      <c r="H7" s="2048"/>
      <c r="I7" s="2054"/>
      <c r="J7" s="2054"/>
      <c r="K7" s="2048"/>
      <c r="L7" s="2048"/>
      <c r="M7" s="2018"/>
      <c r="N7" s="1335" t="s">
        <v>923</v>
      </c>
      <c r="O7" s="1335" t="s">
        <v>924</v>
      </c>
      <c r="P7" s="769"/>
      <c r="Q7" s="770"/>
      <c r="R7" s="346"/>
      <c r="S7" s="127"/>
      <c r="T7" s="618"/>
      <c r="U7" s="618"/>
      <c r="V7" s="618"/>
      <c r="W7" s="618"/>
    </row>
    <row r="8" spans="1:23" s="619" customFormat="1" ht="21.95" customHeight="1">
      <c r="A8" s="1474">
        <v>1</v>
      </c>
      <c r="B8" s="1497" t="s">
        <v>515</v>
      </c>
      <c r="C8" s="1492"/>
      <c r="D8" s="870"/>
      <c r="E8" s="870"/>
      <c r="F8" s="870"/>
      <c r="G8" s="870"/>
      <c r="H8" s="870"/>
      <c r="I8" s="870"/>
      <c r="J8" s="870"/>
      <c r="K8" s="870"/>
      <c r="L8" s="870"/>
      <c r="M8" s="1493"/>
      <c r="N8" s="1607"/>
      <c r="O8" s="1607"/>
      <c r="P8" s="769"/>
      <c r="Q8" s="768"/>
      <c r="R8" s="618"/>
      <c r="S8" s="618"/>
      <c r="T8" s="618"/>
      <c r="U8" s="618"/>
      <c r="V8" s="618"/>
      <c r="W8" s="618"/>
    </row>
    <row r="9" spans="1:23" s="619" customFormat="1" ht="21.95" customHeight="1">
      <c r="A9" s="1475"/>
      <c r="B9" s="889" t="s">
        <v>516</v>
      </c>
      <c r="C9" s="837" t="s">
        <v>349</v>
      </c>
      <c r="D9" s="907">
        <v>193</v>
      </c>
      <c r="E9" s="907">
        <v>280</v>
      </c>
      <c r="F9" s="907">
        <v>195</v>
      </c>
      <c r="G9" s="907">
        <v>199</v>
      </c>
      <c r="H9" s="907">
        <v>209</v>
      </c>
      <c r="I9" s="907">
        <v>296</v>
      </c>
      <c r="J9" s="907">
        <v>123</v>
      </c>
      <c r="K9" s="870">
        <f>J9/F9%</f>
        <v>63.07692307692308</v>
      </c>
      <c r="L9" s="870">
        <f>J9/I9%</f>
        <v>41.554054054054056</v>
      </c>
      <c r="M9" s="1337"/>
      <c r="N9" s="655">
        <v>296</v>
      </c>
      <c r="O9" s="1607">
        <f>I9-N9</f>
        <v>0</v>
      </c>
      <c r="P9" s="769"/>
      <c r="Q9" s="768"/>
      <c r="R9" s="618"/>
      <c r="S9" s="618"/>
      <c r="T9" s="618"/>
      <c r="U9" s="618"/>
      <c r="V9" s="618"/>
      <c r="W9" s="618"/>
    </row>
    <row r="10" spans="1:23" s="619" customFormat="1" ht="36" customHeight="1">
      <c r="A10" s="1476"/>
      <c r="B10" s="847" t="s">
        <v>517</v>
      </c>
      <c r="C10" s="837" t="s">
        <v>518</v>
      </c>
      <c r="D10" s="907">
        <v>50000</v>
      </c>
      <c r="E10" s="907">
        <v>45269</v>
      </c>
      <c r="F10" s="907">
        <v>22650</v>
      </c>
      <c r="G10" s="907">
        <v>40986</v>
      </c>
      <c r="H10" s="907">
        <v>45269</v>
      </c>
      <c r="I10" s="907">
        <v>45279</v>
      </c>
      <c r="J10" s="907">
        <v>38193</v>
      </c>
      <c r="K10" s="870">
        <f t="shared" ref="K10:K25" si="0">J10/F10%</f>
        <v>168.6225165562914</v>
      </c>
      <c r="L10" s="870">
        <f t="shared" ref="L10:L25" si="1">J10/I10%</f>
        <v>84.350361094547139</v>
      </c>
      <c r="M10" s="1337"/>
      <c r="N10" s="655">
        <v>36878</v>
      </c>
      <c r="O10" s="1607">
        <f>I10-N10</f>
        <v>8401</v>
      </c>
      <c r="P10" s="769"/>
      <c r="Q10" s="768"/>
      <c r="R10" s="620"/>
      <c r="S10" s="618"/>
      <c r="T10" s="618"/>
      <c r="U10" s="618"/>
      <c r="V10" s="618"/>
      <c r="W10" s="618"/>
    </row>
    <row r="11" spans="1:23" s="618" customFormat="1" ht="22.5" hidden="1" customHeight="1">
      <c r="A11" s="1475"/>
      <c r="B11" s="889" t="s">
        <v>519</v>
      </c>
      <c r="C11" s="837" t="s">
        <v>518</v>
      </c>
      <c r="D11" s="1094"/>
      <c r="E11" s="1094"/>
      <c r="F11" s="1094"/>
      <c r="G11" s="1094"/>
      <c r="H11" s="1094"/>
      <c r="I11" s="1094"/>
      <c r="J11" s="1094"/>
      <c r="K11" s="870" t="e">
        <f t="shared" si="0"/>
        <v>#DIV/0!</v>
      </c>
      <c r="L11" s="870" t="e">
        <f t="shared" si="1"/>
        <v>#DIV/0!</v>
      </c>
      <c r="M11" s="1337"/>
      <c r="N11" s="1607"/>
      <c r="O11" s="1607">
        <f>I11-N11</f>
        <v>0</v>
      </c>
      <c r="P11" s="769"/>
      <c r="Q11" s="769"/>
      <c r="R11" s="620"/>
    </row>
    <row r="12" spans="1:23" s="619" customFormat="1" ht="36" customHeight="1">
      <c r="A12" s="1475"/>
      <c r="B12" s="847" t="s">
        <v>520</v>
      </c>
      <c r="C12" s="837" t="s">
        <v>518</v>
      </c>
      <c r="D12" s="907">
        <v>4293</v>
      </c>
      <c r="E12" s="907">
        <v>5251</v>
      </c>
      <c r="F12" s="907">
        <v>2630</v>
      </c>
      <c r="G12" s="907">
        <v>4056</v>
      </c>
      <c r="H12" s="907">
        <v>5251</v>
      </c>
      <c r="I12" s="907">
        <v>6103</v>
      </c>
      <c r="J12" s="907">
        <v>5676</v>
      </c>
      <c r="K12" s="870">
        <f t="shared" si="0"/>
        <v>215.81749049429658</v>
      </c>
      <c r="L12" s="870">
        <f t="shared" si="1"/>
        <v>93.00344093068982</v>
      </c>
      <c r="M12" s="1337"/>
      <c r="N12" s="655">
        <v>6103</v>
      </c>
      <c r="O12" s="1607">
        <f>I12-N12</f>
        <v>0</v>
      </c>
      <c r="P12" s="769"/>
      <c r="Q12" s="769"/>
      <c r="R12" s="620"/>
      <c r="S12" s="618"/>
      <c r="T12" s="618"/>
      <c r="U12" s="618"/>
      <c r="V12" s="618"/>
      <c r="W12" s="618"/>
    </row>
    <row r="13" spans="1:23" s="619" customFormat="1" ht="21.95" customHeight="1">
      <c r="A13" s="1475"/>
      <c r="B13" s="1498" t="s">
        <v>523</v>
      </c>
      <c r="C13" s="1492" t="s">
        <v>33</v>
      </c>
      <c r="D13" s="907">
        <v>14</v>
      </c>
      <c r="E13" s="907">
        <v>14</v>
      </c>
      <c r="F13" s="907">
        <v>14</v>
      </c>
      <c r="G13" s="907">
        <v>14</v>
      </c>
      <c r="H13" s="907">
        <v>14</v>
      </c>
      <c r="I13" s="907">
        <v>14</v>
      </c>
      <c r="J13" s="907">
        <v>14</v>
      </c>
      <c r="K13" s="870">
        <f t="shared" si="0"/>
        <v>99.999999999999986</v>
      </c>
      <c r="L13" s="870">
        <f t="shared" si="1"/>
        <v>99.999999999999986</v>
      </c>
      <c r="M13" s="1337"/>
      <c r="N13" s="655">
        <v>14</v>
      </c>
      <c r="O13" s="1607">
        <f>I13-N13</f>
        <v>0</v>
      </c>
      <c r="P13" s="769"/>
      <c r="Q13" s="769"/>
      <c r="R13" s="618"/>
      <c r="S13" s="618"/>
      <c r="T13" s="618"/>
      <c r="U13" s="618"/>
      <c r="V13" s="618"/>
      <c r="W13" s="618"/>
    </row>
    <row r="14" spans="1:23" s="619" customFormat="1" ht="21.95" customHeight="1">
      <c r="A14" s="1477">
        <v>2</v>
      </c>
      <c r="B14" s="1499" t="s">
        <v>524</v>
      </c>
      <c r="C14" s="1494"/>
      <c r="D14" s="870"/>
      <c r="E14" s="870"/>
      <c r="F14" s="870"/>
      <c r="G14" s="870"/>
      <c r="H14" s="870"/>
      <c r="I14" s="870"/>
      <c r="J14" s="870"/>
      <c r="K14" s="870"/>
      <c r="L14" s="870"/>
      <c r="M14" s="1337"/>
      <c r="N14" s="1607"/>
      <c r="O14" s="1607"/>
      <c r="P14" s="769"/>
      <c r="Q14" s="769"/>
      <c r="R14" s="618"/>
      <c r="S14" s="618"/>
      <c r="T14" s="618"/>
      <c r="U14" s="618"/>
      <c r="V14" s="618"/>
      <c r="W14" s="618"/>
    </row>
    <row r="15" spans="1:23" s="619" customFormat="1" ht="54" customHeight="1">
      <c r="A15" s="1478" t="s">
        <v>150</v>
      </c>
      <c r="B15" s="1500" t="s">
        <v>751</v>
      </c>
      <c r="C15" s="1494" t="s">
        <v>26</v>
      </c>
      <c r="D15" s="1479">
        <v>93.3</v>
      </c>
      <c r="E15" s="907">
        <v>95</v>
      </c>
      <c r="F15" s="907" t="s">
        <v>869</v>
      </c>
      <c r="G15" s="907" t="s">
        <v>877</v>
      </c>
      <c r="H15" s="907">
        <v>95</v>
      </c>
      <c r="I15" s="907">
        <v>100</v>
      </c>
      <c r="J15" s="907">
        <v>96</v>
      </c>
      <c r="K15" s="870">
        <f t="shared" si="0"/>
        <v>102.78372591006423</v>
      </c>
      <c r="L15" s="870">
        <f t="shared" si="1"/>
        <v>96</v>
      </c>
      <c r="M15" s="1337"/>
      <c r="N15" s="655">
        <v>100</v>
      </c>
      <c r="O15" s="1607">
        <f t="shared" ref="O15:O22" si="2">I15-N15</f>
        <v>0</v>
      </c>
      <c r="P15" s="769"/>
      <c r="Q15" s="769"/>
      <c r="R15" s="618"/>
      <c r="S15" s="618"/>
      <c r="T15" s="618"/>
      <c r="U15" s="618"/>
      <c r="V15" s="618"/>
      <c r="W15" s="618"/>
    </row>
    <row r="16" spans="1:23" s="619" customFormat="1" ht="21.95" customHeight="1">
      <c r="A16" s="1478" t="s">
        <v>153</v>
      </c>
      <c r="B16" s="1501" t="s">
        <v>525</v>
      </c>
      <c r="C16" s="1495" t="s">
        <v>526</v>
      </c>
      <c r="D16" s="1458">
        <v>6853</v>
      </c>
      <c r="E16" s="1449">
        <v>6800</v>
      </c>
      <c r="F16" s="1449">
        <v>3508</v>
      </c>
      <c r="G16" s="1449">
        <v>5160</v>
      </c>
      <c r="H16" s="1449">
        <v>6800</v>
      </c>
      <c r="I16" s="1449">
        <v>6800</v>
      </c>
      <c r="J16" s="1449">
        <v>3508</v>
      </c>
      <c r="K16" s="870">
        <f t="shared" si="0"/>
        <v>100</v>
      </c>
      <c r="L16" s="870">
        <f t="shared" si="1"/>
        <v>51.588235294117645</v>
      </c>
      <c r="M16" s="1337"/>
      <c r="N16" s="655">
        <v>6800</v>
      </c>
      <c r="O16" s="1607">
        <f t="shared" si="2"/>
        <v>0</v>
      </c>
      <c r="P16" s="769">
        <f>89+9058</f>
        <v>9147</v>
      </c>
      <c r="Q16" s="769"/>
      <c r="R16" s="621"/>
      <c r="S16" s="622"/>
      <c r="T16" s="618"/>
      <c r="U16" s="618"/>
      <c r="V16" s="618"/>
      <c r="W16" s="618"/>
    </row>
    <row r="17" spans="1:23" s="619" customFormat="1" ht="36" customHeight="1">
      <c r="A17" s="1478"/>
      <c r="B17" s="1502" t="s">
        <v>752</v>
      </c>
      <c r="C17" s="1495" t="s">
        <v>526</v>
      </c>
      <c r="D17" s="1458">
        <v>160</v>
      </c>
      <c r="E17" s="1480">
        <v>160</v>
      </c>
      <c r="F17" s="1480">
        <v>82</v>
      </c>
      <c r="G17" s="1480">
        <f>G19</f>
        <v>125</v>
      </c>
      <c r="H17" s="1480">
        <v>160</v>
      </c>
      <c r="I17" s="1480">
        <v>160</v>
      </c>
      <c r="J17" s="1480">
        <v>82</v>
      </c>
      <c r="K17" s="870">
        <f t="shared" si="0"/>
        <v>100</v>
      </c>
      <c r="L17" s="870">
        <f t="shared" si="1"/>
        <v>51.25</v>
      </c>
      <c r="M17" s="1337"/>
      <c r="N17" s="1607">
        <v>160</v>
      </c>
      <c r="O17" s="1607">
        <f t="shared" si="2"/>
        <v>0</v>
      </c>
      <c r="P17" s="769"/>
      <c r="Q17" s="769"/>
      <c r="R17" s="618"/>
      <c r="S17" s="618"/>
      <c r="T17" s="618"/>
      <c r="U17" s="618"/>
      <c r="V17" s="618"/>
      <c r="W17" s="618"/>
    </row>
    <row r="18" spans="1:23" s="623" customFormat="1" ht="21.95" hidden="1" customHeight="1">
      <c r="A18" s="1481"/>
      <c r="B18" s="1503" t="s">
        <v>527</v>
      </c>
      <c r="C18" s="1496" t="s">
        <v>526</v>
      </c>
      <c r="D18" s="1125"/>
      <c r="E18" s="1482"/>
      <c r="F18" s="1482"/>
      <c r="G18" s="1482"/>
      <c r="H18" s="1482"/>
      <c r="I18" s="1482"/>
      <c r="J18" s="1482"/>
      <c r="K18" s="870" t="e">
        <f t="shared" si="0"/>
        <v>#DIV/0!</v>
      </c>
      <c r="L18" s="870" t="e">
        <f t="shared" si="1"/>
        <v>#DIV/0!</v>
      </c>
      <c r="M18" s="1324"/>
      <c r="N18" s="1608"/>
      <c r="O18" s="1607">
        <f t="shared" si="2"/>
        <v>0</v>
      </c>
      <c r="P18" s="771"/>
      <c r="Q18" s="771"/>
    </row>
    <row r="19" spans="1:23" s="623" customFormat="1" ht="21.95" hidden="1" customHeight="1">
      <c r="A19" s="1481"/>
      <c r="B19" s="1503" t="s">
        <v>557</v>
      </c>
      <c r="C19" s="1496" t="s">
        <v>526</v>
      </c>
      <c r="D19" s="1483">
        <v>160</v>
      </c>
      <c r="E19" s="1484">
        <v>160</v>
      </c>
      <c r="F19" s="1484">
        <v>82</v>
      </c>
      <c r="G19" s="1484">
        <v>125</v>
      </c>
      <c r="H19" s="1484"/>
      <c r="I19" s="1484"/>
      <c r="J19" s="1484"/>
      <c r="K19" s="870">
        <f t="shared" si="0"/>
        <v>0</v>
      </c>
      <c r="L19" s="870" t="e">
        <f t="shared" si="1"/>
        <v>#DIV/0!</v>
      </c>
      <c r="M19" s="1324"/>
      <c r="N19" s="1608">
        <v>160</v>
      </c>
      <c r="O19" s="1607">
        <f t="shared" si="2"/>
        <v>-160</v>
      </c>
      <c r="P19" s="771"/>
      <c r="Q19" s="771"/>
    </row>
    <row r="20" spans="1:23" s="619" customFormat="1" ht="56.25" hidden="1" customHeight="1">
      <c r="A20" s="1478" t="s">
        <v>153</v>
      </c>
      <c r="B20" s="1502" t="s">
        <v>521</v>
      </c>
      <c r="C20" s="1495" t="s">
        <v>526</v>
      </c>
      <c r="D20" s="1446"/>
      <c r="E20" s="1485"/>
      <c r="F20" s="1485"/>
      <c r="G20" s="1485"/>
      <c r="H20" s="1485"/>
      <c r="I20" s="1485"/>
      <c r="J20" s="1485"/>
      <c r="K20" s="870" t="e">
        <f t="shared" si="0"/>
        <v>#DIV/0!</v>
      </c>
      <c r="L20" s="870" t="e">
        <f t="shared" si="1"/>
        <v>#DIV/0!</v>
      </c>
      <c r="M20" s="1337"/>
      <c r="N20" s="1607"/>
      <c r="O20" s="1607">
        <f t="shared" si="2"/>
        <v>0</v>
      </c>
      <c r="P20" s="769"/>
      <c r="Q20" s="769"/>
      <c r="R20" s="621"/>
      <c r="S20" s="622"/>
      <c r="T20" s="618"/>
      <c r="U20" s="618"/>
      <c r="V20" s="618"/>
      <c r="W20" s="618"/>
    </row>
    <row r="21" spans="1:23" s="619" customFormat="1" ht="34.5" hidden="1" customHeight="1">
      <c r="A21" s="1478"/>
      <c r="B21" s="1502" t="s">
        <v>654</v>
      </c>
      <c r="C21" s="1495" t="s">
        <v>526</v>
      </c>
      <c r="D21" s="1446"/>
      <c r="E21" s="1485"/>
      <c r="F21" s="1485"/>
      <c r="G21" s="1485"/>
      <c r="H21" s="1485"/>
      <c r="I21" s="1485"/>
      <c r="J21" s="1485"/>
      <c r="K21" s="870" t="e">
        <f t="shared" si="0"/>
        <v>#DIV/0!</v>
      </c>
      <c r="L21" s="870" t="e">
        <f t="shared" si="1"/>
        <v>#DIV/0!</v>
      </c>
      <c r="M21" s="1337"/>
      <c r="N21" s="1607"/>
      <c r="O21" s="1607">
        <f t="shared" si="2"/>
        <v>0</v>
      </c>
      <c r="P21" s="769"/>
      <c r="Q21" s="769"/>
      <c r="R21" s="624"/>
      <c r="S21" s="618"/>
      <c r="T21" s="618"/>
      <c r="U21" s="618"/>
      <c r="V21" s="618"/>
      <c r="W21" s="618"/>
    </row>
    <row r="22" spans="1:23" s="1997" customFormat="1" ht="36" customHeight="1">
      <c r="A22" s="1477">
        <v>3</v>
      </c>
      <c r="B22" s="1499" t="s">
        <v>949</v>
      </c>
      <c r="C22" s="1991" t="s">
        <v>526</v>
      </c>
      <c r="D22" s="1111">
        <v>14</v>
      </c>
      <c r="E22" s="1111">
        <f t="shared" ref="E22:F22" si="3">SUM(E24:E25)</f>
        <v>14</v>
      </c>
      <c r="F22" s="1111">
        <f t="shared" si="3"/>
        <v>13</v>
      </c>
      <c r="G22" s="1111">
        <f>G24+G25</f>
        <v>13</v>
      </c>
      <c r="H22" s="1111">
        <v>14</v>
      </c>
      <c r="I22" s="1111">
        <v>14</v>
      </c>
      <c r="J22" s="1111">
        <v>14</v>
      </c>
      <c r="K22" s="844">
        <f t="shared" si="0"/>
        <v>107.69230769230769</v>
      </c>
      <c r="L22" s="844">
        <f t="shared" si="1"/>
        <v>99.999999999999986</v>
      </c>
      <c r="M22" s="1992"/>
      <c r="N22" s="1244">
        <v>14</v>
      </c>
      <c r="O22" s="1993">
        <f t="shared" si="2"/>
        <v>0</v>
      </c>
      <c r="P22" s="1994"/>
      <c r="Q22" s="1995"/>
      <c r="R22" s="1996"/>
      <c r="U22" s="1998"/>
    </row>
    <row r="23" spans="1:23" s="619" customFormat="1" ht="21.95" customHeight="1">
      <c r="A23" s="1477"/>
      <c r="B23" s="1501" t="s">
        <v>206</v>
      </c>
      <c r="C23" s="1495"/>
      <c r="D23" s="863"/>
      <c r="E23" s="1486"/>
      <c r="F23" s="1486"/>
      <c r="G23" s="1486"/>
      <c r="H23" s="1486"/>
      <c r="I23" s="1486"/>
      <c r="J23" s="1486"/>
      <c r="K23" s="870"/>
      <c r="L23" s="870"/>
      <c r="M23" s="1337"/>
      <c r="N23" s="136"/>
      <c r="O23" s="1607"/>
      <c r="P23" s="751"/>
      <c r="Q23" s="769"/>
      <c r="R23" s="624"/>
      <c r="S23" s="618"/>
      <c r="T23" s="618"/>
      <c r="U23" s="620"/>
      <c r="V23" s="618"/>
      <c r="W23" s="618"/>
    </row>
    <row r="24" spans="1:23" s="619" customFormat="1" ht="21.95" customHeight="1">
      <c r="A24" s="1477"/>
      <c r="B24" s="1502" t="s">
        <v>999</v>
      </c>
      <c r="C24" s="1495" t="s">
        <v>349</v>
      </c>
      <c r="D24" s="863">
        <v>6</v>
      </c>
      <c r="E24" s="1486">
        <v>6</v>
      </c>
      <c r="F24" s="1486">
        <v>5</v>
      </c>
      <c r="G24" s="1486">
        <v>5</v>
      </c>
      <c r="H24" s="1486">
        <v>6</v>
      </c>
      <c r="I24" s="1486">
        <v>6</v>
      </c>
      <c r="J24" s="1486">
        <v>3</v>
      </c>
      <c r="K24" s="870">
        <f t="shared" si="0"/>
        <v>60</v>
      </c>
      <c r="L24" s="870">
        <f t="shared" si="1"/>
        <v>50</v>
      </c>
      <c r="M24" s="1337"/>
      <c r="N24" s="136">
        <v>6</v>
      </c>
      <c r="O24" s="1607">
        <f>I24-N24</f>
        <v>0</v>
      </c>
      <c r="P24" s="751"/>
      <c r="Q24" s="769"/>
      <c r="R24" s="624"/>
      <c r="S24" s="618"/>
      <c r="T24" s="618"/>
      <c r="U24" s="620"/>
      <c r="V24" s="618"/>
      <c r="W24" s="618"/>
    </row>
    <row r="25" spans="1:23" s="602" customFormat="1" ht="21.95" customHeight="1">
      <c r="A25" s="1487"/>
      <c r="B25" s="1990" t="s">
        <v>1000</v>
      </c>
      <c r="C25" s="1488" t="s">
        <v>349</v>
      </c>
      <c r="D25" s="1489">
        <v>8</v>
      </c>
      <c r="E25" s="1490">
        <v>8</v>
      </c>
      <c r="F25" s="1490">
        <v>8</v>
      </c>
      <c r="G25" s="1490">
        <v>8</v>
      </c>
      <c r="H25" s="1490">
        <v>8</v>
      </c>
      <c r="I25" s="1490">
        <v>8</v>
      </c>
      <c r="J25" s="1490">
        <v>11</v>
      </c>
      <c r="K25" s="870">
        <f t="shared" si="0"/>
        <v>137.5</v>
      </c>
      <c r="L25" s="870">
        <f t="shared" si="1"/>
        <v>137.5</v>
      </c>
      <c r="M25" s="1491"/>
      <c r="N25" s="584">
        <v>8</v>
      </c>
      <c r="O25" s="1607">
        <f>I25-N25</f>
        <v>0</v>
      </c>
      <c r="P25" s="763"/>
      <c r="Q25" s="764"/>
      <c r="R25" s="404"/>
      <c r="S25" s="404"/>
      <c r="T25" s="404"/>
      <c r="U25" s="404"/>
      <c r="V25" s="404"/>
      <c r="W25" s="404"/>
    </row>
    <row r="26" spans="1:23" ht="75" customHeight="1">
      <c r="A26" s="625"/>
      <c r="B26" s="626"/>
      <c r="C26" s="627"/>
      <c r="D26" s="628"/>
      <c r="E26" s="628"/>
      <c r="F26" s="628"/>
      <c r="G26" s="628"/>
      <c r="H26" s="628"/>
      <c r="I26" s="628"/>
      <c r="J26" s="628"/>
      <c r="K26" s="628"/>
      <c r="L26" s="628"/>
      <c r="M26" s="629"/>
      <c r="Q26" s="764"/>
      <c r="R26" s="404"/>
      <c r="S26" s="404"/>
      <c r="T26" s="404"/>
      <c r="U26" s="404"/>
      <c r="V26" s="404"/>
      <c r="W26" s="404"/>
    </row>
    <row r="27" spans="1:23" ht="15.75" customHeight="1">
      <c r="A27" s="586"/>
      <c r="B27" s="629"/>
      <c r="C27" s="629"/>
      <c r="D27" s="585"/>
      <c r="E27" s="585"/>
      <c r="F27" s="585"/>
      <c r="G27" s="585"/>
      <c r="H27" s="585"/>
      <c r="I27" s="585"/>
      <c r="J27" s="585"/>
      <c r="K27" s="585"/>
      <c r="L27" s="585"/>
      <c r="M27" s="629"/>
      <c r="Q27" s="764"/>
      <c r="R27" s="404"/>
      <c r="S27" s="404"/>
      <c r="T27" s="404"/>
      <c r="U27" s="404"/>
      <c r="V27" s="404"/>
      <c r="W27" s="404"/>
    </row>
    <row r="28" spans="1:23" ht="21" customHeight="1">
      <c r="A28" s="2133"/>
      <c r="B28" s="2133"/>
      <c r="C28" s="2133"/>
      <c r="D28" s="2133"/>
      <c r="E28" s="2133"/>
      <c r="F28" s="2133"/>
      <c r="G28" s="2133"/>
      <c r="H28" s="2133"/>
      <c r="I28" s="2133"/>
      <c r="J28" s="2133"/>
      <c r="K28" s="2133"/>
      <c r="L28" s="2133"/>
      <c r="M28" s="2133"/>
      <c r="Q28" s="764"/>
      <c r="R28" s="404"/>
      <c r="S28" s="404"/>
      <c r="T28" s="404"/>
      <c r="U28" s="404"/>
      <c r="V28" s="404"/>
      <c r="W28" s="404"/>
    </row>
    <row r="29" spans="1:23" ht="15.75" customHeight="1">
      <c r="A29" s="574"/>
      <c r="B29" s="618"/>
      <c r="C29" s="618"/>
      <c r="D29" s="584"/>
      <c r="E29" s="584"/>
      <c r="F29" s="584"/>
      <c r="G29" s="584"/>
      <c r="H29" s="584"/>
      <c r="I29" s="584"/>
      <c r="J29" s="584"/>
      <c r="K29" s="584"/>
      <c r="L29" s="584"/>
      <c r="M29" s="618"/>
      <c r="Q29" s="764"/>
      <c r="R29" s="404"/>
      <c r="S29" s="404"/>
      <c r="T29" s="404"/>
      <c r="U29" s="404"/>
      <c r="V29" s="404"/>
      <c r="W29" s="404"/>
    </row>
    <row r="30" spans="1:23" ht="15.75" customHeight="1">
      <c r="A30" s="574"/>
      <c r="B30" s="618"/>
      <c r="C30" s="618"/>
      <c r="D30" s="584"/>
      <c r="E30" s="584"/>
      <c r="F30" s="584"/>
      <c r="G30" s="584"/>
      <c r="H30" s="584"/>
      <c r="I30" s="584"/>
      <c r="J30" s="584"/>
      <c r="K30" s="584"/>
      <c r="L30" s="584"/>
      <c r="M30" s="618"/>
      <c r="Q30" s="764"/>
      <c r="R30" s="404"/>
      <c r="S30" s="404"/>
      <c r="T30" s="404"/>
      <c r="U30" s="404"/>
      <c r="V30" s="404"/>
      <c r="W30" s="404"/>
    </row>
    <row r="31" spans="1:23" ht="15.75" customHeight="1">
      <c r="A31" s="574"/>
      <c r="B31" s="618"/>
      <c r="C31" s="618"/>
      <c r="D31" s="584"/>
      <c r="E31" s="584"/>
      <c r="F31" s="584"/>
      <c r="G31" s="584"/>
      <c r="H31" s="584"/>
      <c r="I31" s="584"/>
      <c r="J31" s="584"/>
      <c r="K31" s="584"/>
      <c r="L31" s="584"/>
      <c r="M31" s="618"/>
      <c r="Q31" s="764"/>
      <c r="R31" s="404"/>
      <c r="S31" s="404"/>
      <c r="T31" s="404"/>
      <c r="U31" s="404"/>
      <c r="V31" s="404"/>
      <c r="W31" s="404"/>
    </row>
    <row r="32" spans="1:23" ht="15.75" customHeight="1">
      <c r="A32" s="574"/>
      <c r="B32" s="618"/>
      <c r="C32" s="618"/>
      <c r="D32" s="584"/>
      <c r="E32" s="584"/>
      <c r="F32" s="584"/>
      <c r="G32" s="584"/>
      <c r="H32" s="584"/>
      <c r="I32" s="584"/>
      <c r="J32" s="584"/>
      <c r="K32" s="584"/>
      <c r="L32" s="584"/>
      <c r="M32" s="618"/>
      <c r="Q32" s="764"/>
      <c r="R32" s="404"/>
      <c r="S32" s="404"/>
      <c r="T32" s="404"/>
      <c r="U32" s="404"/>
      <c r="V32" s="404"/>
      <c r="W32" s="404"/>
    </row>
    <row r="33" spans="1:23" ht="15.75" customHeight="1">
      <c r="A33" s="574"/>
      <c r="B33" s="618"/>
      <c r="C33" s="618"/>
      <c r="D33" s="584"/>
      <c r="E33" s="584"/>
      <c r="F33" s="584"/>
      <c r="G33" s="584"/>
      <c r="H33" s="584"/>
      <c r="I33" s="584"/>
      <c r="J33" s="584"/>
      <c r="K33" s="584"/>
      <c r="L33" s="584"/>
      <c r="M33" s="618"/>
      <c r="Q33" s="764"/>
      <c r="R33" s="404"/>
      <c r="S33" s="404"/>
      <c r="T33" s="404"/>
      <c r="U33" s="404"/>
      <c r="V33" s="404"/>
      <c r="W33" s="404"/>
    </row>
    <row r="34" spans="1:23" ht="15.75" customHeight="1">
      <c r="A34" s="574"/>
      <c r="B34" s="618"/>
      <c r="C34" s="618"/>
      <c r="D34" s="584"/>
      <c r="E34" s="584"/>
      <c r="F34" s="584"/>
      <c r="G34" s="584"/>
      <c r="H34" s="584"/>
      <c r="I34" s="584"/>
      <c r="J34" s="584"/>
      <c r="K34" s="584"/>
      <c r="L34" s="584"/>
      <c r="M34" s="618"/>
      <c r="Q34" s="764"/>
      <c r="R34" s="404"/>
      <c r="S34" s="404"/>
      <c r="T34" s="404"/>
      <c r="U34" s="404"/>
      <c r="V34" s="404"/>
      <c r="W34" s="404"/>
    </row>
    <row r="35" spans="1:23" ht="15.75" customHeight="1">
      <c r="A35" s="574"/>
      <c r="B35" s="618"/>
      <c r="C35" s="618"/>
      <c r="D35" s="584"/>
      <c r="E35" s="584"/>
      <c r="F35" s="584"/>
      <c r="G35" s="584"/>
      <c r="H35" s="584"/>
      <c r="I35" s="584"/>
      <c r="J35" s="584"/>
      <c r="K35" s="584"/>
      <c r="L35" s="584"/>
      <c r="M35" s="618"/>
      <c r="Q35" s="764"/>
      <c r="R35" s="404"/>
      <c r="S35" s="404"/>
      <c r="T35" s="404"/>
      <c r="U35" s="404"/>
      <c r="V35" s="404"/>
      <c r="W35" s="404"/>
    </row>
    <row r="36" spans="1:23" ht="15.75" customHeight="1">
      <c r="A36" s="574"/>
      <c r="B36" s="618"/>
      <c r="C36" s="618"/>
      <c r="D36" s="584"/>
      <c r="E36" s="584"/>
      <c r="F36" s="584"/>
      <c r="G36" s="584"/>
      <c r="H36" s="584"/>
      <c r="I36" s="584"/>
      <c r="J36" s="584"/>
      <c r="K36" s="584"/>
      <c r="L36" s="584"/>
      <c r="M36" s="618"/>
      <c r="Q36" s="764"/>
      <c r="R36" s="404"/>
      <c r="S36" s="404"/>
      <c r="T36" s="404"/>
      <c r="U36" s="404"/>
      <c r="V36" s="404"/>
      <c r="W36" s="404"/>
    </row>
    <row r="37" spans="1:23" ht="15.75" customHeight="1">
      <c r="A37" s="574"/>
      <c r="B37" s="618"/>
      <c r="C37" s="618"/>
      <c r="D37" s="584"/>
      <c r="E37" s="584"/>
      <c r="F37" s="584"/>
      <c r="G37" s="584"/>
      <c r="H37" s="584"/>
      <c r="I37" s="584"/>
      <c r="J37" s="584"/>
      <c r="K37" s="584"/>
      <c r="L37" s="584"/>
      <c r="M37" s="618"/>
      <c r="Q37" s="764"/>
      <c r="R37" s="404"/>
      <c r="S37" s="404"/>
      <c r="T37" s="404"/>
      <c r="U37" s="404"/>
      <c r="V37" s="404"/>
      <c r="W37" s="404"/>
    </row>
    <row r="38" spans="1:23" ht="15.75" customHeight="1">
      <c r="A38" s="574"/>
      <c r="B38" s="618"/>
      <c r="C38" s="618"/>
      <c r="D38" s="584"/>
      <c r="E38" s="584"/>
      <c r="F38" s="584"/>
      <c r="G38" s="584"/>
      <c r="H38" s="584"/>
      <c r="I38" s="584"/>
      <c r="J38" s="584"/>
      <c r="K38" s="584"/>
      <c r="L38" s="584"/>
      <c r="M38" s="618"/>
      <c r="Q38" s="764"/>
      <c r="R38" s="404"/>
      <c r="S38" s="404"/>
      <c r="T38" s="404"/>
      <c r="U38" s="404"/>
      <c r="V38" s="404"/>
      <c r="W38" s="404"/>
    </row>
    <row r="39" spans="1:23" ht="15.75" customHeight="1">
      <c r="A39" s="574"/>
      <c r="B39" s="618"/>
      <c r="C39" s="618"/>
      <c r="D39" s="584"/>
      <c r="E39" s="584"/>
      <c r="F39" s="584"/>
      <c r="G39" s="584"/>
      <c r="H39" s="584"/>
      <c r="I39" s="584"/>
      <c r="J39" s="584"/>
      <c r="K39" s="584"/>
      <c r="L39" s="584"/>
      <c r="M39" s="618"/>
      <c r="Q39" s="764"/>
      <c r="R39" s="404"/>
      <c r="S39" s="404"/>
      <c r="T39" s="404"/>
      <c r="U39" s="404"/>
      <c r="V39" s="404"/>
      <c r="W39" s="404"/>
    </row>
    <row r="40" spans="1:23" ht="15.75" customHeight="1">
      <c r="A40" s="574"/>
      <c r="B40" s="618"/>
      <c r="C40" s="618"/>
      <c r="D40" s="584"/>
      <c r="E40" s="584"/>
      <c r="F40" s="584"/>
      <c r="G40" s="584"/>
      <c r="H40" s="584"/>
      <c r="I40" s="584"/>
      <c r="J40" s="584"/>
      <c r="K40" s="584"/>
      <c r="L40" s="584"/>
      <c r="M40" s="618"/>
      <c r="Q40" s="764"/>
      <c r="R40" s="404"/>
      <c r="S40" s="404"/>
      <c r="T40" s="404"/>
      <c r="U40" s="404"/>
      <c r="V40" s="404"/>
      <c r="W40" s="404"/>
    </row>
    <row r="41" spans="1:23" ht="15.75" customHeight="1">
      <c r="A41" s="574"/>
      <c r="B41" s="618"/>
      <c r="C41" s="618"/>
      <c r="D41" s="584"/>
      <c r="E41" s="584"/>
      <c r="F41" s="584"/>
      <c r="G41" s="584"/>
      <c r="H41" s="584"/>
      <c r="I41" s="584"/>
      <c r="J41" s="584"/>
      <c r="K41" s="584"/>
      <c r="L41" s="584"/>
      <c r="M41" s="618"/>
      <c r="Q41" s="764"/>
      <c r="R41" s="404"/>
      <c r="S41" s="404"/>
      <c r="T41" s="404"/>
      <c r="U41" s="404"/>
      <c r="V41" s="404"/>
      <c r="W41" s="404"/>
    </row>
    <row r="42" spans="1:23" ht="15.75" customHeight="1">
      <c r="A42" s="574"/>
      <c r="B42" s="618"/>
      <c r="C42" s="618"/>
      <c r="D42" s="584"/>
      <c r="E42" s="584"/>
      <c r="F42" s="584"/>
      <c r="G42" s="584"/>
      <c r="H42" s="584"/>
      <c r="I42" s="584"/>
      <c r="J42" s="584"/>
      <c r="K42" s="584"/>
      <c r="L42" s="584"/>
      <c r="M42" s="618"/>
      <c r="Q42" s="764"/>
      <c r="R42" s="404"/>
      <c r="S42" s="404"/>
      <c r="T42" s="404"/>
      <c r="U42" s="404"/>
      <c r="V42" s="404"/>
      <c r="W42" s="404"/>
    </row>
    <row r="43" spans="1:23" ht="15.75" customHeight="1">
      <c r="A43" s="574"/>
      <c r="B43" s="618"/>
      <c r="C43" s="618"/>
      <c r="D43" s="584"/>
      <c r="E43" s="584"/>
      <c r="F43" s="584"/>
      <c r="G43" s="584"/>
      <c r="H43" s="584"/>
      <c r="I43" s="584"/>
      <c r="J43" s="584"/>
      <c r="K43" s="584"/>
      <c r="L43" s="584"/>
      <c r="M43" s="618"/>
      <c r="Q43" s="764"/>
      <c r="R43" s="404"/>
      <c r="S43" s="404"/>
      <c r="T43" s="404"/>
      <c r="U43" s="404"/>
      <c r="V43" s="404"/>
      <c r="W43" s="404"/>
    </row>
    <row r="44" spans="1:23" ht="15.75" customHeight="1">
      <c r="A44" s="574"/>
      <c r="B44" s="618"/>
      <c r="C44" s="618"/>
      <c r="D44" s="584"/>
      <c r="E44" s="584"/>
      <c r="F44" s="584"/>
      <c r="G44" s="584"/>
      <c r="H44" s="584"/>
      <c r="I44" s="584"/>
      <c r="J44" s="584"/>
      <c r="K44" s="584"/>
      <c r="L44" s="584"/>
      <c r="M44" s="618"/>
      <c r="Q44" s="764"/>
      <c r="R44" s="404"/>
      <c r="S44" s="404"/>
      <c r="T44" s="404"/>
      <c r="U44" s="404"/>
      <c r="V44" s="404"/>
      <c r="W44" s="404"/>
    </row>
    <row r="45" spans="1:23" ht="15.75" customHeight="1">
      <c r="A45" s="574"/>
      <c r="B45" s="618"/>
      <c r="C45" s="618"/>
      <c r="D45" s="584"/>
      <c r="E45" s="584"/>
      <c r="F45" s="584"/>
      <c r="G45" s="584"/>
      <c r="H45" s="584"/>
      <c r="I45" s="584"/>
      <c r="J45" s="584"/>
      <c r="K45" s="584"/>
      <c r="L45" s="584"/>
      <c r="M45" s="618"/>
      <c r="Q45" s="764"/>
      <c r="R45" s="404"/>
      <c r="S45" s="404"/>
      <c r="T45" s="404"/>
      <c r="U45" s="404"/>
      <c r="V45" s="404"/>
      <c r="W45" s="404"/>
    </row>
    <row r="46" spans="1:23" ht="15.75" customHeight="1">
      <c r="A46" s="574"/>
      <c r="B46" s="618"/>
      <c r="C46" s="618"/>
      <c r="D46" s="584"/>
      <c r="E46" s="584"/>
      <c r="F46" s="584"/>
      <c r="G46" s="584"/>
      <c r="H46" s="584"/>
      <c r="I46" s="584"/>
      <c r="J46" s="584"/>
      <c r="K46" s="584"/>
      <c r="L46" s="584"/>
      <c r="M46" s="618"/>
      <c r="Q46" s="764"/>
      <c r="R46" s="404"/>
      <c r="S46" s="404"/>
      <c r="T46" s="404"/>
      <c r="U46" s="404"/>
      <c r="V46" s="404"/>
      <c r="W46" s="404"/>
    </row>
    <row r="47" spans="1:23" ht="15.75" customHeight="1">
      <c r="A47" s="574"/>
      <c r="B47" s="618"/>
      <c r="C47" s="618"/>
      <c r="D47" s="584"/>
      <c r="E47" s="584"/>
      <c r="F47" s="584"/>
      <c r="G47" s="584"/>
      <c r="H47" s="584"/>
      <c r="I47" s="584"/>
      <c r="J47" s="584"/>
      <c r="K47" s="584"/>
      <c r="L47" s="584"/>
      <c r="M47" s="618"/>
      <c r="Q47" s="764"/>
      <c r="R47" s="404"/>
      <c r="S47" s="404"/>
      <c r="T47" s="404"/>
      <c r="U47" s="404"/>
      <c r="V47" s="404"/>
      <c r="W47" s="404"/>
    </row>
    <row r="48" spans="1:23" ht="15.75" customHeight="1">
      <c r="A48" s="574"/>
      <c r="B48" s="618"/>
      <c r="C48" s="618"/>
      <c r="D48" s="584"/>
      <c r="E48" s="584"/>
      <c r="F48" s="584"/>
      <c r="G48" s="584"/>
      <c r="H48" s="584"/>
      <c r="I48" s="584"/>
      <c r="J48" s="584"/>
      <c r="K48" s="584"/>
      <c r="L48" s="584"/>
      <c r="M48" s="618"/>
      <c r="Q48" s="764"/>
      <c r="R48" s="404"/>
      <c r="S48" s="404"/>
      <c r="T48" s="404"/>
      <c r="U48" s="404"/>
      <c r="V48" s="404"/>
      <c r="W48" s="404"/>
    </row>
    <row r="49" spans="1:23" ht="15.75" customHeight="1">
      <c r="A49" s="574"/>
      <c r="B49" s="618"/>
      <c r="C49" s="618"/>
      <c r="D49" s="584"/>
      <c r="E49" s="584"/>
      <c r="F49" s="584"/>
      <c r="G49" s="584"/>
      <c r="H49" s="584"/>
      <c r="I49" s="584"/>
      <c r="J49" s="584"/>
      <c r="K49" s="584"/>
      <c r="L49" s="584"/>
      <c r="M49" s="618"/>
      <c r="Q49" s="764"/>
      <c r="R49" s="404"/>
      <c r="S49" s="404"/>
      <c r="T49" s="404"/>
      <c r="U49" s="404"/>
      <c r="V49" s="404"/>
      <c r="W49" s="404"/>
    </row>
    <row r="50" spans="1:23" ht="15.75" customHeight="1">
      <c r="A50" s="574"/>
      <c r="B50" s="618"/>
      <c r="C50" s="618"/>
      <c r="D50" s="584"/>
      <c r="E50" s="584"/>
      <c r="F50" s="584"/>
      <c r="G50" s="584"/>
      <c r="H50" s="584"/>
      <c r="I50" s="584"/>
      <c r="J50" s="584"/>
      <c r="K50" s="584"/>
      <c r="L50" s="584"/>
      <c r="M50" s="618"/>
      <c r="Q50" s="764"/>
      <c r="R50" s="404"/>
      <c r="S50" s="404"/>
      <c r="T50" s="404"/>
      <c r="U50" s="404"/>
      <c r="V50" s="404"/>
      <c r="W50" s="404"/>
    </row>
    <row r="51" spans="1:23" ht="15.75" customHeight="1">
      <c r="A51" s="574"/>
      <c r="B51" s="618"/>
      <c r="C51" s="618"/>
      <c r="D51" s="584"/>
      <c r="E51" s="584"/>
      <c r="F51" s="584"/>
      <c r="G51" s="584"/>
      <c r="H51" s="584"/>
      <c r="I51" s="584"/>
      <c r="J51" s="584"/>
      <c r="K51" s="584"/>
      <c r="L51" s="584"/>
      <c r="M51" s="618"/>
      <c r="Q51" s="764"/>
      <c r="R51" s="404"/>
      <c r="S51" s="404"/>
      <c r="T51" s="404"/>
      <c r="U51" s="404"/>
      <c r="V51" s="404"/>
      <c r="W51" s="404"/>
    </row>
    <row r="52" spans="1:23" ht="15.75" customHeight="1">
      <c r="A52" s="574"/>
      <c r="B52" s="618"/>
      <c r="C52" s="618"/>
      <c r="D52" s="584"/>
      <c r="E52" s="584"/>
      <c r="F52" s="584"/>
      <c r="G52" s="584"/>
      <c r="H52" s="584"/>
      <c r="I52" s="584"/>
      <c r="J52" s="584"/>
      <c r="K52" s="584"/>
      <c r="L52" s="584"/>
      <c r="M52" s="618"/>
      <c r="Q52" s="764"/>
      <c r="R52" s="404"/>
      <c r="S52" s="404"/>
      <c r="T52" s="404"/>
      <c r="U52" s="404"/>
      <c r="V52" s="404"/>
      <c r="W52" s="404"/>
    </row>
    <row r="53" spans="1:23" ht="15.75" customHeight="1">
      <c r="A53" s="574"/>
      <c r="B53" s="618"/>
      <c r="C53" s="618"/>
      <c r="D53" s="584"/>
      <c r="E53" s="584"/>
      <c r="F53" s="584"/>
      <c r="G53" s="584"/>
      <c r="H53" s="584"/>
      <c r="I53" s="584"/>
      <c r="J53" s="584"/>
      <c r="K53" s="584"/>
      <c r="L53" s="584"/>
      <c r="M53" s="618"/>
      <c r="Q53" s="764"/>
      <c r="R53" s="404"/>
      <c r="S53" s="404"/>
      <c r="T53" s="404"/>
      <c r="U53" s="404"/>
      <c r="V53" s="404"/>
      <c r="W53" s="404"/>
    </row>
    <row r="54" spans="1:23" ht="15.75" customHeight="1">
      <c r="A54" s="574"/>
      <c r="B54" s="618"/>
      <c r="C54" s="618"/>
      <c r="D54" s="584"/>
      <c r="E54" s="584"/>
      <c r="F54" s="584"/>
      <c r="G54" s="584"/>
      <c r="H54" s="584"/>
      <c r="I54" s="584"/>
      <c r="J54" s="584"/>
      <c r="K54" s="584"/>
      <c r="L54" s="584"/>
      <c r="M54" s="618"/>
      <c r="Q54" s="764"/>
      <c r="R54" s="404"/>
      <c r="S54" s="404"/>
      <c r="T54" s="404"/>
      <c r="U54" s="404"/>
      <c r="V54" s="404"/>
      <c r="W54" s="404"/>
    </row>
    <row r="55" spans="1:23" ht="15.75" customHeight="1">
      <c r="A55" s="574"/>
      <c r="B55" s="618"/>
      <c r="C55" s="618"/>
      <c r="D55" s="584"/>
      <c r="E55" s="584"/>
      <c r="F55" s="584"/>
      <c r="G55" s="584"/>
      <c r="H55" s="584"/>
      <c r="I55" s="584"/>
      <c r="J55" s="584"/>
      <c r="K55" s="584"/>
      <c r="L55" s="584"/>
      <c r="M55" s="618"/>
      <c r="Q55" s="764"/>
      <c r="R55" s="404"/>
      <c r="S55" s="404"/>
      <c r="T55" s="404"/>
      <c r="U55" s="404"/>
      <c r="V55" s="404"/>
      <c r="W55" s="404"/>
    </row>
    <row r="56" spans="1:23" ht="15.75" customHeight="1">
      <c r="A56" s="574"/>
      <c r="B56" s="618"/>
      <c r="C56" s="618"/>
      <c r="D56" s="584"/>
      <c r="E56" s="584"/>
      <c r="F56" s="584"/>
      <c r="G56" s="584"/>
      <c r="H56" s="584"/>
      <c r="I56" s="584"/>
      <c r="J56" s="584"/>
      <c r="K56" s="584"/>
      <c r="L56" s="584"/>
      <c r="M56" s="618"/>
      <c r="Q56" s="764"/>
      <c r="R56" s="404"/>
      <c r="S56" s="404"/>
      <c r="T56" s="404"/>
      <c r="U56" s="404"/>
      <c r="V56" s="404"/>
      <c r="W56" s="404"/>
    </row>
    <row r="57" spans="1:23" ht="15.75" customHeight="1">
      <c r="A57" s="574"/>
      <c r="B57" s="618"/>
      <c r="C57" s="618"/>
      <c r="D57" s="584"/>
      <c r="E57" s="584"/>
      <c r="F57" s="584"/>
      <c r="G57" s="584"/>
      <c r="H57" s="584"/>
      <c r="I57" s="584"/>
      <c r="J57" s="584"/>
      <c r="K57" s="584"/>
      <c r="L57" s="584"/>
      <c r="M57" s="618"/>
      <c r="Q57" s="764"/>
      <c r="R57" s="404"/>
      <c r="S57" s="404"/>
      <c r="T57" s="404"/>
      <c r="U57" s="404"/>
      <c r="V57" s="404"/>
      <c r="W57" s="404"/>
    </row>
    <row r="58" spans="1:23" ht="15.75" customHeight="1">
      <c r="A58" s="574"/>
      <c r="B58" s="618"/>
      <c r="C58" s="618"/>
      <c r="D58" s="584"/>
      <c r="E58" s="584"/>
      <c r="F58" s="584"/>
      <c r="G58" s="584"/>
      <c r="H58" s="584"/>
      <c r="I58" s="584"/>
      <c r="J58" s="584"/>
      <c r="K58" s="584"/>
      <c r="L58" s="584"/>
      <c r="M58" s="618"/>
      <c r="Q58" s="764"/>
      <c r="R58" s="404"/>
      <c r="S58" s="404"/>
      <c r="T58" s="404"/>
      <c r="U58" s="404"/>
      <c r="V58" s="404"/>
      <c r="W58" s="404"/>
    </row>
    <row r="59" spans="1:23" ht="15.75" customHeight="1">
      <c r="A59" s="574"/>
      <c r="B59" s="618"/>
      <c r="C59" s="618"/>
      <c r="D59" s="584"/>
      <c r="E59" s="584"/>
      <c r="F59" s="584"/>
      <c r="G59" s="584"/>
      <c r="H59" s="584"/>
      <c r="I59" s="584"/>
      <c r="J59" s="584"/>
      <c r="K59" s="584"/>
      <c r="L59" s="584"/>
      <c r="M59" s="618"/>
      <c r="Q59" s="764"/>
      <c r="R59" s="404"/>
      <c r="S59" s="404"/>
      <c r="T59" s="404"/>
      <c r="U59" s="404"/>
      <c r="V59" s="404"/>
      <c r="W59" s="404"/>
    </row>
    <row r="60" spans="1:23" ht="15.75" customHeight="1">
      <c r="A60" s="574"/>
      <c r="B60" s="618"/>
      <c r="C60" s="618"/>
      <c r="D60" s="584"/>
      <c r="E60" s="584"/>
      <c r="F60" s="584"/>
      <c r="G60" s="584"/>
      <c r="H60" s="584"/>
      <c r="I60" s="584"/>
      <c r="J60" s="584"/>
      <c r="K60" s="584"/>
      <c r="L60" s="584"/>
      <c r="M60" s="618"/>
      <c r="Q60" s="764"/>
      <c r="R60" s="404"/>
      <c r="S60" s="404"/>
      <c r="T60" s="404"/>
      <c r="U60" s="404"/>
      <c r="V60" s="404"/>
      <c r="W60" s="404"/>
    </row>
    <row r="61" spans="1:23" ht="15.75" customHeight="1">
      <c r="A61" s="574"/>
      <c r="B61" s="618"/>
      <c r="C61" s="618"/>
      <c r="D61" s="584"/>
      <c r="E61" s="584"/>
      <c r="F61" s="584"/>
      <c r="G61" s="584"/>
      <c r="H61" s="584"/>
      <c r="I61" s="584"/>
      <c r="J61" s="584"/>
      <c r="K61" s="584"/>
      <c r="L61" s="584"/>
      <c r="M61" s="618"/>
      <c r="Q61" s="764"/>
      <c r="R61" s="404"/>
      <c r="S61" s="404"/>
      <c r="T61" s="404"/>
      <c r="U61" s="404"/>
      <c r="V61" s="404"/>
      <c r="W61" s="404"/>
    </row>
    <row r="62" spans="1:23" ht="15.75" customHeight="1">
      <c r="A62" s="574"/>
      <c r="B62" s="618"/>
      <c r="C62" s="618"/>
      <c r="D62" s="584"/>
      <c r="E62" s="584"/>
      <c r="F62" s="584"/>
      <c r="G62" s="584"/>
      <c r="H62" s="584"/>
      <c r="I62" s="584"/>
      <c r="J62" s="584"/>
      <c r="K62" s="584"/>
      <c r="L62" s="584"/>
      <c r="M62" s="618"/>
      <c r="Q62" s="764"/>
      <c r="R62" s="404"/>
      <c r="S62" s="404"/>
      <c r="T62" s="404"/>
      <c r="U62" s="404"/>
      <c r="V62" s="404"/>
      <c r="W62" s="404"/>
    </row>
    <row r="63" spans="1:23" ht="15.75" customHeight="1">
      <c r="A63" s="574"/>
      <c r="B63" s="618"/>
      <c r="C63" s="618"/>
      <c r="D63" s="584"/>
      <c r="E63" s="584"/>
      <c r="F63" s="584"/>
      <c r="G63" s="584"/>
      <c r="H63" s="584"/>
      <c r="I63" s="584"/>
      <c r="J63" s="584"/>
      <c r="K63" s="584"/>
      <c r="L63" s="584"/>
      <c r="M63" s="618"/>
      <c r="Q63" s="764"/>
      <c r="R63" s="404"/>
      <c r="S63" s="404"/>
      <c r="T63" s="404"/>
      <c r="U63" s="404"/>
      <c r="V63" s="404"/>
      <c r="W63" s="404"/>
    </row>
    <row r="64" spans="1:23" ht="15.75" customHeight="1">
      <c r="A64" s="574"/>
      <c r="B64" s="618"/>
      <c r="C64" s="618"/>
      <c r="D64" s="584"/>
      <c r="E64" s="584"/>
      <c r="F64" s="584"/>
      <c r="G64" s="584"/>
      <c r="H64" s="584"/>
      <c r="I64" s="584"/>
      <c r="J64" s="584"/>
      <c r="K64" s="584"/>
      <c r="L64" s="584"/>
      <c r="M64" s="618"/>
      <c r="Q64" s="764"/>
      <c r="R64" s="404"/>
      <c r="S64" s="404"/>
      <c r="T64" s="404"/>
      <c r="U64" s="404"/>
      <c r="V64" s="404"/>
      <c r="W64" s="404"/>
    </row>
    <row r="65" spans="1:23" ht="15.75" customHeight="1">
      <c r="A65" s="574"/>
      <c r="B65" s="618"/>
      <c r="C65" s="618"/>
      <c r="D65" s="584"/>
      <c r="E65" s="584"/>
      <c r="F65" s="584"/>
      <c r="G65" s="584"/>
      <c r="H65" s="584"/>
      <c r="I65" s="584"/>
      <c r="J65" s="584"/>
      <c r="K65" s="584"/>
      <c r="L65" s="584"/>
      <c r="M65" s="618"/>
      <c r="Q65" s="764"/>
      <c r="R65" s="404"/>
      <c r="S65" s="404"/>
      <c r="T65" s="404"/>
      <c r="U65" s="404"/>
      <c r="V65" s="404"/>
      <c r="W65" s="404"/>
    </row>
    <row r="66" spans="1:23" ht="15.75" customHeight="1">
      <c r="A66" s="574"/>
      <c r="B66" s="618"/>
      <c r="C66" s="618"/>
      <c r="D66" s="584"/>
      <c r="E66" s="584"/>
      <c r="F66" s="584"/>
      <c r="G66" s="584"/>
      <c r="H66" s="584"/>
      <c r="I66" s="584"/>
      <c r="J66" s="584"/>
      <c r="K66" s="584"/>
      <c r="L66" s="584"/>
      <c r="M66" s="618"/>
      <c r="Q66" s="764"/>
      <c r="R66" s="404"/>
      <c r="S66" s="404"/>
      <c r="T66" s="404"/>
      <c r="U66" s="404"/>
      <c r="V66" s="404"/>
      <c r="W66" s="404"/>
    </row>
    <row r="67" spans="1:23" ht="15.75" customHeight="1">
      <c r="A67" s="574"/>
      <c r="B67" s="618"/>
      <c r="C67" s="618"/>
      <c r="D67" s="584"/>
      <c r="E67" s="584"/>
      <c r="F67" s="584"/>
      <c r="G67" s="584"/>
      <c r="H67" s="584"/>
      <c r="I67" s="584"/>
      <c r="J67" s="584"/>
      <c r="K67" s="584"/>
      <c r="L67" s="584"/>
      <c r="M67" s="618"/>
      <c r="Q67" s="764"/>
      <c r="R67" s="404"/>
      <c r="S67" s="404"/>
      <c r="T67" s="404"/>
      <c r="U67" s="404"/>
      <c r="V67" s="404"/>
      <c r="W67" s="404"/>
    </row>
    <row r="68" spans="1:23" ht="15.75" customHeight="1">
      <c r="A68" s="574"/>
      <c r="B68" s="618"/>
      <c r="C68" s="618"/>
      <c r="D68" s="584"/>
      <c r="E68" s="584"/>
      <c r="F68" s="584"/>
      <c r="G68" s="584"/>
      <c r="H68" s="584"/>
      <c r="I68" s="584"/>
      <c r="J68" s="584"/>
      <c r="K68" s="584"/>
      <c r="L68" s="584"/>
      <c r="M68" s="618"/>
      <c r="Q68" s="764"/>
      <c r="R68" s="404"/>
      <c r="S68" s="404"/>
      <c r="T68" s="404"/>
      <c r="U68" s="404"/>
      <c r="V68" s="404"/>
      <c r="W68" s="404"/>
    </row>
    <row r="69" spans="1:23" ht="15.75" customHeight="1">
      <c r="A69" s="574"/>
      <c r="B69" s="618"/>
      <c r="C69" s="618"/>
      <c r="D69" s="584"/>
      <c r="E69" s="584"/>
      <c r="F69" s="584"/>
      <c r="G69" s="584"/>
      <c r="H69" s="584"/>
      <c r="I69" s="584"/>
      <c r="J69" s="584"/>
      <c r="K69" s="584"/>
      <c r="L69" s="584"/>
      <c r="M69" s="618"/>
      <c r="Q69" s="764"/>
      <c r="R69" s="404"/>
      <c r="S69" s="404"/>
      <c r="T69" s="404"/>
      <c r="U69" s="404"/>
      <c r="V69" s="404"/>
      <c r="W69" s="404"/>
    </row>
    <row r="70" spans="1:23" ht="15.75" customHeight="1">
      <c r="A70" s="574"/>
      <c r="B70" s="618"/>
      <c r="C70" s="618"/>
      <c r="D70" s="584"/>
      <c r="E70" s="584"/>
      <c r="F70" s="584"/>
      <c r="G70" s="584"/>
      <c r="H70" s="584"/>
      <c r="I70" s="584"/>
      <c r="J70" s="584"/>
      <c r="K70" s="584"/>
      <c r="L70" s="584"/>
      <c r="M70" s="618"/>
      <c r="Q70" s="764"/>
      <c r="R70" s="404"/>
      <c r="S70" s="404"/>
      <c r="T70" s="404"/>
      <c r="U70" s="404"/>
      <c r="V70" s="404"/>
      <c r="W70" s="404"/>
    </row>
    <row r="71" spans="1:23" ht="15.75" customHeight="1">
      <c r="A71" s="574"/>
      <c r="B71" s="618"/>
      <c r="C71" s="618"/>
      <c r="D71" s="584"/>
      <c r="E71" s="584"/>
      <c r="F71" s="584"/>
      <c r="G71" s="584"/>
      <c r="H71" s="584"/>
      <c r="I71" s="584"/>
      <c r="J71" s="584"/>
      <c r="K71" s="584"/>
      <c r="L71" s="584"/>
      <c r="M71" s="618"/>
      <c r="Q71" s="764"/>
      <c r="R71" s="404"/>
      <c r="S71" s="404"/>
      <c r="T71" s="404"/>
      <c r="U71" s="404"/>
      <c r="V71" s="404"/>
      <c r="W71" s="404"/>
    </row>
    <row r="72" spans="1:23" ht="15.75" customHeight="1">
      <c r="A72" s="574"/>
      <c r="B72" s="618"/>
      <c r="C72" s="618"/>
      <c r="D72" s="584"/>
      <c r="E72" s="584"/>
      <c r="F72" s="584"/>
      <c r="G72" s="584"/>
      <c r="H72" s="584"/>
      <c r="I72" s="584"/>
      <c r="J72" s="584"/>
      <c r="K72" s="584"/>
      <c r="L72" s="584"/>
      <c r="M72" s="618"/>
      <c r="Q72" s="764"/>
      <c r="R72" s="404"/>
      <c r="S72" s="404"/>
      <c r="T72" s="404"/>
      <c r="U72" s="404"/>
      <c r="V72" s="404"/>
      <c r="W72" s="404"/>
    </row>
    <row r="73" spans="1:23" ht="15.75" customHeight="1">
      <c r="A73" s="574"/>
      <c r="B73" s="618"/>
      <c r="C73" s="618"/>
      <c r="D73" s="584"/>
      <c r="E73" s="584"/>
      <c r="F73" s="584"/>
      <c r="G73" s="584"/>
      <c r="H73" s="584"/>
      <c r="I73" s="584"/>
      <c r="J73" s="584"/>
      <c r="K73" s="584"/>
      <c r="L73" s="584"/>
      <c r="M73" s="618"/>
      <c r="Q73" s="764"/>
      <c r="R73" s="404"/>
      <c r="S73" s="404"/>
      <c r="T73" s="404"/>
      <c r="U73" s="404"/>
      <c r="V73" s="404"/>
      <c r="W73" s="404"/>
    </row>
    <row r="74" spans="1:23" ht="15.75" customHeight="1">
      <c r="A74" s="574"/>
      <c r="B74" s="618"/>
      <c r="C74" s="618"/>
      <c r="D74" s="584"/>
      <c r="E74" s="584"/>
      <c r="F74" s="584"/>
      <c r="G74" s="584"/>
      <c r="H74" s="584"/>
      <c r="I74" s="584"/>
      <c r="J74" s="584"/>
      <c r="K74" s="584"/>
      <c r="L74" s="584"/>
      <c r="M74" s="618"/>
      <c r="Q74" s="764"/>
      <c r="R74" s="404"/>
      <c r="S74" s="404"/>
      <c r="T74" s="404"/>
      <c r="U74" s="404"/>
      <c r="V74" s="404"/>
      <c r="W74" s="404"/>
    </row>
    <row r="75" spans="1:23" ht="15.75" customHeight="1">
      <c r="A75" s="574"/>
      <c r="B75" s="618"/>
      <c r="C75" s="618"/>
      <c r="D75" s="584"/>
      <c r="E75" s="584"/>
      <c r="F75" s="584"/>
      <c r="G75" s="584"/>
      <c r="H75" s="584"/>
      <c r="I75" s="584"/>
      <c r="J75" s="584"/>
      <c r="K75" s="584"/>
      <c r="L75" s="584"/>
      <c r="M75" s="618"/>
      <c r="Q75" s="764"/>
      <c r="R75" s="404"/>
      <c r="S75" s="404"/>
      <c r="T75" s="404"/>
      <c r="U75" s="404"/>
      <c r="V75" s="404"/>
      <c r="W75" s="404"/>
    </row>
    <row r="76" spans="1:23" ht="15.75" customHeight="1">
      <c r="A76" s="574"/>
      <c r="B76" s="618"/>
      <c r="C76" s="618"/>
      <c r="D76" s="584"/>
      <c r="E76" s="584"/>
      <c r="F76" s="584"/>
      <c r="G76" s="584"/>
      <c r="H76" s="584"/>
      <c r="I76" s="584"/>
      <c r="J76" s="584"/>
      <c r="K76" s="584"/>
      <c r="L76" s="584"/>
      <c r="M76" s="618"/>
      <c r="Q76" s="764"/>
      <c r="R76" s="404"/>
      <c r="S76" s="404"/>
      <c r="T76" s="404"/>
      <c r="U76" s="404"/>
      <c r="V76" s="404"/>
      <c r="W76" s="404"/>
    </row>
    <row r="77" spans="1:23" ht="15.75" customHeight="1">
      <c r="A77" s="574"/>
      <c r="B77" s="618"/>
      <c r="C77" s="618"/>
      <c r="D77" s="584"/>
      <c r="E77" s="584"/>
      <c r="F77" s="584"/>
      <c r="G77" s="584"/>
      <c r="H77" s="584"/>
      <c r="I77" s="584"/>
      <c r="J77" s="584"/>
      <c r="K77" s="584"/>
      <c r="L77" s="584"/>
      <c r="M77" s="618"/>
      <c r="Q77" s="764"/>
      <c r="R77" s="404"/>
      <c r="S77" s="404"/>
      <c r="T77" s="404"/>
      <c r="U77" s="404"/>
      <c r="V77" s="404"/>
      <c r="W77" s="404"/>
    </row>
    <row r="78" spans="1:23" ht="15.75" customHeight="1">
      <c r="A78" s="574"/>
      <c r="B78" s="618"/>
      <c r="C78" s="618"/>
      <c r="D78" s="584"/>
      <c r="E78" s="584"/>
      <c r="F78" s="584"/>
      <c r="G78" s="584"/>
      <c r="H78" s="584"/>
      <c r="I78" s="584"/>
      <c r="J78" s="584"/>
      <c r="K78" s="584"/>
      <c r="L78" s="584"/>
      <c r="M78" s="618"/>
      <c r="Q78" s="764"/>
      <c r="R78" s="404"/>
      <c r="S78" s="404"/>
      <c r="T78" s="404"/>
      <c r="U78" s="404"/>
      <c r="V78" s="404"/>
      <c r="W78" s="404"/>
    </row>
    <row r="79" spans="1:23" ht="15.75" customHeight="1">
      <c r="A79" s="574"/>
      <c r="B79" s="618"/>
      <c r="C79" s="618"/>
      <c r="D79" s="584"/>
      <c r="E79" s="584"/>
      <c r="F79" s="584"/>
      <c r="G79" s="584"/>
      <c r="H79" s="584"/>
      <c r="I79" s="584"/>
      <c r="J79" s="584"/>
      <c r="K79" s="584"/>
      <c r="L79" s="584"/>
      <c r="M79" s="618"/>
      <c r="Q79" s="764"/>
      <c r="R79" s="404"/>
      <c r="S79" s="404"/>
      <c r="T79" s="404"/>
      <c r="U79" s="404"/>
      <c r="V79" s="404"/>
      <c r="W79" s="404"/>
    </row>
    <row r="80" spans="1:23" ht="15.75" customHeight="1">
      <c r="A80" s="574"/>
      <c r="B80" s="618"/>
      <c r="C80" s="618"/>
      <c r="D80" s="584"/>
      <c r="E80" s="584"/>
      <c r="F80" s="584"/>
      <c r="G80" s="584"/>
      <c r="H80" s="584"/>
      <c r="I80" s="584"/>
      <c r="J80" s="584"/>
      <c r="K80" s="584"/>
      <c r="L80" s="584"/>
      <c r="M80" s="618"/>
      <c r="Q80" s="764"/>
      <c r="R80" s="404"/>
      <c r="S80" s="404"/>
      <c r="T80" s="404"/>
      <c r="U80" s="404"/>
      <c r="V80" s="404"/>
      <c r="W80" s="404"/>
    </row>
    <row r="81" spans="1:23" ht="15.75" customHeight="1">
      <c r="A81" s="574"/>
      <c r="B81" s="618"/>
      <c r="C81" s="618"/>
      <c r="D81" s="584"/>
      <c r="E81" s="584"/>
      <c r="F81" s="584"/>
      <c r="G81" s="584"/>
      <c r="H81" s="584"/>
      <c r="I81" s="584"/>
      <c r="J81" s="584"/>
      <c r="K81" s="584"/>
      <c r="L81" s="584"/>
      <c r="M81" s="618"/>
      <c r="Q81" s="764"/>
      <c r="R81" s="404"/>
      <c r="S81" s="404"/>
      <c r="T81" s="404"/>
      <c r="U81" s="404"/>
      <c r="V81" s="404"/>
      <c r="W81" s="404"/>
    </row>
    <row r="82" spans="1:23" ht="15.75" customHeight="1">
      <c r="A82" s="574"/>
      <c r="B82" s="618"/>
      <c r="C82" s="618"/>
      <c r="D82" s="584"/>
      <c r="E82" s="584"/>
      <c r="F82" s="584"/>
      <c r="G82" s="584"/>
      <c r="H82" s="584"/>
      <c r="I82" s="584"/>
      <c r="J82" s="584"/>
      <c r="K82" s="584"/>
      <c r="L82" s="584"/>
      <c r="M82" s="618"/>
      <c r="Q82" s="764"/>
      <c r="R82" s="404"/>
      <c r="S82" s="404"/>
      <c r="T82" s="404"/>
      <c r="U82" s="404"/>
      <c r="V82" s="404"/>
      <c r="W82" s="404"/>
    </row>
    <row r="83" spans="1:23" ht="15.75" customHeight="1">
      <c r="A83" s="574"/>
      <c r="B83" s="618"/>
      <c r="C83" s="618"/>
      <c r="D83" s="584"/>
      <c r="E83" s="584"/>
      <c r="F83" s="584"/>
      <c r="G83" s="584"/>
      <c r="H83" s="584"/>
      <c r="I83" s="584"/>
      <c r="J83" s="584"/>
      <c r="K83" s="584"/>
      <c r="L83" s="584"/>
      <c r="M83" s="618"/>
      <c r="Q83" s="764"/>
      <c r="R83" s="404"/>
      <c r="S83" s="404"/>
      <c r="T83" s="404"/>
      <c r="U83" s="404"/>
      <c r="V83" s="404"/>
      <c r="W83" s="404"/>
    </row>
    <row r="84" spans="1:23" ht="15.75" customHeight="1">
      <c r="A84" s="574"/>
      <c r="B84" s="618"/>
      <c r="C84" s="618"/>
      <c r="D84" s="584"/>
      <c r="E84" s="584"/>
      <c r="F84" s="584"/>
      <c r="G84" s="584"/>
      <c r="H84" s="584"/>
      <c r="I84" s="584"/>
      <c r="J84" s="584"/>
      <c r="K84" s="584"/>
      <c r="L84" s="584"/>
      <c r="M84" s="618"/>
      <c r="Q84" s="764"/>
      <c r="R84" s="404"/>
      <c r="S84" s="404"/>
      <c r="T84" s="404"/>
      <c r="U84" s="404"/>
      <c r="V84" s="404"/>
      <c r="W84" s="404"/>
    </row>
    <row r="85" spans="1:23" ht="15.75" customHeight="1">
      <c r="A85" s="574"/>
      <c r="B85" s="618"/>
      <c r="C85" s="618"/>
      <c r="D85" s="584"/>
      <c r="E85" s="584"/>
      <c r="F85" s="584"/>
      <c r="G85" s="584"/>
      <c r="H85" s="584"/>
      <c r="I85" s="584"/>
      <c r="J85" s="584"/>
      <c r="K85" s="584"/>
      <c r="L85" s="584"/>
      <c r="M85" s="618"/>
      <c r="Q85" s="764"/>
      <c r="R85" s="404"/>
      <c r="S85" s="404"/>
      <c r="T85" s="404"/>
      <c r="U85" s="404"/>
      <c r="V85" s="404"/>
      <c r="W85" s="404"/>
    </row>
    <row r="86" spans="1:23" ht="15.75" customHeight="1">
      <c r="A86" s="574"/>
      <c r="B86" s="618"/>
      <c r="C86" s="618"/>
      <c r="D86" s="584"/>
      <c r="E86" s="584"/>
      <c r="F86" s="584"/>
      <c r="G86" s="584"/>
      <c r="H86" s="584"/>
      <c r="I86" s="584"/>
      <c r="J86" s="584"/>
      <c r="K86" s="584"/>
      <c r="L86" s="584"/>
      <c r="M86" s="618"/>
      <c r="Q86" s="764"/>
      <c r="R86" s="404"/>
      <c r="S86" s="404"/>
      <c r="T86" s="404"/>
      <c r="U86" s="404"/>
      <c r="V86" s="404"/>
      <c r="W86" s="404"/>
    </row>
    <row r="87" spans="1:23" ht="15.75" customHeight="1">
      <c r="A87" s="574"/>
      <c r="B87" s="618"/>
      <c r="C87" s="618"/>
      <c r="D87" s="584"/>
      <c r="E87" s="584"/>
      <c r="F87" s="584"/>
      <c r="G87" s="584"/>
      <c r="H87" s="584"/>
      <c r="I87" s="584"/>
      <c r="J87" s="584"/>
      <c r="K87" s="584"/>
      <c r="L87" s="584"/>
      <c r="M87" s="618"/>
      <c r="Q87" s="764"/>
      <c r="R87" s="404"/>
      <c r="S87" s="404"/>
      <c r="T87" s="404"/>
      <c r="U87" s="404"/>
      <c r="V87" s="404"/>
      <c r="W87" s="404"/>
    </row>
    <row r="88" spans="1:23" ht="15.75" customHeight="1">
      <c r="A88" s="574"/>
      <c r="B88" s="618"/>
      <c r="C88" s="618"/>
      <c r="D88" s="584"/>
      <c r="E88" s="584"/>
      <c r="F88" s="584"/>
      <c r="G88" s="584"/>
      <c r="H88" s="584"/>
      <c r="I88" s="584"/>
      <c r="J88" s="584"/>
      <c r="K88" s="584"/>
      <c r="L88" s="584"/>
      <c r="M88" s="618"/>
      <c r="Q88" s="764"/>
      <c r="R88" s="404"/>
      <c r="S88" s="404"/>
      <c r="T88" s="404"/>
      <c r="U88" s="404"/>
      <c r="V88" s="404"/>
      <c r="W88" s="404"/>
    </row>
    <row r="89" spans="1:23" ht="15.75" customHeight="1">
      <c r="A89" s="574"/>
      <c r="B89" s="618"/>
      <c r="C89" s="618"/>
      <c r="D89" s="584"/>
      <c r="E89" s="584"/>
      <c r="F89" s="584"/>
      <c r="G89" s="584"/>
      <c r="H89" s="584"/>
      <c r="I89" s="584"/>
      <c r="J89" s="584"/>
      <c r="K89" s="584"/>
      <c r="L89" s="584"/>
      <c r="M89" s="618"/>
      <c r="Q89" s="764"/>
      <c r="R89" s="404"/>
      <c r="S89" s="404"/>
      <c r="T89" s="404"/>
      <c r="U89" s="404"/>
      <c r="V89" s="404"/>
      <c r="W89" s="404"/>
    </row>
    <row r="90" spans="1:23" ht="15.75" customHeight="1">
      <c r="A90" s="574"/>
      <c r="B90" s="618"/>
      <c r="C90" s="618"/>
      <c r="D90" s="584"/>
      <c r="E90" s="584"/>
      <c r="F90" s="584"/>
      <c r="G90" s="584"/>
      <c r="H90" s="584"/>
      <c r="I90" s="584"/>
      <c r="J90" s="584"/>
      <c r="K90" s="584"/>
      <c r="L90" s="584"/>
      <c r="M90" s="618"/>
      <c r="Q90" s="764"/>
      <c r="R90" s="404"/>
      <c r="S90" s="404"/>
      <c r="T90" s="404"/>
      <c r="U90" s="404"/>
      <c r="V90" s="404"/>
      <c r="W90" s="404"/>
    </row>
    <row r="91" spans="1:23" ht="15.75" customHeight="1">
      <c r="A91" s="574"/>
      <c r="B91" s="618"/>
      <c r="C91" s="618"/>
      <c r="D91" s="584"/>
      <c r="E91" s="584"/>
      <c r="F91" s="584"/>
      <c r="G91" s="584"/>
      <c r="H91" s="584"/>
      <c r="I91" s="584"/>
      <c r="J91" s="584"/>
      <c r="K91" s="584"/>
      <c r="L91" s="584"/>
      <c r="M91" s="618"/>
      <c r="Q91" s="764"/>
      <c r="R91" s="404"/>
      <c r="S91" s="404"/>
      <c r="T91" s="404"/>
      <c r="U91" s="404"/>
      <c r="V91" s="404"/>
      <c r="W91" s="404"/>
    </row>
    <row r="92" spans="1:23" ht="15.75" customHeight="1">
      <c r="A92" s="574"/>
      <c r="B92" s="618"/>
      <c r="C92" s="618"/>
      <c r="D92" s="584"/>
      <c r="E92" s="584"/>
      <c r="F92" s="584"/>
      <c r="G92" s="584"/>
      <c r="H92" s="584"/>
      <c r="I92" s="584"/>
      <c r="J92" s="584"/>
      <c r="K92" s="584"/>
      <c r="L92" s="584"/>
      <c r="M92" s="618"/>
      <c r="Q92" s="764"/>
      <c r="R92" s="404"/>
      <c r="S92" s="404"/>
      <c r="T92" s="404"/>
      <c r="U92" s="404"/>
      <c r="V92" s="404"/>
      <c r="W92" s="404"/>
    </row>
    <row r="93" spans="1:23" ht="15.75" customHeight="1">
      <c r="A93" s="574"/>
      <c r="B93" s="618"/>
      <c r="C93" s="618"/>
      <c r="D93" s="584"/>
      <c r="E93" s="584"/>
      <c r="F93" s="584"/>
      <c r="G93" s="584"/>
      <c r="H93" s="584"/>
      <c r="I93" s="584"/>
      <c r="J93" s="584"/>
      <c r="K93" s="584"/>
      <c r="L93" s="584"/>
      <c r="M93" s="618"/>
      <c r="Q93" s="764"/>
      <c r="R93" s="404"/>
      <c r="S93" s="404"/>
      <c r="T93" s="404"/>
      <c r="U93" s="404"/>
      <c r="V93" s="404"/>
      <c r="W93" s="404"/>
    </row>
    <row r="94" spans="1:23" ht="15.75" customHeight="1">
      <c r="A94" s="574"/>
      <c r="B94" s="618"/>
      <c r="C94" s="618"/>
      <c r="D94" s="584"/>
      <c r="E94" s="584"/>
      <c r="F94" s="584"/>
      <c r="G94" s="584"/>
      <c r="H94" s="584"/>
      <c r="I94" s="584"/>
      <c r="J94" s="584"/>
      <c r="K94" s="584"/>
      <c r="L94" s="584"/>
      <c r="M94" s="618"/>
      <c r="Q94" s="764"/>
      <c r="R94" s="404"/>
      <c r="S94" s="404"/>
      <c r="T94" s="404"/>
      <c r="U94" s="404"/>
      <c r="V94" s="404"/>
      <c r="W94" s="404"/>
    </row>
    <row r="95" spans="1:23" ht="15.75" customHeight="1">
      <c r="A95" s="574"/>
      <c r="B95" s="618"/>
      <c r="C95" s="618"/>
      <c r="D95" s="584"/>
      <c r="E95" s="584"/>
      <c r="F95" s="584"/>
      <c r="G95" s="584"/>
      <c r="H95" s="584"/>
      <c r="I95" s="584"/>
      <c r="J95" s="584"/>
      <c r="K95" s="584"/>
      <c r="L95" s="584"/>
      <c r="M95" s="618"/>
      <c r="Q95" s="764"/>
      <c r="R95" s="404"/>
      <c r="S95" s="404"/>
      <c r="T95" s="404"/>
      <c r="U95" s="404"/>
      <c r="V95" s="404"/>
      <c r="W95" s="404"/>
    </row>
    <row r="96" spans="1:23" ht="15.75" customHeight="1">
      <c r="A96" s="574"/>
      <c r="B96" s="618"/>
      <c r="C96" s="618"/>
      <c r="D96" s="584"/>
      <c r="E96" s="584"/>
      <c r="F96" s="584"/>
      <c r="G96" s="584"/>
      <c r="H96" s="584"/>
      <c r="I96" s="584"/>
      <c r="J96" s="584"/>
      <c r="K96" s="584"/>
      <c r="L96" s="584"/>
      <c r="M96" s="618"/>
      <c r="Q96" s="764"/>
      <c r="R96" s="404"/>
      <c r="S96" s="404"/>
      <c r="T96" s="404"/>
      <c r="U96" s="404"/>
      <c r="V96" s="404"/>
      <c r="W96" s="404"/>
    </row>
    <row r="97" spans="1:41" ht="15.75" customHeight="1">
      <c r="A97" s="574"/>
      <c r="B97" s="618"/>
      <c r="C97" s="618"/>
      <c r="D97" s="584"/>
      <c r="E97" s="584"/>
      <c r="F97" s="584"/>
      <c r="G97" s="584"/>
      <c r="H97" s="584"/>
      <c r="I97" s="584"/>
      <c r="J97" s="584"/>
      <c r="K97" s="584"/>
      <c r="L97" s="584"/>
      <c r="M97" s="618"/>
      <c r="Q97" s="764"/>
      <c r="R97" s="404"/>
      <c r="S97" s="404"/>
      <c r="T97" s="404"/>
      <c r="U97" s="404"/>
      <c r="V97" s="404"/>
      <c r="W97" s="404"/>
    </row>
    <row r="98" spans="1:41" ht="15.75" customHeight="1">
      <c r="A98" s="574"/>
      <c r="B98" s="618"/>
      <c r="C98" s="618"/>
      <c r="D98" s="584"/>
      <c r="E98" s="584"/>
      <c r="F98" s="584"/>
      <c r="G98" s="584"/>
      <c r="H98" s="584"/>
      <c r="I98" s="584"/>
      <c r="J98" s="584"/>
      <c r="K98" s="584"/>
      <c r="L98" s="584"/>
      <c r="M98" s="618"/>
      <c r="Q98" s="764"/>
      <c r="R98" s="404"/>
      <c r="S98" s="404"/>
      <c r="T98" s="404"/>
      <c r="U98" s="404"/>
      <c r="V98" s="404"/>
      <c r="W98" s="404"/>
    </row>
    <row r="99" spans="1:41" ht="15.75" customHeight="1">
      <c r="A99" s="574"/>
      <c r="B99" s="618"/>
      <c r="C99" s="618"/>
      <c r="D99" s="584"/>
      <c r="E99" s="584"/>
      <c r="F99" s="584"/>
      <c r="G99" s="584"/>
      <c r="H99" s="584"/>
      <c r="I99" s="584"/>
      <c r="J99" s="584"/>
      <c r="K99" s="584"/>
      <c r="L99" s="584"/>
      <c r="M99" s="618"/>
      <c r="Q99" s="764"/>
      <c r="R99" s="404"/>
      <c r="S99" s="404"/>
      <c r="T99" s="404"/>
      <c r="U99" s="404"/>
      <c r="V99" s="404"/>
      <c r="W99" s="404"/>
    </row>
    <row r="100" spans="1:41" ht="15.75" customHeight="1">
      <c r="A100" s="574"/>
      <c r="B100" s="618"/>
      <c r="C100" s="618"/>
      <c r="D100" s="584"/>
      <c r="E100" s="584"/>
      <c r="F100" s="584"/>
      <c r="G100" s="584"/>
      <c r="H100" s="584"/>
      <c r="I100" s="584"/>
      <c r="J100" s="584"/>
      <c r="K100" s="584"/>
      <c r="L100" s="584"/>
      <c r="M100" s="618"/>
      <c r="Q100" s="764"/>
      <c r="R100" s="404"/>
      <c r="S100" s="404"/>
      <c r="T100" s="404"/>
      <c r="U100" s="404"/>
      <c r="V100" s="404"/>
      <c r="W100" s="404"/>
    </row>
    <row r="101" spans="1:41" ht="15.75" customHeight="1">
      <c r="A101" s="574"/>
      <c r="B101" s="618"/>
      <c r="C101" s="618"/>
      <c r="D101" s="584"/>
      <c r="E101" s="584"/>
      <c r="F101" s="584"/>
      <c r="G101" s="584"/>
      <c r="H101" s="584"/>
      <c r="I101" s="584"/>
      <c r="J101" s="584"/>
      <c r="K101" s="584"/>
      <c r="L101" s="584"/>
      <c r="M101" s="618"/>
      <c r="Q101" s="764"/>
      <c r="R101" s="404"/>
      <c r="S101" s="404"/>
      <c r="T101" s="404"/>
      <c r="U101" s="404"/>
      <c r="V101" s="404"/>
      <c r="W101" s="404"/>
    </row>
    <row r="102" spans="1:41" ht="15.75" customHeight="1">
      <c r="A102" s="574"/>
      <c r="B102" s="618"/>
      <c r="C102" s="618"/>
      <c r="D102" s="584"/>
      <c r="E102" s="584"/>
      <c r="F102" s="584"/>
      <c r="G102" s="584"/>
      <c r="H102" s="584"/>
      <c r="I102" s="584"/>
      <c r="J102" s="584"/>
      <c r="K102" s="584"/>
      <c r="L102" s="584"/>
      <c r="M102" s="618"/>
      <c r="Q102" s="764"/>
      <c r="R102" s="404"/>
      <c r="S102" s="404"/>
      <c r="T102" s="404"/>
      <c r="U102" s="404"/>
      <c r="V102" s="404"/>
      <c r="W102" s="404"/>
    </row>
    <row r="103" spans="1:41" ht="15.75" customHeight="1">
      <c r="A103" s="574"/>
      <c r="B103" s="618"/>
      <c r="C103" s="618"/>
      <c r="D103" s="584"/>
      <c r="E103" s="584"/>
      <c r="F103" s="584"/>
      <c r="G103" s="584"/>
      <c r="H103" s="584"/>
      <c r="I103" s="584"/>
      <c r="J103" s="584"/>
      <c r="K103" s="584"/>
      <c r="L103" s="584"/>
      <c r="M103" s="618"/>
      <c r="Q103" s="764"/>
      <c r="R103" s="404"/>
      <c r="S103" s="404"/>
      <c r="T103" s="404"/>
      <c r="U103" s="404"/>
      <c r="V103" s="404"/>
      <c r="W103" s="404"/>
    </row>
    <row r="104" spans="1:41" ht="15.75" customHeight="1">
      <c r="A104" s="574"/>
      <c r="B104" s="618"/>
      <c r="C104" s="618"/>
      <c r="D104" s="584"/>
      <c r="E104" s="584"/>
      <c r="F104" s="584"/>
      <c r="G104" s="584"/>
      <c r="H104" s="584"/>
      <c r="I104" s="584"/>
      <c r="J104" s="584"/>
      <c r="K104" s="584"/>
      <c r="L104" s="584"/>
      <c r="M104" s="618"/>
      <c r="Q104" s="764"/>
      <c r="R104" s="404"/>
      <c r="S104" s="404"/>
      <c r="T104" s="404"/>
      <c r="U104" s="404"/>
      <c r="V104" s="404"/>
      <c r="W104" s="404"/>
    </row>
    <row r="105" spans="1:41" ht="15.75" customHeight="1">
      <c r="A105" s="574"/>
      <c r="B105" s="618"/>
      <c r="C105" s="618"/>
      <c r="D105" s="584"/>
      <c r="E105" s="584"/>
      <c r="F105" s="584"/>
      <c r="G105" s="584"/>
      <c r="H105" s="584"/>
      <c r="I105" s="584"/>
      <c r="J105" s="584"/>
      <c r="K105" s="584"/>
      <c r="L105" s="584"/>
      <c r="M105" s="618"/>
      <c r="Q105" s="764"/>
      <c r="R105" s="404"/>
      <c r="S105" s="404"/>
      <c r="T105" s="404"/>
      <c r="U105" s="404"/>
      <c r="V105" s="404"/>
      <c r="W105" s="404"/>
    </row>
    <row r="106" spans="1:41" ht="15.75" customHeight="1">
      <c r="A106" s="574"/>
      <c r="B106" s="618"/>
      <c r="C106" s="618"/>
      <c r="D106" s="584"/>
      <c r="E106" s="584"/>
      <c r="F106" s="584"/>
      <c r="G106" s="584"/>
      <c r="H106" s="584"/>
      <c r="I106" s="584"/>
      <c r="J106" s="584"/>
      <c r="K106" s="584"/>
      <c r="L106" s="584"/>
      <c r="M106" s="618"/>
      <c r="Q106" s="764"/>
      <c r="R106" s="404"/>
      <c r="S106" s="404"/>
      <c r="T106" s="404"/>
      <c r="U106" s="404"/>
      <c r="V106" s="404"/>
      <c r="W106" s="404"/>
    </row>
    <row r="107" spans="1:41" ht="15.75" customHeight="1">
      <c r="A107" s="574"/>
      <c r="B107" s="618"/>
      <c r="C107" s="618"/>
      <c r="D107" s="584"/>
      <c r="E107" s="584"/>
      <c r="F107" s="584"/>
      <c r="G107" s="584"/>
      <c r="H107" s="584"/>
      <c r="I107" s="584"/>
      <c r="J107" s="584"/>
      <c r="K107" s="584"/>
      <c r="L107" s="584"/>
      <c r="M107" s="618"/>
      <c r="Q107" s="764"/>
      <c r="R107" s="404"/>
      <c r="S107" s="404"/>
      <c r="T107" s="404"/>
      <c r="U107" s="404"/>
      <c r="V107" s="404"/>
      <c r="W107" s="404"/>
    </row>
    <row r="108" spans="1:41" ht="15.75" customHeight="1">
      <c r="A108" s="574"/>
      <c r="B108" s="618"/>
      <c r="C108" s="618"/>
      <c r="D108" s="584"/>
      <c r="E108" s="584"/>
      <c r="F108" s="584"/>
      <c r="G108" s="584"/>
      <c r="H108" s="584"/>
      <c r="I108" s="584"/>
      <c r="J108" s="584"/>
      <c r="K108" s="584"/>
      <c r="L108" s="584"/>
      <c r="M108" s="618"/>
      <c r="Q108" s="764"/>
      <c r="R108" s="404"/>
      <c r="S108" s="404"/>
      <c r="T108" s="404"/>
      <c r="U108" s="404"/>
      <c r="V108" s="404"/>
      <c r="W108" s="404"/>
    </row>
    <row r="109" spans="1:41" ht="15.75" customHeight="1">
      <c r="A109" s="574"/>
      <c r="B109" s="618"/>
      <c r="C109" s="618"/>
      <c r="D109" s="584"/>
      <c r="E109" s="584"/>
      <c r="F109" s="584"/>
      <c r="G109" s="584"/>
      <c r="H109" s="584"/>
      <c r="I109" s="584"/>
      <c r="J109" s="584"/>
      <c r="K109" s="584"/>
      <c r="L109" s="584"/>
      <c r="M109" s="618"/>
      <c r="Q109" s="764"/>
      <c r="R109" s="404"/>
      <c r="S109" s="404"/>
      <c r="T109" s="404"/>
      <c r="U109" s="404"/>
      <c r="V109" s="404"/>
      <c r="W109" s="404"/>
    </row>
    <row r="110" spans="1:41" ht="15.75" customHeight="1">
      <c r="A110" s="574"/>
      <c r="B110" s="618"/>
      <c r="C110" s="618"/>
      <c r="D110" s="584"/>
      <c r="E110" s="584"/>
      <c r="F110" s="584"/>
      <c r="G110" s="584"/>
      <c r="H110" s="584"/>
      <c r="I110" s="584"/>
      <c r="J110" s="584"/>
      <c r="K110" s="584"/>
      <c r="L110" s="584"/>
      <c r="M110" s="618"/>
      <c r="Q110" s="764"/>
      <c r="R110" s="404"/>
      <c r="S110" s="404"/>
      <c r="T110" s="404"/>
      <c r="U110" s="404"/>
      <c r="V110" s="404"/>
      <c r="W110" s="404"/>
      <c r="AN110" s="371"/>
      <c r="AO110" s="371"/>
    </row>
    <row r="111" spans="1:41" ht="15.75" customHeight="1">
      <c r="A111" s="574"/>
      <c r="B111" s="618"/>
      <c r="C111" s="618"/>
      <c r="D111" s="584"/>
      <c r="E111" s="584"/>
      <c r="F111" s="584"/>
      <c r="G111" s="584"/>
      <c r="H111" s="584"/>
      <c r="I111" s="584"/>
      <c r="J111" s="584"/>
      <c r="K111" s="584"/>
      <c r="L111" s="584"/>
      <c r="M111" s="618"/>
      <c r="Q111" s="764"/>
      <c r="R111" s="404"/>
      <c r="S111" s="404"/>
      <c r="T111" s="404"/>
      <c r="U111" s="404"/>
      <c r="V111" s="404"/>
      <c r="W111" s="404"/>
      <c r="AN111" s="371"/>
      <c r="AO111" s="371"/>
    </row>
    <row r="112" spans="1:41" ht="15.75" customHeight="1">
      <c r="A112" s="574"/>
      <c r="B112" s="618"/>
      <c r="C112" s="618"/>
      <c r="D112" s="584"/>
      <c r="E112" s="584"/>
      <c r="F112" s="584"/>
      <c r="G112" s="584"/>
      <c r="H112" s="584"/>
      <c r="I112" s="584"/>
      <c r="J112" s="584"/>
      <c r="K112" s="584"/>
      <c r="L112" s="584"/>
      <c r="M112" s="618"/>
      <c r="Q112" s="764"/>
      <c r="R112" s="404"/>
      <c r="S112" s="404"/>
      <c r="T112" s="404"/>
      <c r="U112" s="404"/>
      <c r="V112" s="404"/>
      <c r="W112" s="404"/>
      <c r="AN112" s="371"/>
      <c r="AO112" s="371"/>
    </row>
    <row r="113" spans="1:41" ht="15.75" customHeight="1">
      <c r="A113" s="574"/>
      <c r="B113" s="618"/>
      <c r="C113" s="618"/>
      <c r="D113" s="584"/>
      <c r="E113" s="584"/>
      <c r="F113" s="584"/>
      <c r="G113" s="584"/>
      <c r="H113" s="584"/>
      <c r="I113" s="584"/>
      <c r="J113" s="584"/>
      <c r="K113" s="584"/>
      <c r="L113" s="584"/>
      <c r="M113" s="618"/>
      <c r="Q113" s="764"/>
      <c r="R113" s="404"/>
      <c r="S113" s="404"/>
      <c r="T113" s="404"/>
      <c r="U113" s="404"/>
      <c r="V113" s="404"/>
      <c r="W113" s="404"/>
      <c r="AN113" s="371"/>
      <c r="AO113" s="371"/>
    </row>
    <row r="114" spans="1:41" ht="15.75" customHeight="1">
      <c r="A114" s="574"/>
      <c r="B114" s="618"/>
      <c r="C114" s="618"/>
      <c r="D114" s="584"/>
      <c r="E114" s="584"/>
      <c r="F114" s="584"/>
      <c r="G114" s="584"/>
      <c r="H114" s="584"/>
      <c r="I114" s="584"/>
      <c r="J114" s="584"/>
      <c r="K114" s="584"/>
      <c r="L114" s="584"/>
      <c r="M114" s="618"/>
      <c r="Q114" s="764"/>
      <c r="R114" s="404"/>
      <c r="S114" s="404"/>
      <c r="T114" s="404"/>
      <c r="U114" s="404"/>
      <c r="V114" s="404"/>
      <c r="W114" s="404"/>
      <c r="AN114" s="371"/>
      <c r="AO114" s="371"/>
    </row>
    <row r="115" spans="1:41" ht="15.75" customHeight="1">
      <c r="A115" s="574"/>
      <c r="B115" s="618"/>
      <c r="C115" s="618"/>
      <c r="D115" s="584"/>
      <c r="E115" s="584"/>
      <c r="F115" s="584"/>
      <c r="G115" s="584"/>
      <c r="H115" s="584"/>
      <c r="I115" s="584"/>
      <c r="J115" s="584"/>
      <c r="K115" s="584"/>
      <c r="L115" s="584"/>
      <c r="M115" s="618"/>
      <c r="Q115" s="764"/>
      <c r="R115" s="404"/>
      <c r="S115" s="404"/>
      <c r="T115" s="404"/>
      <c r="U115" s="404"/>
      <c r="V115" s="404"/>
      <c r="W115" s="404"/>
    </row>
    <row r="116" spans="1:41" ht="15.75" customHeight="1">
      <c r="A116" s="574"/>
      <c r="B116" s="618"/>
      <c r="C116" s="618"/>
      <c r="D116" s="584"/>
      <c r="E116" s="584"/>
      <c r="F116" s="584"/>
      <c r="G116" s="584"/>
      <c r="H116" s="584"/>
      <c r="I116" s="584"/>
      <c r="J116" s="584"/>
      <c r="K116" s="584"/>
      <c r="L116" s="584"/>
      <c r="M116" s="618"/>
      <c r="Q116" s="764"/>
      <c r="R116" s="404"/>
      <c r="S116" s="404"/>
      <c r="T116" s="404"/>
      <c r="U116" s="404"/>
      <c r="V116" s="404"/>
      <c r="W116" s="404"/>
    </row>
    <row r="117" spans="1:41" ht="15.75" customHeight="1">
      <c r="A117" s="574"/>
      <c r="B117" s="618"/>
      <c r="C117" s="618"/>
      <c r="D117" s="584"/>
      <c r="E117" s="584"/>
      <c r="F117" s="584"/>
      <c r="G117" s="584"/>
      <c r="H117" s="584"/>
      <c r="I117" s="584"/>
      <c r="J117" s="584"/>
      <c r="K117" s="584"/>
      <c r="L117" s="584"/>
      <c r="M117" s="618"/>
      <c r="Q117" s="764"/>
      <c r="R117" s="404"/>
      <c r="S117" s="404"/>
      <c r="T117" s="404"/>
      <c r="U117" s="404"/>
      <c r="V117" s="404"/>
      <c r="W117" s="404"/>
    </row>
  </sheetData>
  <mergeCells count="21">
    <mergeCell ref="A28:M28"/>
    <mergeCell ref="M5:M7"/>
    <mergeCell ref="E6:E7"/>
    <mergeCell ref="F6:F7"/>
    <mergeCell ref="H6:H7"/>
    <mergeCell ref="E5:H5"/>
    <mergeCell ref="K6:K7"/>
    <mergeCell ref="G6:G7"/>
    <mergeCell ref="L6:L7"/>
    <mergeCell ref="K5:L5"/>
    <mergeCell ref="I5:J5"/>
    <mergeCell ref="I6:I7"/>
    <mergeCell ref="J6:J7"/>
    <mergeCell ref="A1:M1"/>
    <mergeCell ref="N5:P5"/>
    <mergeCell ref="A5:A7"/>
    <mergeCell ref="B5:B7"/>
    <mergeCell ref="C5:C7"/>
    <mergeCell ref="A3:M3"/>
    <mergeCell ref="A2:M2"/>
    <mergeCell ref="D5:D7"/>
  </mergeCells>
  <printOptions horizontalCentered="1"/>
  <pageMargins left="0.39370078740157483" right="0.39370078740157483" top="0.59055118110236227" bottom="0.39370078740157483" header="0.19685039370078741" footer="0.19685039370078741"/>
  <pageSetup paperSize="9" scale="99" fitToHeight="0" orientation="portrait" r:id="rId1"/>
  <headerFooter>
    <evenFooter>Page &amp;P</evenFooter>
  </headerFooter>
</worksheet>
</file>

<file path=xl/worksheets/sheet1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workbookViewId="0">
      <selection activeCell="C26" sqref="C26"/>
    </sheetView>
  </sheetViews>
  <sheetFormatPr defaultColWidth="7" defaultRowHeight="12.75" customHeight="1"/>
  <cols>
    <col min="1" max="1" width="22.875" style="1" customWidth="1"/>
    <col min="2" max="2" width="1" style="1" customWidth="1"/>
    <col min="3" max="3" width="24.75" style="1" customWidth="1"/>
  </cols>
  <sheetData>
    <row r="1" spans="1:3" ht="13.5" customHeight="1"/>
    <row r="2" spans="1:3" ht="15.75" customHeight="1">
      <c r="A2" s="2"/>
      <c r="C2" s="2"/>
    </row>
    <row r="3" spans="1:3" ht="15" customHeight="1">
      <c r="A3" s="2"/>
      <c r="C3" s="2"/>
    </row>
    <row r="4" spans="1:3" ht="15" customHeight="1">
      <c r="A4" s="2"/>
      <c r="C4" s="2"/>
    </row>
    <row r="5" spans="1:3" ht="15" customHeight="1">
      <c r="A5" s="2"/>
      <c r="C5" s="2"/>
    </row>
    <row r="6" spans="1:3" ht="15.75" customHeight="1">
      <c r="A6" s="2"/>
      <c r="C6" s="2"/>
    </row>
    <row r="7" spans="1:3" ht="15" customHeight="1">
      <c r="C7" s="2"/>
    </row>
    <row r="8" spans="1:3" ht="15.75" customHeight="1">
      <c r="C8" s="2"/>
    </row>
    <row r="9" spans="1:3" ht="15.75" customHeight="1">
      <c r="A9" s="2"/>
    </row>
    <row r="10" spans="1:3" ht="15.75" customHeight="1">
      <c r="A10" s="2"/>
      <c r="C10" s="2"/>
    </row>
    <row r="11" spans="1:3" ht="15" customHeight="1">
      <c r="A11" s="2"/>
      <c r="C11" s="2"/>
    </row>
    <row r="12" spans="1:3" ht="15" customHeight="1">
      <c r="A12" s="2"/>
      <c r="C12" s="2"/>
    </row>
    <row r="13" spans="1:3" ht="15" customHeight="1">
      <c r="A13" s="2"/>
      <c r="C13" s="2"/>
    </row>
    <row r="14" spans="1:3" ht="15" customHeight="1">
      <c r="A14" s="2"/>
      <c r="C14" s="2"/>
    </row>
    <row r="15" spans="1:3" ht="15" customHeight="1">
      <c r="A15" s="2"/>
      <c r="C15" s="2"/>
    </row>
    <row r="16" spans="1:3" ht="15" customHeight="1">
      <c r="A16" s="2"/>
      <c r="C16" s="2"/>
    </row>
    <row r="17" spans="1:3" ht="15" customHeight="1">
      <c r="A17" s="2"/>
      <c r="C17" s="2"/>
    </row>
    <row r="18" spans="1:3" ht="15" customHeight="1">
      <c r="A18" s="2"/>
      <c r="C18" s="2"/>
    </row>
    <row r="19" spans="1:3" ht="15" customHeight="1">
      <c r="A19" s="2"/>
      <c r="C19" s="2"/>
    </row>
    <row r="20" spans="1:3" ht="15.75" customHeight="1">
      <c r="A20" s="2"/>
      <c r="C20" s="2"/>
    </row>
    <row r="21" spans="1:3" ht="15.75" customHeight="1">
      <c r="A21" s="2"/>
    </row>
    <row r="22" spans="1:3" ht="15.75" customHeight="1">
      <c r="A22" s="2"/>
      <c r="C22" s="2"/>
    </row>
    <row r="23" spans="1:3" ht="15" customHeight="1">
      <c r="A23" s="2"/>
      <c r="C23" s="2"/>
    </row>
    <row r="24" spans="1:3" ht="15" customHeight="1">
      <c r="A24" s="2"/>
      <c r="C24" s="2"/>
    </row>
    <row r="25" spans="1:3" ht="15" customHeight="1">
      <c r="A25" s="2"/>
      <c r="C25" s="2"/>
    </row>
    <row r="26" spans="1:3" ht="15" customHeight="1">
      <c r="A26" s="2"/>
      <c r="C26" s="2"/>
    </row>
    <row r="27" spans="1:3" ht="15" customHeight="1">
      <c r="A27" s="2"/>
      <c r="C27" s="2"/>
    </row>
    <row r="28" spans="1:3" ht="15" customHeight="1">
      <c r="A28" s="2"/>
      <c r="C28" s="2"/>
    </row>
    <row r="29" spans="1:3" ht="15" customHeight="1">
      <c r="A29" s="2"/>
      <c r="C29" s="2"/>
    </row>
    <row r="30" spans="1:3" ht="15.75" customHeight="1">
      <c r="A30" s="2"/>
      <c r="C30" s="2"/>
    </row>
    <row r="31" spans="1:3" ht="15" customHeight="1">
      <c r="C31" s="2"/>
    </row>
    <row r="32" spans="1:3" ht="15.75" customHeight="1">
      <c r="C32" s="2"/>
    </row>
    <row r="33" spans="1:3" ht="15" customHeight="1">
      <c r="A33" s="2"/>
      <c r="C33" s="2"/>
    </row>
    <row r="34" spans="1:3" ht="15" customHeight="1">
      <c r="A34" s="2"/>
      <c r="C34" s="2"/>
    </row>
    <row r="35" spans="1:3" ht="15.75" customHeight="1">
      <c r="A35" s="2"/>
      <c r="C35" s="2"/>
    </row>
  </sheetData>
  <sheetProtection password="CFB0" sheet="1" objects="1"/>
  <pageMargins left="0.75" right="0.75" top="0.41" bottom="0.5" header="0.22" footer="0.27"/>
  <pageSetup paperSize="9" orientation="landscape" r:id="rId1"/>
</worksheet>
</file>

<file path=xl/worksheets/sheet1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workbookViewId="0">
      <selection activeCell="C26" sqref="C26"/>
    </sheetView>
  </sheetViews>
  <sheetFormatPr defaultColWidth="7" defaultRowHeight="12.75" customHeight="1"/>
  <cols>
    <col min="1" max="1" width="22.875" style="1" customWidth="1"/>
    <col min="2" max="2" width="1" style="1" customWidth="1"/>
    <col min="3" max="3" width="24.75" style="1" customWidth="1"/>
  </cols>
  <sheetData>
    <row r="1" spans="1:3" ht="13.5" customHeight="1"/>
    <row r="2" spans="1:3" ht="15.75" customHeight="1">
      <c r="A2" s="2"/>
      <c r="C2" s="2"/>
    </row>
    <row r="3" spans="1:3" ht="15" customHeight="1">
      <c r="A3" s="2"/>
      <c r="C3" s="2"/>
    </row>
    <row r="4" spans="1:3" ht="15" customHeight="1">
      <c r="A4" s="2"/>
      <c r="C4" s="2"/>
    </row>
    <row r="5" spans="1:3" ht="15" customHeight="1">
      <c r="A5" s="2"/>
      <c r="C5" s="2"/>
    </row>
    <row r="6" spans="1:3" ht="15.75" customHeight="1">
      <c r="A6" s="2"/>
      <c r="C6" s="2"/>
    </row>
    <row r="7" spans="1:3" ht="15" customHeight="1">
      <c r="C7" s="2"/>
    </row>
    <row r="8" spans="1:3" ht="15.75" customHeight="1">
      <c r="C8" s="2"/>
    </row>
    <row r="9" spans="1:3" ht="15.75" customHeight="1">
      <c r="A9" s="2"/>
    </row>
    <row r="10" spans="1:3" ht="15.75" customHeight="1">
      <c r="A10" s="2"/>
      <c r="C10" s="2"/>
    </row>
    <row r="11" spans="1:3" ht="15" customHeight="1">
      <c r="A11" s="2"/>
      <c r="C11" s="2"/>
    </row>
    <row r="12" spans="1:3" ht="15" customHeight="1">
      <c r="A12" s="2"/>
      <c r="C12" s="2"/>
    </row>
    <row r="13" spans="1:3" ht="15" customHeight="1">
      <c r="A13" s="2"/>
      <c r="C13" s="2"/>
    </row>
    <row r="14" spans="1:3" ht="15" customHeight="1">
      <c r="A14" s="2"/>
      <c r="C14" s="2"/>
    </row>
    <row r="15" spans="1:3" ht="15" customHeight="1">
      <c r="A15" s="2"/>
      <c r="C15" s="2"/>
    </row>
    <row r="16" spans="1:3" ht="15" customHeight="1">
      <c r="A16" s="2"/>
      <c r="C16" s="2"/>
    </row>
    <row r="17" spans="1:3" ht="15" customHeight="1">
      <c r="A17" s="2"/>
      <c r="C17" s="2"/>
    </row>
    <row r="18" spans="1:3" ht="15" customHeight="1">
      <c r="A18" s="2"/>
      <c r="C18" s="2"/>
    </row>
    <row r="19" spans="1:3" ht="15" customHeight="1">
      <c r="A19" s="2"/>
      <c r="C19" s="2"/>
    </row>
    <row r="20" spans="1:3" ht="15.75" customHeight="1">
      <c r="A20" s="2"/>
      <c r="C20" s="2"/>
    </row>
    <row r="21" spans="1:3" ht="15.75" customHeight="1">
      <c r="A21" s="2"/>
    </row>
    <row r="22" spans="1:3" ht="15.75" customHeight="1">
      <c r="A22" s="2"/>
      <c r="C22" s="2"/>
    </row>
    <row r="23" spans="1:3" ht="15" customHeight="1">
      <c r="A23" s="2"/>
      <c r="C23" s="2"/>
    </row>
    <row r="24" spans="1:3" ht="15" customHeight="1">
      <c r="A24" s="2"/>
      <c r="C24" s="2"/>
    </row>
    <row r="25" spans="1:3" ht="15" customHeight="1">
      <c r="A25" s="2"/>
      <c r="C25" s="2"/>
    </row>
    <row r="26" spans="1:3" ht="15" customHeight="1">
      <c r="A26" s="2"/>
      <c r="C26" s="2"/>
    </row>
    <row r="27" spans="1:3" ht="15" customHeight="1">
      <c r="A27" s="2"/>
      <c r="C27" s="2"/>
    </row>
    <row r="28" spans="1:3" ht="15" customHeight="1">
      <c r="A28" s="2"/>
      <c r="C28" s="2"/>
    </row>
    <row r="29" spans="1:3" ht="15" customHeight="1">
      <c r="A29" s="2"/>
      <c r="C29" s="2"/>
    </row>
    <row r="30" spans="1:3" ht="15.75" customHeight="1">
      <c r="A30" s="2"/>
      <c r="C30" s="2"/>
    </row>
    <row r="31" spans="1:3" ht="15" customHeight="1">
      <c r="C31" s="2"/>
    </row>
    <row r="32" spans="1:3" ht="15.75" customHeight="1">
      <c r="C32" s="2"/>
    </row>
    <row r="33" spans="1:3" ht="15" customHeight="1">
      <c r="A33" s="2"/>
      <c r="C33" s="2"/>
    </row>
    <row r="34" spans="1:3" ht="15" customHeight="1">
      <c r="A34" s="2"/>
      <c r="C34" s="2"/>
    </row>
    <row r="35" spans="1:3" ht="15.75" customHeight="1">
      <c r="A35" s="2"/>
      <c r="C35" s="2"/>
    </row>
  </sheetData>
  <sheetProtection password="CFB0" sheet="1" objects="1"/>
  <pageMargins left="0.75" right="0.75" top="0.41" bottom="0.5" header="0.22" footer="0.27"/>
  <pageSetup paperSize="9" orientation="landscape" r:id="rId1"/>
</worksheet>
</file>

<file path=xl/worksheets/sheet1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workbookViewId="0">
      <selection activeCell="C26" sqref="C26"/>
    </sheetView>
  </sheetViews>
  <sheetFormatPr defaultColWidth="7" defaultRowHeight="12.75" customHeight="1"/>
  <cols>
    <col min="1" max="1" width="22.875" style="1" customWidth="1"/>
    <col min="2" max="2" width="1" style="1" customWidth="1"/>
    <col min="3" max="3" width="24.75" style="1" customWidth="1"/>
  </cols>
  <sheetData>
    <row r="1" spans="1:3" ht="13.5" customHeight="1"/>
    <row r="2" spans="1:3" ht="15.75" customHeight="1">
      <c r="A2" s="2"/>
      <c r="C2" s="2"/>
    </row>
    <row r="3" spans="1:3" ht="15" customHeight="1">
      <c r="A3" s="2"/>
      <c r="C3" s="2"/>
    </row>
    <row r="4" spans="1:3" ht="15" customHeight="1">
      <c r="A4" s="2"/>
      <c r="C4" s="2"/>
    </row>
    <row r="5" spans="1:3" ht="15" customHeight="1">
      <c r="A5" s="2"/>
      <c r="C5" s="2"/>
    </row>
    <row r="6" spans="1:3" ht="15.75" customHeight="1">
      <c r="A6" s="2"/>
      <c r="C6" s="2"/>
    </row>
    <row r="7" spans="1:3" ht="15" customHeight="1">
      <c r="C7" s="2"/>
    </row>
    <row r="8" spans="1:3" ht="15.75" customHeight="1">
      <c r="C8" s="2"/>
    </row>
    <row r="9" spans="1:3" ht="15.75" customHeight="1">
      <c r="A9" s="2"/>
    </row>
    <row r="10" spans="1:3" ht="15.75" customHeight="1">
      <c r="A10" s="2"/>
      <c r="C10" s="2"/>
    </row>
    <row r="11" spans="1:3" ht="15" customHeight="1">
      <c r="A11" s="2"/>
      <c r="C11" s="2"/>
    </row>
    <row r="12" spans="1:3" ht="15" customHeight="1">
      <c r="A12" s="2"/>
      <c r="C12" s="2"/>
    </row>
    <row r="13" spans="1:3" ht="15" customHeight="1">
      <c r="A13" s="2"/>
      <c r="C13" s="2"/>
    </row>
    <row r="14" spans="1:3" ht="15" customHeight="1">
      <c r="A14" s="2"/>
      <c r="C14" s="2"/>
    </row>
    <row r="15" spans="1:3" ht="15" customHeight="1">
      <c r="A15" s="2"/>
      <c r="C15" s="2"/>
    </row>
    <row r="16" spans="1:3" ht="15" customHeight="1">
      <c r="A16" s="2"/>
      <c r="C16" s="2"/>
    </row>
    <row r="17" spans="1:3" ht="15" customHeight="1">
      <c r="A17" s="2"/>
      <c r="C17" s="2"/>
    </row>
    <row r="18" spans="1:3" ht="15" customHeight="1">
      <c r="A18" s="2"/>
      <c r="C18" s="2"/>
    </row>
    <row r="19" spans="1:3" ht="15" customHeight="1">
      <c r="A19" s="2"/>
      <c r="C19" s="2"/>
    </row>
    <row r="20" spans="1:3" ht="15.75" customHeight="1">
      <c r="A20" s="2"/>
      <c r="C20" s="2"/>
    </row>
    <row r="21" spans="1:3" ht="15.75" customHeight="1">
      <c r="A21" s="2"/>
    </row>
    <row r="22" spans="1:3" ht="15.75" customHeight="1">
      <c r="A22" s="2"/>
      <c r="C22" s="2"/>
    </row>
    <row r="23" spans="1:3" ht="15" customHeight="1">
      <c r="A23" s="2"/>
      <c r="C23" s="2"/>
    </row>
    <row r="24" spans="1:3" ht="15" customHeight="1">
      <c r="A24" s="2"/>
      <c r="C24" s="2"/>
    </row>
    <row r="25" spans="1:3" ht="15" customHeight="1">
      <c r="A25" s="2"/>
      <c r="C25" s="2"/>
    </row>
    <row r="26" spans="1:3" ht="15" customHeight="1">
      <c r="A26" s="2"/>
      <c r="C26" s="2"/>
    </row>
    <row r="27" spans="1:3" ht="15" customHeight="1">
      <c r="A27" s="2"/>
      <c r="C27" s="2"/>
    </row>
    <row r="28" spans="1:3" ht="15" customHeight="1">
      <c r="A28" s="2"/>
      <c r="C28" s="2"/>
    </row>
    <row r="29" spans="1:3" ht="15" customHeight="1">
      <c r="A29" s="2"/>
      <c r="C29" s="2"/>
    </row>
    <row r="30" spans="1:3" ht="15.75" customHeight="1">
      <c r="A30" s="2"/>
      <c r="C30" s="2"/>
    </row>
    <row r="31" spans="1:3" ht="15" customHeight="1">
      <c r="C31" s="2"/>
    </row>
    <row r="32" spans="1:3" ht="15.75" customHeight="1">
      <c r="C32" s="2"/>
    </row>
    <row r="33" spans="1:3" ht="15" customHeight="1">
      <c r="A33" s="2"/>
      <c r="C33" s="2"/>
    </row>
    <row r="34" spans="1:3" ht="15" customHeight="1">
      <c r="A34" s="2"/>
      <c r="C34" s="2"/>
    </row>
    <row r="35" spans="1:3" ht="15.75" customHeight="1">
      <c r="A35" s="2"/>
      <c r="C35" s="2"/>
    </row>
  </sheetData>
  <sheetProtection password="CFB0" sheet="1" objects="1"/>
  <pageMargins left="0.75" right="0.75" top="0.41" bottom="0.5" header="0.22" footer="0.27"/>
  <pageSetup paperSize="9"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workbookViewId="0">
      <selection activeCell="C26" sqref="C26"/>
    </sheetView>
  </sheetViews>
  <sheetFormatPr defaultColWidth="7" defaultRowHeight="12.75" customHeight="1"/>
  <cols>
    <col min="1" max="1" width="22.875" style="1" customWidth="1"/>
    <col min="2" max="2" width="1" style="1" customWidth="1"/>
    <col min="3" max="3" width="24.75" style="1" customWidth="1"/>
  </cols>
  <sheetData>
    <row r="1" spans="1:3" ht="13.5" customHeight="1"/>
    <row r="2" spans="1:3" ht="15.75" customHeight="1">
      <c r="A2"/>
      <c r="C2"/>
    </row>
    <row r="3" spans="1:3" ht="15" customHeight="1">
      <c r="A3"/>
      <c r="C3"/>
    </row>
    <row r="4" spans="1:3" ht="15" customHeight="1">
      <c r="A4"/>
      <c r="C4"/>
    </row>
    <row r="5" spans="1:3" ht="15" customHeight="1">
      <c r="A5"/>
      <c r="C5"/>
    </row>
    <row r="6" spans="1:3" ht="15.75" customHeight="1">
      <c r="A6"/>
      <c r="C6"/>
    </row>
    <row r="7" spans="1:3" ht="15" customHeight="1">
      <c r="C7"/>
    </row>
    <row r="8" spans="1:3" ht="15.75" customHeight="1">
      <c r="C8"/>
    </row>
    <row r="9" spans="1:3" ht="15.75" customHeight="1">
      <c r="A9"/>
    </row>
    <row r="10" spans="1:3" ht="15.75" customHeight="1">
      <c r="A10"/>
      <c r="C10"/>
    </row>
    <row r="11" spans="1:3" ht="15" customHeight="1">
      <c r="A11"/>
      <c r="C11"/>
    </row>
    <row r="12" spans="1:3" ht="15" customHeight="1">
      <c r="A12"/>
      <c r="C12"/>
    </row>
    <row r="13" spans="1:3" ht="15" customHeight="1">
      <c r="A13"/>
      <c r="C13"/>
    </row>
    <row r="14" spans="1:3" ht="15" customHeight="1">
      <c r="A14"/>
      <c r="C14"/>
    </row>
    <row r="15" spans="1:3" ht="15" customHeight="1">
      <c r="A15"/>
      <c r="C15"/>
    </row>
    <row r="16" spans="1:3" ht="15" customHeight="1">
      <c r="A16"/>
      <c r="C16"/>
    </row>
    <row r="17" spans="1:3" ht="15" customHeight="1">
      <c r="A17"/>
      <c r="C17"/>
    </row>
    <row r="18" spans="1:3" ht="15" customHeight="1">
      <c r="A18"/>
      <c r="C18"/>
    </row>
    <row r="19" spans="1:3" ht="15" customHeight="1">
      <c r="A19"/>
      <c r="C19"/>
    </row>
    <row r="20" spans="1:3" ht="15.75" customHeight="1">
      <c r="A20"/>
      <c r="C20"/>
    </row>
    <row r="21" spans="1:3" ht="15.75" customHeight="1">
      <c r="A21"/>
    </row>
    <row r="22" spans="1:3" ht="15.75" customHeight="1">
      <c r="A22"/>
      <c r="C22"/>
    </row>
    <row r="23" spans="1:3" ht="15" customHeight="1">
      <c r="A23"/>
      <c r="C23"/>
    </row>
    <row r="24" spans="1:3" ht="15" customHeight="1">
      <c r="A24"/>
      <c r="C24"/>
    </row>
    <row r="25" spans="1:3" ht="15" customHeight="1">
      <c r="A25"/>
      <c r="C25"/>
    </row>
    <row r="26" spans="1:3" ht="15" customHeight="1">
      <c r="A26"/>
      <c r="C26"/>
    </row>
    <row r="27" spans="1:3" ht="15" customHeight="1">
      <c r="A27"/>
      <c r="C27"/>
    </row>
    <row r="28" spans="1:3" ht="15" customHeight="1">
      <c r="A28"/>
      <c r="C28"/>
    </row>
    <row r="29" spans="1:3" ht="15" customHeight="1">
      <c r="A29"/>
      <c r="C29"/>
    </row>
    <row r="30" spans="1:3" ht="15.75" customHeight="1">
      <c r="A30"/>
      <c r="C30"/>
    </row>
    <row r="31" spans="1:3" ht="15" customHeight="1">
      <c r="C31"/>
    </row>
    <row r="32" spans="1:3" ht="15.75" customHeight="1">
      <c r="C32"/>
    </row>
    <row r="33" spans="1:3" ht="15" customHeight="1">
      <c r="A33"/>
      <c r="C33"/>
    </row>
    <row r="34" spans="1:3" ht="15" customHeight="1">
      <c r="A34"/>
      <c r="C34"/>
    </row>
    <row r="35" spans="1:3" ht="15.75" customHeight="1">
      <c r="A35"/>
      <c r="C35"/>
    </row>
  </sheetData>
  <sheetProtection password="CFB0" sheet="1" objects="1"/>
  <pageMargins left="0.75" right="0.75" top="0.41" bottom="0.5" header="0.22" footer="0.27"/>
  <pageSetup paperSize="9" orientation="landscape" r:id="rId1"/>
</worksheet>
</file>

<file path=xl/worksheets/sheet1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workbookViewId="0">
      <selection activeCell="C1" sqref="C1"/>
    </sheetView>
  </sheetViews>
  <sheetFormatPr defaultColWidth="7.125" defaultRowHeight="12.75" customHeight="1"/>
  <cols>
    <col min="1" max="1" width="23.25" style="3" customWidth="1"/>
    <col min="2" max="2" width="1" style="3" customWidth="1"/>
    <col min="3" max="3" width="25" style="3" customWidth="1"/>
  </cols>
  <sheetData>
    <row r="1" spans="1:3" ht="15" customHeight="1">
      <c r="A1" s="4"/>
      <c r="C1" s="4"/>
    </row>
    <row r="2" spans="1:3" ht="15.75" customHeight="1">
      <c r="A2" s="4"/>
    </row>
    <row r="3" spans="1:3" ht="15.75" customHeight="1">
      <c r="A3" s="2"/>
      <c r="C3" s="2"/>
    </row>
    <row r="4" spans="1:3" ht="15" customHeight="1">
      <c r="A4" s="2"/>
      <c r="C4" s="2"/>
    </row>
    <row r="5" spans="1:3" ht="15" customHeight="1">
      <c r="C5" s="2"/>
    </row>
    <row r="6" spans="1:3" ht="15.75" customHeight="1">
      <c r="C6" s="2"/>
    </row>
    <row r="7" spans="1:3" ht="15" customHeight="1">
      <c r="A7" s="2"/>
      <c r="C7" s="2"/>
    </row>
    <row r="8" spans="1:3" ht="15" customHeight="1">
      <c r="A8" s="2"/>
      <c r="C8" s="2"/>
    </row>
    <row r="9" spans="1:3" ht="15" customHeight="1">
      <c r="A9" s="2"/>
      <c r="C9" s="2"/>
    </row>
    <row r="10" spans="1:3" ht="15" customHeight="1">
      <c r="A10" s="2"/>
      <c r="C10" s="2"/>
    </row>
    <row r="11" spans="1:3" ht="15.75" customHeight="1">
      <c r="A11" s="2"/>
      <c r="C11" s="2"/>
    </row>
    <row r="12" spans="1:3" ht="15" customHeight="1">
      <c r="C12" s="2"/>
    </row>
    <row r="13" spans="1:3" ht="15.75" customHeight="1">
      <c r="C13" s="2"/>
    </row>
    <row r="14" spans="1:3" ht="15.75" customHeight="1">
      <c r="A14" s="2"/>
      <c r="C14" s="2"/>
    </row>
    <row r="15" spans="1:3" ht="15" customHeight="1">
      <c r="A15" s="2"/>
    </row>
    <row r="16" spans="1:3" ht="15.75" customHeight="1">
      <c r="A16" s="2"/>
    </row>
    <row r="17" spans="1:3" ht="15.75" customHeight="1">
      <c r="A17" s="2"/>
      <c r="C17" s="2"/>
    </row>
    <row r="18" spans="1:3" ht="15" customHeight="1">
      <c r="C18" s="2"/>
    </row>
    <row r="19" spans="1:3" ht="15" customHeight="1">
      <c r="C19" s="2"/>
    </row>
    <row r="20" spans="1:3" ht="15" customHeight="1">
      <c r="A20" s="2"/>
      <c r="C20" s="2"/>
    </row>
    <row r="21" spans="1:3" ht="15" customHeight="1">
      <c r="A21" s="2"/>
      <c r="C21" s="2"/>
    </row>
    <row r="22" spans="1:3" ht="15" customHeight="1">
      <c r="A22" s="2"/>
      <c r="C22" s="2"/>
    </row>
    <row r="23" spans="1:3" ht="15" customHeight="1">
      <c r="A23" s="2"/>
      <c r="C23" s="2"/>
    </row>
    <row r="24" spans="1:3" ht="15" customHeight="1">
      <c r="A24" s="2"/>
    </row>
    <row r="25" spans="1:3" ht="15" customHeight="1">
      <c r="A25" s="2"/>
    </row>
    <row r="26" spans="1:3" ht="15.75" customHeight="1">
      <c r="A26" s="2"/>
      <c r="C26" s="2"/>
    </row>
    <row r="27" spans="1:3" ht="15" customHeight="1">
      <c r="A27" s="2"/>
      <c r="C27" s="2"/>
    </row>
    <row r="28" spans="1:3" ht="15" customHeight="1">
      <c r="A28" s="2"/>
      <c r="C28" s="2"/>
    </row>
    <row r="29" spans="1:3" ht="15" customHeight="1">
      <c r="A29" s="2"/>
      <c r="C29" s="2"/>
    </row>
    <row r="30" spans="1:3" ht="15" customHeight="1">
      <c r="A30" s="2"/>
      <c r="C30" s="2"/>
    </row>
    <row r="31" spans="1:3" ht="15" customHeight="1">
      <c r="A31" s="2"/>
      <c r="C31" s="2"/>
    </row>
    <row r="32" spans="1:3" ht="15" customHeight="1">
      <c r="A32" s="2"/>
      <c r="C32" s="2"/>
    </row>
    <row r="33" spans="1:3" ht="15" customHeight="1">
      <c r="A33" s="2"/>
      <c r="C33" s="2"/>
    </row>
    <row r="34" spans="1:3" ht="15" customHeight="1">
      <c r="A34" s="2"/>
      <c r="C34" s="2"/>
    </row>
    <row r="35" spans="1:3" ht="15" customHeight="1">
      <c r="A35" s="2"/>
      <c r="C35" s="2"/>
    </row>
    <row r="36" spans="1:3" ht="15" customHeight="1">
      <c r="A36" s="2"/>
      <c r="C36" s="2"/>
    </row>
    <row r="37" spans="1:3" ht="15" customHeight="1">
      <c r="A37" s="2"/>
    </row>
    <row r="38" spans="1:3" ht="15" customHeight="1">
      <c r="A38" s="2"/>
    </row>
    <row r="39" spans="1:3" ht="15" customHeight="1">
      <c r="A39" s="2"/>
      <c r="C39" s="2"/>
    </row>
    <row r="40" spans="1:3" ht="15" customHeight="1">
      <c r="A40" s="2"/>
      <c r="C40" s="2"/>
    </row>
    <row r="41" spans="1:3" ht="15" customHeight="1">
      <c r="A41" s="2"/>
      <c r="C41" s="2"/>
    </row>
  </sheetData>
  <sheetProtection password="8863" sheet="1" objects="1"/>
  <pageMargins left="0.75" right="0.75" top="1" bottom="1" header="0.5" footer="0.5"/>
</worksheet>
</file>

<file path=xl/worksheets/sheet1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workbookViewId="0">
      <selection activeCell="C1" sqref="C1"/>
    </sheetView>
  </sheetViews>
  <sheetFormatPr defaultColWidth="7.125" defaultRowHeight="12.75" customHeight="1"/>
  <cols>
    <col min="1" max="1" width="23.25" style="3" customWidth="1"/>
    <col min="2" max="2" width="1" style="3" customWidth="1"/>
    <col min="3" max="3" width="25" style="3" customWidth="1"/>
  </cols>
  <sheetData>
    <row r="1" spans="1:3" ht="15" customHeight="1">
      <c r="A1" s="4"/>
      <c r="C1" s="4"/>
    </row>
    <row r="2" spans="1:3" ht="15.75" customHeight="1">
      <c r="A2" s="4"/>
    </row>
    <row r="3" spans="1:3" ht="15.75" customHeight="1">
      <c r="A3" s="2"/>
      <c r="C3" s="2"/>
    </row>
    <row r="4" spans="1:3" ht="15" customHeight="1">
      <c r="A4" s="2"/>
      <c r="C4" s="2"/>
    </row>
    <row r="5" spans="1:3" ht="15" customHeight="1">
      <c r="C5" s="2"/>
    </row>
    <row r="6" spans="1:3" ht="15.75" customHeight="1">
      <c r="C6" s="2"/>
    </row>
    <row r="7" spans="1:3" ht="15" customHeight="1">
      <c r="A7" s="2"/>
      <c r="C7" s="2"/>
    </row>
    <row r="8" spans="1:3" ht="15" customHeight="1">
      <c r="A8" s="2"/>
      <c r="C8" s="2"/>
    </row>
    <row r="9" spans="1:3" ht="15" customHeight="1">
      <c r="A9" s="2"/>
      <c r="C9" s="2"/>
    </row>
    <row r="10" spans="1:3" ht="15" customHeight="1">
      <c r="A10" s="2"/>
      <c r="C10" s="2"/>
    </row>
    <row r="11" spans="1:3" ht="15.75" customHeight="1">
      <c r="A11" s="2"/>
      <c r="C11" s="2"/>
    </row>
    <row r="12" spans="1:3" ht="15" customHeight="1">
      <c r="C12" s="2"/>
    </row>
    <row r="13" spans="1:3" ht="15.75" customHeight="1">
      <c r="C13" s="2"/>
    </row>
    <row r="14" spans="1:3" ht="15.75" customHeight="1">
      <c r="A14" s="2"/>
      <c r="C14" s="2"/>
    </row>
    <row r="15" spans="1:3" ht="15" customHeight="1">
      <c r="A15" s="2"/>
    </row>
    <row r="16" spans="1:3" ht="15.75" customHeight="1">
      <c r="A16" s="2"/>
    </row>
    <row r="17" spans="1:3" ht="15.75" customHeight="1">
      <c r="A17" s="2"/>
      <c r="C17" s="2"/>
    </row>
    <row r="18" spans="1:3" ht="15" customHeight="1">
      <c r="C18" s="2"/>
    </row>
    <row r="19" spans="1:3" ht="15" customHeight="1">
      <c r="C19" s="2"/>
    </row>
    <row r="20" spans="1:3" ht="15" customHeight="1">
      <c r="A20" s="2"/>
      <c r="C20" s="2"/>
    </row>
    <row r="21" spans="1:3" ht="15" customHeight="1">
      <c r="A21" s="2"/>
      <c r="C21" s="2"/>
    </row>
    <row r="22" spans="1:3" ht="15" customHeight="1">
      <c r="A22" s="2"/>
      <c r="C22" s="2"/>
    </row>
    <row r="23" spans="1:3" ht="15" customHeight="1">
      <c r="A23" s="2"/>
      <c r="C23" s="2"/>
    </row>
    <row r="24" spans="1:3" ht="15" customHeight="1">
      <c r="A24" s="2"/>
    </row>
    <row r="25" spans="1:3" ht="15" customHeight="1">
      <c r="A25" s="2"/>
    </row>
    <row r="26" spans="1:3" ht="15.75" customHeight="1">
      <c r="A26" s="2"/>
      <c r="C26" s="2"/>
    </row>
    <row r="27" spans="1:3" ht="15" customHeight="1">
      <c r="A27" s="2"/>
      <c r="C27" s="2"/>
    </row>
    <row r="28" spans="1:3" ht="15" customHeight="1">
      <c r="A28" s="2"/>
      <c r="C28" s="2"/>
    </row>
    <row r="29" spans="1:3" ht="15" customHeight="1">
      <c r="A29" s="2"/>
      <c r="C29" s="2"/>
    </row>
    <row r="30" spans="1:3" ht="15" customHeight="1">
      <c r="A30" s="2"/>
      <c r="C30" s="2"/>
    </row>
    <row r="31" spans="1:3" ht="15" customHeight="1">
      <c r="A31" s="2"/>
      <c r="C31" s="2"/>
    </row>
    <row r="32" spans="1:3" ht="15" customHeight="1">
      <c r="A32" s="2"/>
      <c r="C32" s="2"/>
    </row>
    <row r="33" spans="1:3" ht="15" customHeight="1">
      <c r="A33" s="2"/>
      <c r="C33" s="2"/>
    </row>
    <row r="34" spans="1:3" ht="15" customHeight="1">
      <c r="A34" s="2"/>
      <c r="C34" s="2"/>
    </row>
    <row r="35" spans="1:3" ht="15" customHeight="1">
      <c r="A35" s="2"/>
      <c r="C35" s="2"/>
    </row>
    <row r="36" spans="1:3" ht="15" customHeight="1">
      <c r="A36" s="2"/>
      <c r="C36" s="2"/>
    </row>
    <row r="37" spans="1:3" ht="15" customHeight="1">
      <c r="A37" s="2"/>
    </row>
    <row r="38" spans="1:3" ht="15" customHeight="1">
      <c r="A38" s="2"/>
    </row>
    <row r="39" spans="1:3" ht="15" customHeight="1">
      <c r="A39" s="2"/>
      <c r="C39" s="2"/>
    </row>
    <row r="40" spans="1:3" ht="15" customHeight="1">
      <c r="A40" s="2"/>
      <c r="C40" s="2"/>
    </row>
    <row r="41" spans="1:3" ht="15" customHeight="1">
      <c r="A41" s="2"/>
      <c r="C41" s="2"/>
    </row>
  </sheetData>
  <sheetProtection password="8863" sheet="1" objects="1"/>
  <pageMargins left="0.75" right="0.75" top="1" bottom="1" header="0.5" footer="0.5"/>
</worksheet>
</file>

<file path=xl/worksheets/sheet1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workbookViewId="0">
      <selection activeCell="C26" sqref="C26"/>
    </sheetView>
  </sheetViews>
  <sheetFormatPr defaultColWidth="7" defaultRowHeight="12.75" customHeight="1"/>
  <cols>
    <col min="1" max="1" width="22.875" style="1" customWidth="1"/>
    <col min="2" max="2" width="1" style="1" customWidth="1"/>
    <col min="3" max="3" width="24.75" style="1" customWidth="1"/>
  </cols>
  <sheetData>
    <row r="1" spans="1:3" ht="13.5" customHeight="1"/>
    <row r="2" spans="1:3" ht="15.75" customHeight="1">
      <c r="A2" s="2"/>
      <c r="C2" s="2"/>
    </row>
    <row r="3" spans="1:3" ht="15" customHeight="1">
      <c r="A3" s="2"/>
      <c r="C3" s="2"/>
    </row>
    <row r="4" spans="1:3" ht="15" customHeight="1">
      <c r="A4" s="2"/>
      <c r="C4" s="2"/>
    </row>
    <row r="5" spans="1:3" ht="15" customHeight="1">
      <c r="A5" s="2"/>
      <c r="C5" s="2"/>
    </row>
    <row r="6" spans="1:3" ht="15.75" customHeight="1">
      <c r="A6" s="2"/>
      <c r="C6" s="2"/>
    </row>
    <row r="7" spans="1:3" ht="15" customHeight="1">
      <c r="C7" s="2"/>
    </row>
    <row r="8" spans="1:3" ht="15.75" customHeight="1">
      <c r="C8" s="2"/>
    </row>
    <row r="9" spans="1:3" ht="15.75" customHeight="1">
      <c r="A9" s="2"/>
    </row>
    <row r="10" spans="1:3" ht="15.75" customHeight="1">
      <c r="A10" s="2"/>
      <c r="C10" s="2"/>
    </row>
    <row r="11" spans="1:3" ht="15" customHeight="1">
      <c r="A11" s="2"/>
      <c r="C11" s="2"/>
    </row>
    <row r="12" spans="1:3" ht="15" customHeight="1">
      <c r="A12" s="2"/>
      <c r="C12" s="2"/>
    </row>
    <row r="13" spans="1:3" ht="15" customHeight="1">
      <c r="A13" s="2"/>
      <c r="C13" s="2"/>
    </row>
    <row r="14" spans="1:3" ht="15" customHeight="1">
      <c r="A14" s="2"/>
      <c r="C14" s="2"/>
    </row>
    <row r="15" spans="1:3" ht="15" customHeight="1">
      <c r="A15" s="2"/>
      <c r="C15" s="2"/>
    </row>
    <row r="16" spans="1:3" ht="15" customHeight="1">
      <c r="A16" s="2"/>
      <c r="C16" s="2"/>
    </row>
    <row r="17" spans="1:3" ht="15" customHeight="1">
      <c r="A17" s="2"/>
      <c r="C17" s="2"/>
    </row>
    <row r="18" spans="1:3" ht="15" customHeight="1">
      <c r="A18" s="2"/>
      <c r="C18" s="2"/>
    </row>
    <row r="19" spans="1:3" ht="15" customHeight="1">
      <c r="A19" s="2"/>
      <c r="C19" s="2"/>
    </row>
    <row r="20" spans="1:3" ht="15.75" customHeight="1">
      <c r="A20" s="2"/>
      <c r="C20" s="2"/>
    </row>
    <row r="21" spans="1:3" ht="15.75" customHeight="1">
      <c r="A21" s="2"/>
    </row>
    <row r="22" spans="1:3" ht="15.75" customHeight="1">
      <c r="A22" s="2"/>
      <c r="C22" s="2"/>
    </row>
    <row r="23" spans="1:3" ht="15" customHeight="1">
      <c r="A23" s="2"/>
      <c r="C23" s="2"/>
    </row>
    <row r="24" spans="1:3" ht="15" customHeight="1">
      <c r="A24" s="2"/>
      <c r="C24" s="2"/>
    </row>
    <row r="25" spans="1:3" ht="15" customHeight="1">
      <c r="A25" s="2"/>
      <c r="C25" s="2"/>
    </row>
    <row r="26" spans="1:3" ht="15" customHeight="1">
      <c r="A26" s="2"/>
      <c r="C26" s="2"/>
    </row>
    <row r="27" spans="1:3" ht="15" customHeight="1">
      <c r="A27" s="2"/>
      <c r="C27" s="2"/>
    </row>
    <row r="28" spans="1:3" ht="15" customHeight="1">
      <c r="A28" s="2"/>
      <c r="C28" s="2"/>
    </row>
    <row r="29" spans="1:3" ht="15" customHeight="1">
      <c r="A29" s="2"/>
      <c r="C29" s="2"/>
    </row>
    <row r="30" spans="1:3" ht="15.75" customHeight="1">
      <c r="A30" s="2"/>
      <c r="C30" s="2"/>
    </row>
    <row r="31" spans="1:3" ht="15" customHeight="1">
      <c r="C31" s="2"/>
    </row>
    <row r="32" spans="1:3" ht="15.75" customHeight="1">
      <c r="C32" s="2"/>
    </row>
    <row r="33" spans="1:3" ht="15" customHeight="1">
      <c r="A33" s="2"/>
      <c r="C33" s="2"/>
    </row>
    <row r="34" spans="1:3" ht="15" customHeight="1">
      <c r="A34" s="2"/>
      <c r="C34" s="2"/>
    </row>
    <row r="35" spans="1:3" ht="15.75" customHeight="1">
      <c r="A35" s="2"/>
      <c r="C35" s="2"/>
    </row>
  </sheetData>
  <sheetProtection password="CFB0" sheet="1" objects="1"/>
  <pageMargins left="0.75" right="0.75" top="0.41" bottom="0.5" header="0.22" footer="0.27"/>
  <pageSetup paperSize="9" orientation="landscape" r:id="rId1"/>
</worksheet>
</file>

<file path=xl/worksheets/sheet1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workbookViewId="0">
      <selection activeCell="C1" sqref="C1"/>
    </sheetView>
  </sheetViews>
  <sheetFormatPr defaultColWidth="7.125" defaultRowHeight="12.75" customHeight="1"/>
  <cols>
    <col min="1" max="1" width="23.25" style="3" customWidth="1"/>
    <col min="2" max="2" width="1" style="3" customWidth="1"/>
    <col min="3" max="3" width="25" style="3" customWidth="1"/>
  </cols>
  <sheetData>
    <row r="1" spans="1:3" ht="15" customHeight="1">
      <c r="A1"/>
      <c r="C1" s="5"/>
    </row>
    <row r="2" spans="1:3" ht="15.75" customHeight="1">
      <c r="A2"/>
    </row>
    <row r="3" spans="1:3" ht="15.75" customHeight="1">
      <c r="A3"/>
      <c r="C3"/>
    </row>
    <row r="4" spans="1:3" ht="15" customHeight="1">
      <c r="A4"/>
      <c r="C4"/>
    </row>
    <row r="5" spans="1:3" ht="15" customHeight="1">
      <c r="C5"/>
    </row>
    <row r="6" spans="1:3" ht="15.75" customHeight="1">
      <c r="C6"/>
    </row>
    <row r="7" spans="1:3" ht="15" customHeight="1">
      <c r="A7"/>
      <c r="C7"/>
    </row>
    <row r="8" spans="1:3" ht="15" customHeight="1">
      <c r="A8"/>
      <c r="C8"/>
    </row>
    <row r="9" spans="1:3" ht="15" customHeight="1">
      <c r="A9"/>
      <c r="C9"/>
    </row>
    <row r="10" spans="1:3" ht="15" customHeight="1">
      <c r="A10"/>
      <c r="C10"/>
    </row>
    <row r="11" spans="1:3" ht="15.75" customHeight="1">
      <c r="A11"/>
      <c r="C11"/>
    </row>
    <row r="12" spans="1:3" ht="15" customHeight="1">
      <c r="C12"/>
    </row>
    <row r="13" spans="1:3" ht="15.75" customHeight="1">
      <c r="C13"/>
    </row>
    <row r="14" spans="1:3" ht="15.75" customHeight="1">
      <c r="A14"/>
      <c r="C14"/>
    </row>
    <row r="15" spans="1:3" ht="15" customHeight="1">
      <c r="A15"/>
    </row>
    <row r="16" spans="1:3" ht="15.75" customHeight="1">
      <c r="A16"/>
    </row>
    <row r="17" spans="1:3" ht="15.75" customHeight="1">
      <c r="A17"/>
      <c r="C17"/>
    </row>
    <row r="18" spans="1:3" ht="15" customHeight="1">
      <c r="C18"/>
    </row>
    <row r="19" spans="1:3" ht="15" customHeight="1">
      <c r="C19"/>
    </row>
    <row r="20" spans="1:3" ht="15" customHeight="1">
      <c r="A20"/>
      <c r="C20"/>
    </row>
    <row r="21" spans="1:3" ht="15" customHeight="1">
      <c r="A21"/>
      <c r="C21"/>
    </row>
    <row r="22" spans="1:3" ht="15" customHeight="1">
      <c r="A22"/>
      <c r="C22"/>
    </row>
    <row r="23" spans="1:3" ht="15" customHeight="1">
      <c r="A23"/>
      <c r="C23"/>
    </row>
    <row r="24" spans="1:3" ht="15" customHeight="1">
      <c r="A24"/>
    </row>
    <row r="25" spans="1:3" ht="15" customHeight="1">
      <c r="A25"/>
    </row>
    <row r="26" spans="1:3" ht="15.75" customHeight="1">
      <c r="A26"/>
      <c r="C26"/>
    </row>
    <row r="27" spans="1:3" ht="15" customHeight="1">
      <c r="A27"/>
      <c r="C27"/>
    </row>
    <row r="28" spans="1:3" ht="15" customHeight="1">
      <c r="A28"/>
      <c r="C28"/>
    </row>
    <row r="29" spans="1:3" ht="15" customHeight="1">
      <c r="A29"/>
      <c r="C29"/>
    </row>
    <row r="30" spans="1:3" ht="15" customHeight="1">
      <c r="A30"/>
      <c r="C30"/>
    </row>
    <row r="31" spans="1:3" ht="15" customHeight="1">
      <c r="A31"/>
      <c r="C31"/>
    </row>
    <row r="32" spans="1:3" ht="15" customHeight="1">
      <c r="A32"/>
      <c r="C32"/>
    </row>
    <row r="33" spans="1:3" ht="15" customHeight="1">
      <c r="A33"/>
      <c r="C33"/>
    </row>
    <row r="34" spans="1:3" ht="15" customHeight="1">
      <c r="A34"/>
      <c r="C34"/>
    </row>
    <row r="35" spans="1:3" ht="15" customHeight="1">
      <c r="A35"/>
      <c r="C35"/>
    </row>
    <row r="36" spans="1:3" ht="15" customHeight="1">
      <c r="A36"/>
      <c r="C36"/>
    </row>
    <row r="37" spans="1:3" ht="15" customHeight="1">
      <c r="A37"/>
    </row>
    <row r="38" spans="1:3" ht="15" customHeight="1">
      <c r="A38"/>
    </row>
    <row r="39" spans="1:3" ht="15" customHeight="1">
      <c r="A39"/>
      <c r="C39"/>
    </row>
    <row r="40" spans="1:3" ht="15" customHeight="1">
      <c r="A40"/>
      <c r="C40"/>
    </row>
    <row r="41" spans="1:3" ht="15" customHeight="1">
      <c r="A41"/>
      <c r="C41"/>
    </row>
  </sheetData>
  <sheetProtection password="8863" sheet="1" objects="1"/>
  <pageMargins left="0.75" right="0.75" top="1" bottom="1" header="0.5" footer="0.5"/>
</worksheet>
</file>

<file path=xl/worksheets/sheet1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K30"/>
  <sheetViews>
    <sheetView topLeftCell="A10" zoomScaleNormal="100" workbookViewId="0">
      <selection activeCell="E27" sqref="E27"/>
    </sheetView>
  </sheetViews>
  <sheetFormatPr defaultRowHeight="15.75"/>
  <cols>
    <col min="1" max="1" width="4" style="15" customWidth="1"/>
    <col min="2" max="2" width="25.25" style="15" customWidth="1"/>
    <col min="3" max="3" width="6.25" style="15" customWidth="1"/>
    <col min="4" max="5" width="11.75" style="15" customWidth="1"/>
    <col min="6" max="6" width="66.25" style="13" customWidth="1"/>
    <col min="7" max="7" width="5.75" style="13" customWidth="1"/>
    <col min="8" max="9" width="9" style="13"/>
  </cols>
  <sheetData>
    <row r="2" spans="1:11" ht="21" customHeight="1">
      <c r="A2" s="2136" t="s">
        <v>593</v>
      </c>
      <c r="B2" s="2136"/>
      <c r="C2" s="2136"/>
      <c r="D2" s="2136"/>
      <c r="E2" s="2136"/>
      <c r="F2" s="2136"/>
      <c r="G2" s="2136"/>
    </row>
    <row r="4" spans="1:11" s="16" customFormat="1" ht="98.25" customHeight="1">
      <c r="A4" s="39" t="s">
        <v>564</v>
      </c>
      <c r="B4" s="39" t="s">
        <v>56</v>
      </c>
      <c r="C4" s="40" t="s">
        <v>57</v>
      </c>
      <c r="D4" s="40" t="s">
        <v>594</v>
      </c>
      <c r="E4" s="40" t="s">
        <v>605</v>
      </c>
      <c r="F4" s="40" t="s">
        <v>606</v>
      </c>
      <c r="G4" s="40" t="s">
        <v>10</v>
      </c>
      <c r="H4" s="18"/>
      <c r="I4" s="18"/>
    </row>
    <row r="5" spans="1:11">
      <c r="A5" s="46" t="s">
        <v>83</v>
      </c>
      <c r="B5" s="46" t="s">
        <v>595</v>
      </c>
      <c r="C5" s="46"/>
      <c r="D5" s="47"/>
      <c r="E5" s="47"/>
      <c r="F5" s="48"/>
      <c r="G5" s="48"/>
    </row>
    <row r="6" spans="1:11" s="30" customFormat="1">
      <c r="A6" s="49">
        <v>1</v>
      </c>
      <c r="B6" s="51" t="s">
        <v>128</v>
      </c>
      <c r="C6" s="49" t="s">
        <v>26</v>
      </c>
      <c r="D6" s="49"/>
      <c r="E6" s="49"/>
      <c r="F6" s="50"/>
      <c r="G6" s="50"/>
      <c r="H6" s="13"/>
      <c r="I6" s="13"/>
    </row>
    <row r="7" spans="1:11" s="10" customFormat="1" ht="33.75" customHeight="1">
      <c r="A7" s="49">
        <v>1</v>
      </c>
      <c r="B7" s="51" t="s">
        <v>596</v>
      </c>
      <c r="C7" s="49" t="s">
        <v>26</v>
      </c>
      <c r="D7" s="52">
        <v>65.7</v>
      </c>
      <c r="E7" s="52" t="e">
        <f>'B2 SXNN'!#REF!</f>
        <v>#REF!</v>
      </c>
      <c r="F7" s="2139" t="s">
        <v>613</v>
      </c>
      <c r="G7" s="50"/>
      <c r="H7" s="13"/>
      <c r="I7" s="13"/>
    </row>
    <row r="8" spans="1:11" s="10" customFormat="1" ht="79.5" customHeight="1">
      <c r="A8" s="49">
        <v>2</v>
      </c>
      <c r="B8" s="51" t="s">
        <v>611</v>
      </c>
      <c r="C8" s="49" t="s">
        <v>93</v>
      </c>
      <c r="D8" s="53">
        <v>177284.33000000002</v>
      </c>
      <c r="E8" s="53" t="e">
        <f>'B2 SXNN'!#REF!</f>
        <v>#REF!</v>
      </c>
      <c r="F8" s="2140"/>
      <c r="G8" s="50"/>
      <c r="H8" s="13"/>
      <c r="I8" s="13"/>
      <c r="K8" s="60"/>
    </row>
    <row r="9" spans="1:11" s="10" customFormat="1" ht="78" customHeight="1">
      <c r="A9" s="49"/>
      <c r="B9" s="51" t="s">
        <v>145</v>
      </c>
      <c r="C9" s="49" t="s">
        <v>93</v>
      </c>
      <c r="D9" s="53">
        <v>450</v>
      </c>
      <c r="E9" s="49" t="e">
        <f>'B2 SXNN'!#REF!</f>
        <v>#REF!</v>
      </c>
      <c r="F9" s="2137" t="s">
        <v>615</v>
      </c>
      <c r="G9" s="50"/>
      <c r="H9" s="13"/>
      <c r="I9" s="13"/>
    </row>
    <row r="10" spans="1:11" s="10" customFormat="1">
      <c r="A10" s="49"/>
      <c r="B10" s="51" t="s">
        <v>146</v>
      </c>
      <c r="C10" s="49" t="s">
        <v>93</v>
      </c>
      <c r="D10" s="53">
        <v>50</v>
      </c>
      <c r="E10" s="49">
        <v>0</v>
      </c>
      <c r="F10" s="2137"/>
      <c r="G10" s="50"/>
      <c r="H10" s="13"/>
      <c r="I10" s="13"/>
    </row>
    <row r="11" spans="1:11" s="10" customFormat="1">
      <c r="A11" s="49"/>
      <c r="B11" s="51" t="s">
        <v>597</v>
      </c>
      <c r="C11" s="49"/>
      <c r="D11" s="52"/>
      <c r="E11" s="49"/>
      <c r="F11" s="2137"/>
      <c r="G11" s="50"/>
      <c r="H11" s="13"/>
      <c r="I11" s="13"/>
    </row>
    <row r="12" spans="1:11" s="10" customFormat="1">
      <c r="A12" s="49"/>
      <c r="B12" s="51" t="s">
        <v>598</v>
      </c>
      <c r="C12" s="49" t="s">
        <v>93</v>
      </c>
      <c r="D12" s="53">
        <v>300</v>
      </c>
      <c r="E12" s="49" t="e">
        <f>'B2 SXNN'!#REF!</f>
        <v>#REF!</v>
      </c>
      <c r="F12" s="2137"/>
      <c r="G12" s="50"/>
      <c r="H12" s="13"/>
      <c r="I12" s="13"/>
    </row>
    <row r="13" spans="1:11" s="10" customFormat="1">
      <c r="A13" s="49"/>
      <c r="B13" s="51" t="s">
        <v>599</v>
      </c>
      <c r="C13" s="49" t="s">
        <v>93</v>
      </c>
      <c r="D13" s="53">
        <v>300</v>
      </c>
      <c r="E13" s="49" t="e">
        <f>'B2 SXNN'!#REF!</f>
        <v>#REF!</v>
      </c>
      <c r="F13" s="66"/>
      <c r="G13" s="50"/>
      <c r="H13" s="13"/>
      <c r="I13" s="13"/>
    </row>
    <row r="14" spans="1:11" s="10" customFormat="1">
      <c r="A14" s="49"/>
      <c r="B14" s="51" t="s">
        <v>616</v>
      </c>
      <c r="C14" s="49" t="s">
        <v>93</v>
      </c>
      <c r="D14" s="53">
        <v>100</v>
      </c>
      <c r="E14" s="68">
        <v>100</v>
      </c>
      <c r="F14" s="66"/>
      <c r="G14" s="58"/>
      <c r="H14" s="13"/>
      <c r="I14" s="13"/>
    </row>
    <row r="15" spans="1:11" s="10" customFormat="1" ht="20.25" customHeight="1">
      <c r="A15" s="49" t="s">
        <v>150</v>
      </c>
      <c r="B15" s="51" t="s">
        <v>151</v>
      </c>
      <c r="C15" s="49" t="s">
        <v>93</v>
      </c>
      <c r="D15" s="53">
        <v>175442.01</v>
      </c>
      <c r="E15" s="57" t="e">
        <f>'B2 SXNN'!#REF!</f>
        <v>#REF!</v>
      </c>
      <c r="F15" s="2134" t="s">
        <v>614</v>
      </c>
      <c r="G15" s="58"/>
      <c r="H15" s="13"/>
      <c r="I15" s="13"/>
    </row>
    <row r="16" spans="1:11" s="10" customFormat="1" ht="18" customHeight="1">
      <c r="A16" s="49"/>
      <c r="B16" s="51" t="s">
        <v>152</v>
      </c>
      <c r="C16" s="49" t="s">
        <v>93</v>
      </c>
      <c r="D16" s="53">
        <v>21882.46</v>
      </c>
      <c r="E16" s="57" t="e">
        <f>'B2 SXNN'!#REF!</f>
        <v>#REF!</v>
      </c>
      <c r="F16" s="2138"/>
      <c r="G16" s="58"/>
      <c r="H16" s="13"/>
      <c r="I16" s="13"/>
    </row>
    <row r="17" spans="1:9" s="10" customFormat="1" ht="20.25" customHeight="1">
      <c r="A17" s="49"/>
      <c r="B17" s="51" t="s">
        <v>146</v>
      </c>
      <c r="C17" s="49" t="s">
        <v>93</v>
      </c>
      <c r="D17" s="53">
        <v>80293.31</v>
      </c>
      <c r="E17" s="57" t="e">
        <f>'B2 SXNN'!#REF!</f>
        <v>#REF!</v>
      </c>
      <c r="F17" s="2138"/>
      <c r="G17" s="58"/>
      <c r="H17" s="13"/>
      <c r="I17" s="13"/>
    </row>
    <row r="18" spans="1:9" s="10" customFormat="1" ht="21" customHeight="1">
      <c r="A18" s="49"/>
      <c r="B18" s="51" t="s">
        <v>147</v>
      </c>
      <c r="C18" s="49" t="s">
        <v>93</v>
      </c>
      <c r="D18" s="53">
        <v>73266.240000000005</v>
      </c>
      <c r="E18" s="57" t="e">
        <f>'B2 SXNN'!#REF!</f>
        <v>#REF!</v>
      </c>
      <c r="F18" s="2135"/>
      <c r="G18" s="58"/>
      <c r="H18" s="13"/>
      <c r="I18" s="13"/>
    </row>
    <row r="19" spans="1:9" s="10" customFormat="1">
      <c r="A19" s="49" t="s">
        <v>157</v>
      </c>
      <c r="B19" s="51" t="s">
        <v>600</v>
      </c>
      <c r="C19" s="49" t="s">
        <v>93</v>
      </c>
      <c r="D19" s="52"/>
      <c r="E19" s="49"/>
      <c r="F19" s="66"/>
      <c r="G19" s="50"/>
      <c r="H19" s="13"/>
      <c r="I19" s="13"/>
    </row>
    <row r="20" spans="1:9" s="10" customFormat="1">
      <c r="A20" s="49" t="s">
        <v>159</v>
      </c>
      <c r="B20" s="51" t="s">
        <v>117</v>
      </c>
      <c r="C20" s="49" t="s">
        <v>93</v>
      </c>
      <c r="D20" s="53">
        <v>401</v>
      </c>
      <c r="E20" s="49" t="e">
        <f>'B2 SXNN'!#REF!</f>
        <v>#REF!</v>
      </c>
      <c r="F20" s="67" t="s">
        <v>607</v>
      </c>
      <c r="G20" s="50"/>
      <c r="H20" s="13"/>
      <c r="I20" s="13"/>
    </row>
    <row r="21" spans="1:9" s="10" customFormat="1" ht="39.75" customHeight="1">
      <c r="A21" s="49" t="s">
        <v>161</v>
      </c>
      <c r="B21" s="51" t="s">
        <v>601</v>
      </c>
      <c r="C21" s="49" t="s">
        <v>93</v>
      </c>
      <c r="D21" s="53">
        <v>566</v>
      </c>
      <c r="E21" s="49" t="e">
        <f>'B2 SXNN'!#REF!</f>
        <v>#REF!</v>
      </c>
      <c r="F21" s="2137" t="s">
        <v>608</v>
      </c>
      <c r="G21" s="50"/>
      <c r="H21" s="13"/>
      <c r="I21" s="13"/>
    </row>
    <row r="22" spans="1:9" s="10" customFormat="1">
      <c r="A22" s="49"/>
      <c r="B22" s="51" t="s">
        <v>602</v>
      </c>
      <c r="C22" s="49" t="s">
        <v>559</v>
      </c>
      <c r="D22" s="53">
        <v>100</v>
      </c>
      <c r="E22" s="49" t="e">
        <f>'B2 SXNN'!#REF!</f>
        <v>#REF!</v>
      </c>
      <c r="F22" s="2137"/>
      <c r="G22" s="50"/>
      <c r="H22" s="13"/>
      <c r="I22" s="13"/>
    </row>
    <row r="23" spans="1:9" s="10" customFormat="1" ht="60">
      <c r="A23" s="49">
        <v>3</v>
      </c>
      <c r="B23" s="51" t="s">
        <v>603</v>
      </c>
      <c r="C23" s="49" t="s">
        <v>559</v>
      </c>
      <c r="D23" s="53">
        <v>175442.31</v>
      </c>
      <c r="E23" s="70" t="e">
        <f>'B2 SXNN'!#REF!</f>
        <v>#REF!</v>
      </c>
      <c r="F23" s="69" t="s">
        <v>618</v>
      </c>
      <c r="G23" s="58"/>
      <c r="H23" s="13"/>
      <c r="I23" s="13"/>
    </row>
    <row r="24" spans="1:9" ht="25.5" customHeight="1">
      <c r="A24" s="49">
        <v>4</v>
      </c>
      <c r="B24" s="51" t="s">
        <v>604</v>
      </c>
      <c r="C24" s="49" t="s">
        <v>559</v>
      </c>
      <c r="D24" s="53">
        <v>7145</v>
      </c>
      <c r="E24" s="70" t="e">
        <f>'B2 SXNN'!#REF!</f>
        <v>#REF!</v>
      </c>
      <c r="F24" s="69" t="s">
        <v>617</v>
      </c>
      <c r="G24" s="58"/>
    </row>
    <row r="25" spans="1:9">
      <c r="A25" s="54" t="s">
        <v>100</v>
      </c>
      <c r="B25" s="54" t="s">
        <v>393</v>
      </c>
      <c r="C25" s="49"/>
      <c r="D25" s="49"/>
      <c r="E25" s="49"/>
      <c r="F25" s="71"/>
      <c r="G25" s="50"/>
    </row>
    <row r="26" spans="1:9" ht="31.5">
      <c r="A26" s="49"/>
      <c r="B26" s="42" t="s">
        <v>610</v>
      </c>
      <c r="C26" s="43" t="s">
        <v>279</v>
      </c>
      <c r="D26" s="44">
        <v>8135</v>
      </c>
      <c r="E26" s="53" t="e">
        <f>'B11 VHTT'!#REF!</f>
        <v>#REF!</v>
      </c>
      <c r="F26" s="2134" t="s">
        <v>609</v>
      </c>
      <c r="G26" s="50"/>
    </row>
    <row r="27" spans="1:9" ht="31.5">
      <c r="A27" s="49"/>
      <c r="B27" s="42" t="s">
        <v>474</v>
      </c>
      <c r="C27" s="43" t="s">
        <v>26</v>
      </c>
      <c r="D27" s="45">
        <v>79</v>
      </c>
      <c r="E27" s="52" t="e">
        <f>'B11 VHTT'!#REF!</f>
        <v>#REF!</v>
      </c>
      <c r="F27" s="2135"/>
      <c r="G27" s="50"/>
    </row>
    <row r="28" spans="1:9" s="10" customFormat="1">
      <c r="A28" s="61"/>
      <c r="B28" s="62"/>
      <c r="C28" s="63"/>
      <c r="D28" s="64"/>
      <c r="E28" s="65"/>
      <c r="F28" s="41"/>
      <c r="G28" s="59"/>
      <c r="H28" s="13"/>
      <c r="I28" s="13"/>
    </row>
    <row r="29" spans="1:9" s="10" customFormat="1">
      <c r="A29" s="61"/>
      <c r="B29" s="62"/>
      <c r="C29" s="63"/>
      <c r="D29" s="64"/>
      <c r="E29" s="65"/>
      <c r="F29" s="65"/>
      <c r="G29" s="59"/>
      <c r="H29" s="13"/>
      <c r="I29" s="13"/>
    </row>
    <row r="30" spans="1:9">
      <c r="A30" s="55"/>
      <c r="B30" s="55"/>
      <c r="C30" s="55"/>
      <c r="D30" s="55"/>
      <c r="E30" s="55"/>
      <c r="F30" s="56"/>
      <c r="G30" s="56"/>
    </row>
  </sheetData>
  <mergeCells count="6">
    <mergeCell ref="F26:F27"/>
    <mergeCell ref="A2:G2"/>
    <mergeCell ref="F9:F12"/>
    <mergeCell ref="F21:F22"/>
    <mergeCell ref="F15:F18"/>
    <mergeCell ref="F7:F8"/>
  </mergeCells>
  <pageMargins left="0.27559055118110237" right="0.23622047244094491" top="0.52" bottom="0.74803149606299213" header="0.31496062992125984" footer="0.31496062992125984"/>
  <pageSetup paperSize="9" orientation="landscape" r:id="rId1"/>
  <drawing r:id="rId2"/>
</worksheet>
</file>

<file path=xl/worksheets/sheet1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69"/>
  <sheetViews>
    <sheetView workbookViewId="0">
      <pane xSplit="3" ySplit="4" topLeftCell="D50" activePane="bottomRight" state="frozen"/>
      <selection pane="topRight" activeCell="D1" sqref="D1"/>
      <selection pane="bottomLeft" activeCell="A5" sqref="A5"/>
      <selection pane="bottomRight" activeCell="J13" sqref="J13"/>
    </sheetView>
  </sheetViews>
  <sheetFormatPr defaultRowHeight="15.75"/>
  <cols>
    <col min="1" max="1" width="6.125" style="74" customWidth="1"/>
    <col min="2" max="2" width="28.75" style="74" customWidth="1"/>
    <col min="3" max="3" width="8.75" style="74" customWidth="1"/>
    <col min="4" max="4" width="14" style="74" customWidth="1"/>
    <col min="5" max="5" width="14.875" style="74" customWidth="1"/>
    <col min="6" max="6" width="16" style="74" customWidth="1"/>
    <col min="7" max="7" width="22.75" style="15" customWidth="1"/>
    <col min="8" max="9" width="9" style="13"/>
  </cols>
  <sheetData>
    <row r="1" spans="1:9">
      <c r="A1" s="2061" t="s">
        <v>624</v>
      </c>
      <c r="B1" s="2061"/>
      <c r="C1" s="2061"/>
      <c r="D1" s="2061"/>
      <c r="E1" s="2061"/>
      <c r="F1" s="2061"/>
      <c r="H1" s="73"/>
    </row>
    <row r="2" spans="1:9" ht="16.5" thickBot="1"/>
    <row r="3" spans="1:9" ht="47.25">
      <c r="A3" s="80" t="s">
        <v>178</v>
      </c>
      <c r="B3" s="79" t="s">
        <v>56</v>
      </c>
      <c r="C3" s="79" t="s">
        <v>57</v>
      </c>
      <c r="D3" s="79" t="s">
        <v>622</v>
      </c>
      <c r="E3" s="79" t="s">
        <v>623</v>
      </c>
      <c r="F3" s="109" t="s">
        <v>639</v>
      </c>
      <c r="G3" s="114" t="s">
        <v>10</v>
      </c>
    </row>
    <row r="4" spans="1:9" s="10" customFormat="1">
      <c r="A4" s="2141" t="s">
        <v>629</v>
      </c>
      <c r="B4" s="2142"/>
      <c r="C4" s="2142"/>
      <c r="D4" s="2142"/>
      <c r="E4" s="2142"/>
      <c r="F4" s="2142"/>
      <c r="G4" s="115"/>
      <c r="H4" s="13"/>
      <c r="I4" s="13"/>
    </row>
    <row r="5" spans="1:9" s="14" customFormat="1">
      <c r="A5" s="89"/>
      <c r="B5" s="90" t="str">
        <f>'B2 SXNN'!B90</f>
        <v>Tốc độ tăng trưởng đàn gia súc</v>
      </c>
      <c r="C5" s="91" t="str">
        <f>'B2 SXNN'!C90</f>
        <v>%</v>
      </c>
      <c r="D5" s="92" t="e">
        <f>'B2 SXNN'!#REF!</f>
        <v>#REF!</v>
      </c>
      <c r="E5" s="93">
        <v>4.7</v>
      </c>
      <c r="F5" s="110" t="e">
        <f>D5-E5</f>
        <v>#REF!</v>
      </c>
      <c r="G5" s="115" t="s">
        <v>641</v>
      </c>
      <c r="H5" s="11"/>
      <c r="I5" s="11"/>
    </row>
    <row r="6" spans="1:9" s="14" customFormat="1">
      <c r="A6" s="94"/>
      <c r="B6" s="95" t="str">
        <f>'B2 SXNN'!B92</f>
        <v>Thịt hơi các loại</v>
      </c>
      <c r="C6" s="96" t="str">
        <f>'B2 SXNN'!C92</f>
        <v>Tấn</v>
      </c>
      <c r="D6" s="97" t="e">
        <f>'B2 SXNN'!#REF!</f>
        <v>#REF!</v>
      </c>
      <c r="E6" s="98">
        <v>1.7</v>
      </c>
      <c r="F6" s="111" t="e">
        <f t="shared" ref="F6:F63" si="0">D6-E6</f>
        <v>#REF!</v>
      </c>
      <c r="G6" s="115" t="s">
        <v>641</v>
      </c>
      <c r="H6" s="11"/>
      <c r="I6" s="11"/>
    </row>
    <row r="7" spans="1:9">
      <c r="A7" s="75"/>
      <c r="B7" s="81" t="str">
        <f>'B2 SXNN'!B93</f>
        <v>Trong đó: Thịt lợn</v>
      </c>
      <c r="C7" s="76" t="str">
        <f>'B2 SXNN'!C93</f>
        <v>Tấn</v>
      </c>
      <c r="D7" s="83" t="e">
        <f>'B2 SXNN'!#REF!</f>
        <v>#REF!</v>
      </c>
      <c r="E7" s="83">
        <v>1.2</v>
      </c>
      <c r="F7" s="111" t="e">
        <f t="shared" si="0"/>
        <v>#REF!</v>
      </c>
      <c r="G7" s="115" t="s">
        <v>641</v>
      </c>
    </row>
    <row r="8" spans="1:9" s="14" customFormat="1">
      <c r="A8" s="94"/>
      <c r="B8" s="95" t="s">
        <v>625</v>
      </c>
      <c r="C8" s="96" t="str">
        <f>'B2 SXNN'!C97</f>
        <v>Tấn</v>
      </c>
      <c r="D8" s="99" t="e">
        <f>'B2 SXNN'!#REF!</f>
        <v>#REF!</v>
      </c>
      <c r="E8" s="100">
        <v>155</v>
      </c>
      <c r="F8" s="110" t="e">
        <f>D8-E8</f>
        <v>#REF!</v>
      </c>
      <c r="G8" s="115" t="s">
        <v>641</v>
      </c>
      <c r="H8" s="11"/>
      <c r="I8" s="11"/>
    </row>
    <row r="9" spans="1:9" s="14" customFormat="1" ht="31.5" customHeight="1">
      <c r="A9" s="94"/>
      <c r="B9" s="95" t="str">
        <f>'B2 SXNN'!B104</f>
        <v>Tỷ lệ che phủ rừng</v>
      </c>
      <c r="C9" s="96" t="s">
        <v>26</v>
      </c>
      <c r="D9" s="99" t="e">
        <f>'B2 SXNN'!#REF!</f>
        <v>#REF!</v>
      </c>
      <c r="E9" s="103">
        <v>65.7</v>
      </c>
      <c r="F9" s="110" t="e">
        <f t="shared" si="0"/>
        <v>#REF!</v>
      </c>
      <c r="G9" s="2151" t="s">
        <v>641</v>
      </c>
      <c r="H9" s="11"/>
      <c r="I9" s="11"/>
    </row>
    <row r="10" spans="1:9" s="14" customFormat="1" ht="63">
      <c r="A10" s="94"/>
      <c r="B10" s="95" t="str">
        <f>'B2 SXNN'!B105</f>
        <v xml:space="preserve"> Tổng DT rừng hiện có 
(bao gồm cả diện tích rừng trồng chưa thành rừng che phủ và rừng cao su)</v>
      </c>
      <c r="C10" s="96" t="str">
        <f>'B2 SXNN'!C105</f>
        <v>Ha</v>
      </c>
      <c r="D10" s="123" t="e">
        <f>'B2 SXNN'!#REF!</f>
        <v>#REF!</v>
      </c>
      <c r="E10" s="124">
        <v>177284</v>
      </c>
      <c r="F10" s="110" t="e">
        <f t="shared" si="0"/>
        <v>#REF!</v>
      </c>
      <c r="G10" s="2152"/>
      <c r="H10" s="11"/>
      <c r="I10" s="11"/>
    </row>
    <row r="11" spans="1:9" s="14" customFormat="1" ht="31.5">
      <c r="A11" s="94"/>
      <c r="B11" s="95" t="str">
        <f>'B2 SXNN'!B106</f>
        <v xml:space="preserve">Trong đó diện tích rừng trồng mới </v>
      </c>
      <c r="C11" s="96" t="str">
        <f>'B2 SXNN'!C106</f>
        <v>Ha</v>
      </c>
      <c r="D11" s="101" t="e">
        <f>'B2 SXNN'!#REF!</f>
        <v>#REF!</v>
      </c>
      <c r="E11" s="101">
        <v>500</v>
      </c>
      <c r="F11" s="110" t="e">
        <f t="shared" si="0"/>
        <v>#REF!</v>
      </c>
      <c r="G11" s="115" t="s">
        <v>641</v>
      </c>
      <c r="H11" s="11"/>
      <c r="I11" s="11"/>
    </row>
    <row r="12" spans="1:9">
      <c r="A12" s="75"/>
      <c r="B12" s="81" t="s">
        <v>626</v>
      </c>
      <c r="C12" s="76" t="str">
        <f>'B2 SXNN'!C107</f>
        <v>Ha</v>
      </c>
      <c r="D12" s="86" t="e">
        <f>'B2 SXNN'!#REF!</f>
        <v>#REF!</v>
      </c>
      <c r="E12" s="86">
        <v>350</v>
      </c>
      <c r="F12" s="111" t="e">
        <f t="shared" si="0"/>
        <v>#REF!</v>
      </c>
      <c r="G12" s="115" t="s">
        <v>641</v>
      </c>
    </row>
    <row r="13" spans="1:9">
      <c r="A13" s="75"/>
      <c r="B13" s="81" t="s">
        <v>146</v>
      </c>
      <c r="C13" s="76" t="str">
        <f>'B2 SXNN'!C108</f>
        <v>Ha</v>
      </c>
      <c r="D13" s="86">
        <v>0</v>
      </c>
      <c r="E13" s="86">
        <v>50</v>
      </c>
      <c r="F13" s="111">
        <f t="shared" si="0"/>
        <v>-50</v>
      </c>
      <c r="G13" s="115" t="s">
        <v>641</v>
      </c>
    </row>
    <row r="14" spans="1:9">
      <c r="A14" s="75"/>
      <c r="B14" s="81" t="s">
        <v>627</v>
      </c>
      <c r="C14" s="76" t="str">
        <f>'B2 SXNN'!C109</f>
        <v>Ha</v>
      </c>
      <c r="D14" s="86" t="e">
        <f>'B2 SXNN'!#REF!</f>
        <v>#REF!</v>
      </c>
      <c r="E14" s="86">
        <v>100</v>
      </c>
      <c r="F14" s="110" t="e">
        <f t="shared" si="0"/>
        <v>#REF!</v>
      </c>
      <c r="G14" s="115"/>
    </row>
    <row r="15" spans="1:9" s="14" customFormat="1">
      <c r="A15" s="94"/>
      <c r="B15" s="95" t="str">
        <f>'B2 SXNN'!B112</f>
        <v xml:space="preserve">  Rừng tự nhiên</v>
      </c>
      <c r="C15" s="96" t="str">
        <f>'B2 SXNN'!C112</f>
        <v>Ha</v>
      </c>
      <c r="D15" s="99" t="e">
        <f>'B2 SXNN'!#REF!</f>
        <v>#REF!</v>
      </c>
      <c r="E15" s="102">
        <v>175442.01</v>
      </c>
      <c r="F15" s="110" t="e">
        <f t="shared" si="0"/>
        <v>#REF!</v>
      </c>
      <c r="G15" s="2151" t="s">
        <v>649</v>
      </c>
      <c r="H15" s="11"/>
      <c r="I15" s="11"/>
    </row>
    <row r="16" spans="1:9" s="10" customFormat="1">
      <c r="A16" s="75"/>
      <c r="B16" s="81" t="str">
        <f>'B2 SXNN'!B113</f>
        <v xml:space="preserve"> + Rừng đặc dụng</v>
      </c>
      <c r="C16" s="76" t="str">
        <f>'B2 SXNN'!C113</f>
        <v>Ha</v>
      </c>
      <c r="D16" s="85" t="e">
        <f>'B2 SXNN'!#REF!</f>
        <v>#REF!</v>
      </c>
      <c r="E16" s="88">
        <v>21882.46</v>
      </c>
      <c r="F16" s="110" t="e">
        <f t="shared" si="0"/>
        <v>#REF!</v>
      </c>
      <c r="G16" s="2153"/>
      <c r="H16" s="13"/>
      <c r="I16" s="13"/>
    </row>
    <row r="17" spans="1:9" s="10" customFormat="1">
      <c r="A17" s="75"/>
      <c r="B17" s="81" t="str">
        <f>'B2 SXNN'!B114</f>
        <v xml:space="preserve"> + Rừng phòng hộ</v>
      </c>
      <c r="C17" s="76" t="str">
        <f>'B2 SXNN'!C114</f>
        <v>Ha</v>
      </c>
      <c r="D17" s="85" t="e">
        <f>'B2 SXNN'!#REF!</f>
        <v>#REF!</v>
      </c>
      <c r="E17" s="88">
        <v>80293.31</v>
      </c>
      <c r="F17" s="110" t="e">
        <f t="shared" si="0"/>
        <v>#REF!</v>
      </c>
      <c r="G17" s="2153"/>
      <c r="H17" s="13"/>
      <c r="I17" s="13"/>
    </row>
    <row r="18" spans="1:9" s="10" customFormat="1">
      <c r="A18" s="75"/>
      <c r="B18" s="81" t="str">
        <f>'B2 SXNN'!B115</f>
        <v xml:space="preserve"> + Rừng sản xuất</v>
      </c>
      <c r="C18" s="76" t="str">
        <f>'B2 SXNN'!C115</f>
        <v>Ha</v>
      </c>
      <c r="D18" s="85" t="e">
        <f>'B2 SXNN'!#REF!</f>
        <v>#REF!</v>
      </c>
      <c r="E18" s="88">
        <v>73266.240000000005</v>
      </c>
      <c r="F18" s="110" t="e">
        <f t="shared" si="0"/>
        <v>#REF!</v>
      </c>
      <c r="G18" s="2152"/>
      <c r="H18" s="13"/>
      <c r="I18" s="13"/>
    </row>
    <row r="19" spans="1:9" s="14" customFormat="1">
      <c r="A19" s="94"/>
      <c r="B19" s="95" t="str">
        <f>'B2 SXNN'!B134</f>
        <v>Cây mắc ca (Tổng diện tích)</v>
      </c>
      <c r="C19" s="96" t="str">
        <f>'B2 SXNN'!C134</f>
        <v>ha</v>
      </c>
      <c r="D19" s="121" t="e">
        <f>'B2 SXNN'!#REF!</f>
        <v>#REF!</v>
      </c>
      <c r="E19" s="100">
        <v>566</v>
      </c>
      <c r="F19" s="110" t="e">
        <f t="shared" si="0"/>
        <v>#REF!</v>
      </c>
      <c r="G19" s="115" t="s">
        <v>640</v>
      </c>
      <c r="H19" s="11"/>
      <c r="I19" s="11"/>
    </row>
    <row r="20" spans="1:9" s="14" customFormat="1" ht="31.5">
      <c r="A20" s="94"/>
      <c r="B20" s="95" t="str">
        <f>'B2 SXNN'!B140</f>
        <v>- Khoán bảo vệ rừng</v>
      </c>
      <c r="C20" s="96" t="str">
        <f>'B2 SXNN'!C140</f>
        <v>ha</v>
      </c>
      <c r="D20" s="99" t="e">
        <f>'B2 SXNN'!#REF!</f>
        <v>#REF!</v>
      </c>
      <c r="E20" s="99">
        <v>175442.31</v>
      </c>
      <c r="F20" s="110" t="e">
        <f t="shared" si="0"/>
        <v>#REF!</v>
      </c>
      <c r="G20" s="122" t="s">
        <v>634</v>
      </c>
      <c r="H20" s="11"/>
      <c r="I20" s="11"/>
    </row>
    <row r="21" spans="1:9" s="14" customFormat="1">
      <c r="A21" s="94"/>
      <c r="B21" s="95" t="str">
        <f>'B2 SXNN'!B141</f>
        <v>- Khoanh nuôi rừng tái sinh</v>
      </c>
      <c r="C21" s="96" t="str">
        <f>'B2 SXNN'!C141</f>
        <v>ha</v>
      </c>
      <c r="D21" s="99" t="e">
        <f>'B2 SXNN'!#REF!</f>
        <v>#REF!</v>
      </c>
      <c r="E21" s="99">
        <v>7145</v>
      </c>
      <c r="F21" s="110" t="e">
        <f t="shared" si="0"/>
        <v>#REF!</v>
      </c>
      <c r="G21" s="115" t="s">
        <v>641</v>
      </c>
      <c r="H21" s="11"/>
      <c r="I21" s="11"/>
    </row>
    <row r="22" spans="1:9" s="14" customFormat="1" ht="31.5">
      <c r="A22" s="94"/>
      <c r="B22" s="105" t="s">
        <v>628</v>
      </c>
      <c r="C22" s="106" t="str">
        <f>'B2 SXNN'!C153</f>
        <v>Tiêu chí/xã</v>
      </c>
      <c r="D22" s="99" t="e">
        <f>'B2 SXNN'!#REF!</f>
        <v>#REF!</v>
      </c>
      <c r="E22" s="101">
        <v>15.4</v>
      </c>
      <c r="F22" s="110" t="e">
        <f t="shared" si="0"/>
        <v>#REF!</v>
      </c>
      <c r="G22" s="115" t="s">
        <v>641</v>
      </c>
      <c r="H22" s="11"/>
      <c r="I22" s="11"/>
    </row>
    <row r="23" spans="1:9" s="10" customFormat="1">
      <c r="A23" s="2143" t="s">
        <v>630</v>
      </c>
      <c r="B23" s="2144"/>
      <c r="C23" s="2144"/>
      <c r="D23" s="2144"/>
      <c r="E23" s="2144"/>
      <c r="F23" s="2144"/>
      <c r="G23" s="115"/>
      <c r="H23" s="13"/>
      <c r="I23" s="13"/>
    </row>
    <row r="24" spans="1:9" s="14" customFormat="1">
      <c r="A24" s="94" t="s">
        <v>83</v>
      </c>
      <c r="B24" s="105" t="str">
        <f>'B4 SXCN'!B13</f>
        <v xml:space="preserve"> Giá trị sản xuất Công nghiệp</v>
      </c>
      <c r="C24" s="96" t="str">
        <f>'B4 SXCN'!C13</f>
        <v>Tỷ đồng</v>
      </c>
      <c r="D24" s="101" t="e">
        <f>'B4 SXCN'!#REF!</f>
        <v>#REF!</v>
      </c>
      <c r="E24" s="103">
        <v>240.66603345263334</v>
      </c>
      <c r="F24" s="110" t="e">
        <f t="shared" si="0"/>
        <v>#REF!</v>
      </c>
      <c r="G24" s="2148" t="s">
        <v>641</v>
      </c>
      <c r="H24" s="11"/>
      <c r="I24" s="11"/>
    </row>
    <row r="25" spans="1:9" s="14" customFormat="1">
      <c r="A25" s="94">
        <v>1</v>
      </c>
      <c r="B25" s="105" t="str">
        <f>'B4 SXCN'!B14</f>
        <v xml:space="preserve"> Phân theo thành phần kinh tế</v>
      </c>
      <c r="C25" s="96">
        <f>'B4 SXCN'!C14</f>
        <v>0</v>
      </c>
      <c r="D25" s="101" t="e">
        <f>'B4 SXCN'!#REF!</f>
        <v>#REF!</v>
      </c>
      <c r="E25" s="103">
        <v>240.66603345263334</v>
      </c>
      <c r="F25" s="110" t="e">
        <f t="shared" si="0"/>
        <v>#REF!</v>
      </c>
      <c r="G25" s="2149"/>
      <c r="H25" s="11"/>
      <c r="I25" s="11"/>
    </row>
    <row r="26" spans="1:9" s="10" customFormat="1">
      <c r="A26" s="75"/>
      <c r="B26" s="104" t="str">
        <f>'B4 SXCN'!B15</f>
        <v>- Quốc doanh Trung ương</v>
      </c>
      <c r="C26" s="76" t="str">
        <f>'B4 SXCN'!C15</f>
        <v>Tỷ đồng</v>
      </c>
      <c r="D26" s="86" t="e">
        <f>'B4 SXCN'!#REF!</f>
        <v>#REF!</v>
      </c>
      <c r="E26" s="87">
        <v>0</v>
      </c>
      <c r="F26" s="110" t="e">
        <f t="shared" si="0"/>
        <v>#REF!</v>
      </c>
      <c r="G26" s="2149"/>
      <c r="H26" s="13"/>
      <c r="I26" s="13"/>
    </row>
    <row r="27" spans="1:9" s="10" customFormat="1">
      <c r="A27" s="75"/>
      <c r="B27" s="104" t="str">
        <f>'B4 SXCN'!B16</f>
        <v>- Quốc doanh địa phương</v>
      </c>
      <c r="C27" s="76" t="str">
        <f>'B4 SXCN'!C16</f>
        <v>Tỷ đồng</v>
      </c>
      <c r="D27" s="86" t="e">
        <f>'B4 SXCN'!#REF!</f>
        <v>#REF!</v>
      </c>
      <c r="E27" s="87">
        <v>0.57543520309477758</v>
      </c>
      <c r="F27" s="110" t="e">
        <f t="shared" si="0"/>
        <v>#REF!</v>
      </c>
      <c r="G27" s="2149"/>
      <c r="H27" s="13"/>
      <c r="I27" s="13"/>
    </row>
    <row r="28" spans="1:9" s="10" customFormat="1">
      <c r="A28" s="75"/>
      <c r="B28" s="104" t="str">
        <f>'B4 SXCN'!B17</f>
        <v>- CN ngoài quốc doanh</v>
      </c>
      <c r="C28" s="76" t="str">
        <f>'B4 SXCN'!C17</f>
        <v>Tỷ đồng</v>
      </c>
      <c r="D28" s="86" t="e">
        <f>'B4 SXCN'!#REF!</f>
        <v>#REF!</v>
      </c>
      <c r="E28" s="87">
        <v>240.09059824953857</v>
      </c>
      <c r="F28" s="110" t="e">
        <f t="shared" si="0"/>
        <v>#REF!</v>
      </c>
      <c r="G28" s="2149"/>
      <c r="H28" s="13"/>
      <c r="I28" s="13"/>
    </row>
    <row r="29" spans="1:9" s="10" customFormat="1">
      <c r="A29" s="75"/>
      <c r="B29" s="104" t="str">
        <f>'B4 SXCN'!B18</f>
        <v>- CN có vốn đầu tư nước ngoài</v>
      </c>
      <c r="C29" s="76" t="str">
        <f>'B4 SXCN'!C18</f>
        <v>Tỷ đồng</v>
      </c>
      <c r="D29" s="86" t="e">
        <f>'B4 SXCN'!#REF!</f>
        <v>#REF!</v>
      </c>
      <c r="E29" s="87">
        <v>0</v>
      </c>
      <c r="F29" s="110" t="e">
        <f t="shared" si="0"/>
        <v>#REF!</v>
      </c>
      <c r="G29" s="2149"/>
      <c r="H29" s="13"/>
      <c r="I29" s="13"/>
    </row>
    <row r="30" spans="1:9" s="14" customFormat="1">
      <c r="A30" s="94">
        <v>2</v>
      </c>
      <c r="B30" s="105" t="str">
        <f>'B4 SXCN'!B19</f>
        <v>Phân theo ngành công nghiệp</v>
      </c>
      <c r="C30" s="96" t="str">
        <f>'B4 SXCN'!C19</f>
        <v>Tỷ đồng</v>
      </c>
      <c r="D30" s="101" t="e">
        <f>'B4 SXCN'!#REF!</f>
        <v>#REF!</v>
      </c>
      <c r="E30" s="103">
        <v>240.66603345263334</v>
      </c>
      <c r="F30" s="110" t="e">
        <f t="shared" si="0"/>
        <v>#REF!</v>
      </c>
      <c r="G30" s="2149"/>
      <c r="H30" s="11"/>
      <c r="I30" s="11"/>
    </row>
    <row r="31" spans="1:9" s="10" customFormat="1">
      <c r="A31" s="75"/>
      <c r="B31" s="104" t="str">
        <f>'B4 SXCN'!B20</f>
        <v xml:space="preserve"> - Công nghiệp khai khoáng</v>
      </c>
      <c r="C31" s="76" t="str">
        <f>'B4 SXCN'!C20</f>
        <v>Tỷ đồng</v>
      </c>
      <c r="D31" s="85" t="e">
        <f>'B4 SXCN'!#REF!</f>
        <v>#REF!</v>
      </c>
      <c r="E31" s="87">
        <v>8.9495016030311856</v>
      </c>
      <c r="F31" s="110" t="e">
        <f t="shared" si="0"/>
        <v>#REF!</v>
      </c>
      <c r="G31" s="2149"/>
      <c r="H31" s="13"/>
      <c r="I31" s="13"/>
    </row>
    <row r="32" spans="1:9" s="10" customFormat="1">
      <c r="A32" s="75"/>
      <c r="B32" s="104" t="str">
        <f>'B4 SXCN'!B21</f>
        <v xml:space="preserve"> - Công nghiệp chế biến, chế tạo</v>
      </c>
      <c r="C32" s="76" t="str">
        <f>'B4 SXCN'!C21</f>
        <v>Tỷ đồng</v>
      </c>
      <c r="D32" s="85" t="e">
        <f>'B4 SXCN'!#REF!</f>
        <v>#REF!</v>
      </c>
      <c r="E32" s="87">
        <v>26.269086912932831</v>
      </c>
      <c r="F32" s="110" t="e">
        <f t="shared" si="0"/>
        <v>#REF!</v>
      </c>
      <c r="G32" s="2149"/>
      <c r="H32" s="13"/>
      <c r="I32" s="13"/>
    </row>
    <row r="33" spans="1:9" ht="31.5">
      <c r="A33" s="75"/>
      <c r="B33" s="104" t="str">
        <f>'B4 SXCN'!B22</f>
        <v xml:space="preserve"> - Sản xuất và phân phối điện, khí đốt, nước</v>
      </c>
      <c r="C33" s="76" t="str">
        <f>'B4 SXCN'!C22</f>
        <v>Tỷ đồng</v>
      </c>
      <c r="D33" s="85" t="e">
        <f>'B4 SXCN'!#REF!</f>
        <v>#REF!</v>
      </c>
      <c r="E33" s="83">
        <v>202.73709677419353</v>
      </c>
      <c r="F33" s="110" t="e">
        <f t="shared" si="0"/>
        <v>#REF!</v>
      </c>
      <c r="G33" s="2149"/>
    </row>
    <row r="34" spans="1:9" ht="31.5">
      <c r="A34" s="75"/>
      <c r="B34" s="104" t="str">
        <f>'B4 SXCN'!B23</f>
        <v xml:space="preserve"> - Cung cấp nước, quản lý và xử lý rác thải, nước thải</v>
      </c>
      <c r="C34" s="76" t="str">
        <f>'B4 SXCN'!C23</f>
        <v>Tỷ đồng</v>
      </c>
      <c r="D34" s="107" t="e">
        <f>'B4 SXCN'!#REF!</f>
        <v>#REF!</v>
      </c>
      <c r="E34" s="108">
        <v>2.7103481624758219</v>
      </c>
      <c r="F34" s="110" t="e">
        <f t="shared" si="0"/>
        <v>#REF!</v>
      </c>
      <c r="G34" s="2149"/>
    </row>
    <row r="35" spans="1:9" s="14" customFormat="1">
      <c r="A35" s="94" t="s">
        <v>100</v>
      </c>
      <c r="B35" s="105" t="str">
        <f>'B4 SXCN'!B29</f>
        <v>Một số sản phẩm chủ yếu</v>
      </c>
      <c r="C35" s="96"/>
      <c r="D35" s="99"/>
      <c r="E35" s="98"/>
      <c r="F35" s="110">
        <f t="shared" si="0"/>
        <v>0</v>
      </c>
      <c r="G35" s="2149"/>
      <c r="H35" s="11"/>
      <c r="I35" s="11"/>
    </row>
    <row r="36" spans="1:9" s="10" customFormat="1">
      <c r="A36" s="75"/>
      <c r="B36" s="104" t="str">
        <f>'B4 SXCN'!B33</f>
        <v>Nước máy sản xuất</v>
      </c>
      <c r="C36" s="84" t="str">
        <f>'B4 SXCN'!C33</f>
        <v>1000m3</v>
      </c>
      <c r="D36" s="85" t="e">
        <f>'B4 SXCN'!#REF!</f>
        <v>#REF!</v>
      </c>
      <c r="E36" s="83">
        <v>136</v>
      </c>
      <c r="F36" s="110" t="e">
        <f t="shared" si="0"/>
        <v>#REF!</v>
      </c>
      <c r="G36" s="2150"/>
      <c r="H36" s="13"/>
      <c r="I36" s="13"/>
    </row>
    <row r="37" spans="1:9" s="10" customFormat="1">
      <c r="A37" s="2143" t="s">
        <v>631</v>
      </c>
      <c r="B37" s="2144"/>
      <c r="C37" s="2144"/>
      <c r="D37" s="2144"/>
      <c r="E37" s="2144"/>
      <c r="F37" s="2144"/>
      <c r="G37" s="115"/>
      <c r="H37" s="13"/>
      <c r="I37" s="13"/>
    </row>
    <row r="38" spans="1:9" s="10" customFormat="1">
      <c r="A38" s="75"/>
      <c r="B38" s="104" t="str">
        <f>'B7 LD&amp;VL-XDGN'!B13</f>
        <v>Mức giảm tỷ lệ hộ nghèo</v>
      </c>
      <c r="C38" s="84" t="str">
        <f>'B7 LD&amp;VL-XDGN'!C13</f>
        <v>%</v>
      </c>
      <c r="D38" s="87" t="e">
        <f>'B7 LD&amp;VL-XDGN'!#REF!</f>
        <v>#REF!</v>
      </c>
      <c r="E38" s="83">
        <v>6.8</v>
      </c>
      <c r="F38" s="110" t="e">
        <f t="shared" si="0"/>
        <v>#REF!</v>
      </c>
      <c r="G38" s="115"/>
      <c r="H38" s="13"/>
      <c r="I38" s="13"/>
    </row>
    <row r="39" spans="1:9" s="10" customFormat="1">
      <c r="A39" s="75"/>
      <c r="B39" s="104" t="str">
        <f>'B7 LD&amp;VL-XDGN'!B15</f>
        <v>Số hộ cận nghèo</v>
      </c>
      <c r="C39" s="84" t="str">
        <f>'B7 LD&amp;VL-XDGN'!C15</f>
        <v xml:space="preserve">Hộ </v>
      </c>
      <c r="D39" s="85" t="e">
        <f>'B7 LD&amp;VL-XDGN'!#REF!</f>
        <v>#REF!</v>
      </c>
      <c r="E39" s="83">
        <v>350</v>
      </c>
      <c r="F39" s="110" t="e">
        <f t="shared" si="0"/>
        <v>#REF!</v>
      </c>
      <c r="G39" s="115"/>
      <c r="H39" s="13"/>
      <c r="I39" s="13"/>
    </row>
    <row r="40" spans="1:9" s="10" customFormat="1">
      <c r="A40" s="75"/>
      <c r="B40" s="104" t="str">
        <f>'B7 LD&amp;VL-XDGN'!B17</f>
        <v>Số hộ thoát nghèo</v>
      </c>
      <c r="C40" s="84" t="str">
        <f>'B7 LD&amp;VL-XDGN'!C17</f>
        <v xml:space="preserve">Hộ </v>
      </c>
      <c r="D40" s="85" t="e">
        <f>'B7 LD&amp;VL-XDGN'!#REF!</f>
        <v>#REF!</v>
      </c>
      <c r="E40" s="83">
        <v>619</v>
      </c>
      <c r="F40" s="110" t="e">
        <f t="shared" si="0"/>
        <v>#REF!</v>
      </c>
      <c r="G40" s="115"/>
      <c r="H40" s="13"/>
      <c r="I40" s="13"/>
    </row>
    <row r="41" spans="1:9" s="10" customFormat="1" ht="31.5">
      <c r="A41" s="75"/>
      <c r="B41" s="104" t="str">
        <f>'B7 LD&amp;VL-XDGN'!B23</f>
        <v xml:space="preserve">  + Số xã đặc biệt khó khăn (theo tiêu chuẩn của Chương trình 135)</v>
      </c>
      <c r="C41" s="84" t="str">
        <f>'B7 LD&amp;VL-XDGN'!C23</f>
        <v>Xã</v>
      </c>
      <c r="D41" s="85" t="e">
        <f>'B7 LD&amp;VL-XDGN'!#REF!</f>
        <v>#REF!</v>
      </c>
      <c r="E41" s="83">
        <v>11</v>
      </c>
      <c r="F41" s="110" t="e">
        <f t="shared" si="0"/>
        <v>#REF!</v>
      </c>
      <c r="G41" s="115" t="s">
        <v>641</v>
      </c>
      <c r="H41" s="13"/>
      <c r="I41" s="13"/>
    </row>
    <row r="42" spans="1:9" s="10" customFormat="1" ht="31.5">
      <c r="A42" s="75"/>
      <c r="B42" s="104" t="str">
        <f>'B7 LD&amp;VL-XDGN'!B27</f>
        <v xml:space="preserve"> - Tỷ lệ bản, khu phố có đường xe máy hoặc ô tô đi lại thuận lợi</v>
      </c>
      <c r="C42" s="84" t="str">
        <f>'B7 LD&amp;VL-XDGN'!C27</f>
        <v>%</v>
      </c>
      <c r="D42" s="85" t="e">
        <f>'B7 LD&amp;VL-XDGN'!#REF!</f>
        <v>#REF!</v>
      </c>
      <c r="E42" s="83">
        <v>100</v>
      </c>
      <c r="F42" s="110" t="e">
        <f t="shared" si="0"/>
        <v>#REF!</v>
      </c>
      <c r="G42" s="115" t="s">
        <v>641</v>
      </c>
      <c r="H42" s="13"/>
      <c r="I42" s="13"/>
    </row>
    <row r="43" spans="1:9" s="10" customFormat="1" ht="47.25">
      <c r="A43" s="75"/>
      <c r="B43" s="104" t="str">
        <f>'B7 LD&amp;VL-XDGN'!B31</f>
        <v xml:space="preserve"> - Tỷ lệ số hộ được sử dụng điện lưới quốc gia (tính theo số hợp đồng lắp đặt mua bán điện)</v>
      </c>
      <c r="C43" s="84" t="str">
        <f>'B7 LD&amp;VL-XDGN'!C31</f>
        <v>%</v>
      </c>
      <c r="D43" s="85" t="e">
        <f>'B7 LD&amp;VL-XDGN'!#REF!</f>
        <v>#REF!</v>
      </c>
      <c r="E43" s="83">
        <v>84.6</v>
      </c>
      <c r="F43" s="110" t="e">
        <f t="shared" si="0"/>
        <v>#REF!</v>
      </c>
      <c r="G43" s="115" t="s">
        <v>642</v>
      </c>
      <c r="H43" s="13"/>
      <c r="I43" s="13"/>
    </row>
    <row r="44" spans="1:9" s="10" customFormat="1" ht="31.5">
      <c r="A44" s="75"/>
      <c r="B44" s="104" t="str">
        <f>'B7 LD&amp;VL-XDGN'!B55</f>
        <v xml:space="preserve">Tỷ lệ lao động được đào tạo so với tổng số lao động </v>
      </c>
      <c r="C44" s="84" t="str">
        <f>'B7 LD&amp;VL-XDGN'!C55</f>
        <v>%</v>
      </c>
      <c r="D44" s="85" t="e">
        <f>'B7 LD&amp;VL-XDGN'!#REF!</f>
        <v>#REF!</v>
      </c>
      <c r="E44" s="83">
        <v>49.6</v>
      </c>
      <c r="F44" s="110" t="e">
        <f t="shared" si="0"/>
        <v>#REF!</v>
      </c>
      <c r="G44" s="115" t="s">
        <v>642</v>
      </c>
      <c r="H44" s="13"/>
      <c r="I44" s="13"/>
    </row>
    <row r="45" spans="1:9" s="10" customFormat="1" ht="31.5">
      <c r="A45" s="75"/>
      <c r="B45" s="104" t="str">
        <f>'B7 LD&amp;VL-XDGN'!B72</f>
        <v xml:space="preserve"> - Điều trị thay thế các chất dạng thuốc phiện bằng thuốc Methadone</v>
      </c>
      <c r="C45" s="84" t="str">
        <f>'B7 LD&amp;VL-XDGN'!C72</f>
        <v>Lượt người</v>
      </c>
      <c r="D45" s="117" t="e">
        <f>'B7 LD&amp;VL-XDGN'!#REF!</f>
        <v>#REF!</v>
      </c>
      <c r="E45" s="118">
        <v>540</v>
      </c>
      <c r="F45" s="110" t="e">
        <f t="shared" si="0"/>
        <v>#REF!</v>
      </c>
      <c r="G45" s="115" t="s">
        <v>641</v>
      </c>
      <c r="H45" s="13"/>
      <c r="I45" s="13"/>
    </row>
    <row r="46" spans="1:9" s="10" customFormat="1" ht="31.5">
      <c r="A46" s="75"/>
      <c r="B46" s="104" t="str">
        <f>'B7 LD&amp;VL-XDGN'!B74</f>
        <v>Xã, phường đạt tiêu chuẩn xã, phường phù hợp với trẻ em (lũy kế)</v>
      </c>
      <c r="C46" s="84" t="str">
        <f>'B7 LD&amp;VL-XDGN'!C74</f>
        <v>Xã</v>
      </c>
      <c r="D46" s="117" t="e">
        <f>'B7 LD&amp;VL-XDGN'!#REF!</f>
        <v>#REF!</v>
      </c>
      <c r="E46" s="118">
        <v>9</v>
      </c>
      <c r="F46" s="110" t="e">
        <f t="shared" si="0"/>
        <v>#REF!</v>
      </c>
      <c r="G46" s="115" t="s">
        <v>641</v>
      </c>
      <c r="H46" s="13"/>
      <c r="I46" s="13"/>
    </row>
    <row r="47" spans="1:9" s="10" customFormat="1" ht="15.75" customHeight="1">
      <c r="A47" s="2143" t="s">
        <v>635</v>
      </c>
      <c r="B47" s="2144"/>
      <c r="C47" s="2144"/>
      <c r="D47" s="2144"/>
      <c r="E47" s="2144"/>
      <c r="F47" s="2144"/>
      <c r="G47" s="120"/>
      <c r="H47" s="13"/>
      <c r="I47" s="13"/>
    </row>
    <row r="48" spans="1:9" s="10" customFormat="1">
      <c r="A48" s="75"/>
      <c r="B48" s="104" t="str">
        <f>'B8. DS-GD&amp;TE '!B9</f>
        <v xml:space="preserve"> - Dân số trung bình</v>
      </c>
      <c r="C48" s="104" t="str">
        <f>'B8. DS-GD&amp;TE '!C9</f>
        <v>Người</v>
      </c>
      <c r="D48" s="117" t="e">
        <f>'B8. DS-GD&amp;TE '!#REF!</f>
        <v>#REF!</v>
      </c>
      <c r="E48" s="118">
        <v>48002</v>
      </c>
      <c r="F48" s="110" t="e">
        <f t="shared" si="0"/>
        <v>#REF!</v>
      </c>
      <c r="G48" s="115"/>
      <c r="H48" s="13"/>
      <c r="I48" s="13"/>
    </row>
    <row r="49" spans="1:9" s="10" customFormat="1">
      <c r="A49" s="75"/>
      <c r="B49" s="104" t="str">
        <f>'B8. DS-GD&amp;TE '!B11</f>
        <v xml:space="preserve">                 + Dân số thành thị</v>
      </c>
      <c r="C49" s="104" t="str">
        <f>'B8. DS-GD&amp;TE '!C11</f>
        <v>Người</v>
      </c>
      <c r="D49" s="117" t="e">
        <f>'B8. DS-GD&amp;TE '!#REF!</f>
        <v>#REF!</v>
      </c>
      <c r="E49" s="118">
        <v>5638</v>
      </c>
      <c r="F49" s="110" t="e">
        <f t="shared" si="0"/>
        <v>#REF!</v>
      </c>
      <c r="G49" s="115"/>
      <c r="H49" s="13"/>
      <c r="I49" s="13"/>
    </row>
    <row r="50" spans="1:9" s="10" customFormat="1">
      <c r="A50" s="75"/>
      <c r="B50" s="104" t="str">
        <f>'B8. DS-GD&amp;TE '!B12</f>
        <v xml:space="preserve">                 + Dân số nông thôn</v>
      </c>
      <c r="C50" s="104" t="str">
        <f>'B8. DS-GD&amp;TE '!C12</f>
        <v>Người</v>
      </c>
      <c r="D50" s="117" t="e">
        <f>'B8. DS-GD&amp;TE '!#REF!</f>
        <v>#REF!</v>
      </c>
      <c r="E50" s="118">
        <v>42364</v>
      </c>
      <c r="F50" s="110" t="e">
        <f t="shared" si="0"/>
        <v>#REF!</v>
      </c>
      <c r="G50" s="115"/>
      <c r="H50" s="13"/>
      <c r="I50" s="13"/>
    </row>
    <row r="51" spans="1:9" s="10" customFormat="1">
      <c r="A51" s="75"/>
      <c r="B51" s="104" t="str">
        <f>'B8. DS-GD&amp;TE '!B14</f>
        <v xml:space="preserve"> - Tỷ lệ tăng dân số</v>
      </c>
      <c r="C51" s="104" t="str">
        <f>'B8. DS-GD&amp;TE '!C14</f>
        <v>%</v>
      </c>
      <c r="D51" s="85" t="e">
        <f>'B8. DS-GD&amp;TE '!#REF!</f>
        <v>#REF!</v>
      </c>
      <c r="E51" s="83">
        <v>1.5</v>
      </c>
      <c r="F51" s="110" t="e">
        <f t="shared" si="0"/>
        <v>#REF!</v>
      </c>
      <c r="G51" s="115"/>
      <c r="H51" s="13"/>
      <c r="I51" s="13"/>
    </row>
    <row r="52" spans="1:9" s="10" customFormat="1">
      <c r="A52" s="2154" t="s">
        <v>637</v>
      </c>
      <c r="B52" s="2155"/>
      <c r="C52" s="2155"/>
      <c r="D52" s="2155"/>
      <c r="E52" s="2155"/>
      <c r="F52" s="2156"/>
      <c r="G52" s="115"/>
      <c r="H52" s="13"/>
      <c r="I52" s="13"/>
    </row>
    <row r="53" spans="1:9" s="10" customFormat="1" ht="31.5">
      <c r="A53" s="75"/>
      <c r="B53" s="104" t="str">
        <f>B10.GIAODUC!B46</f>
        <v>- Tỷ lệ học sinh trong độ tuổi trung học phổ thông đến trường</v>
      </c>
      <c r="C53" s="104" t="str">
        <f>B10.GIAODUC!C46</f>
        <v>%</v>
      </c>
      <c r="D53" s="85" t="e">
        <f>B10.GIAODUC!#REF!</f>
        <v>#REF!</v>
      </c>
      <c r="E53" s="83">
        <v>60.3</v>
      </c>
      <c r="F53" s="110" t="e">
        <f t="shared" si="0"/>
        <v>#REF!</v>
      </c>
      <c r="G53" s="115" t="s">
        <v>641</v>
      </c>
      <c r="H53" s="13"/>
      <c r="I53" s="13"/>
    </row>
    <row r="54" spans="1:9" s="10" customFormat="1">
      <c r="A54" s="75"/>
      <c r="B54" s="104"/>
      <c r="C54" s="76"/>
      <c r="D54" s="85"/>
      <c r="E54" s="83"/>
      <c r="F54" s="110">
        <f t="shared" si="0"/>
        <v>0</v>
      </c>
      <c r="G54" s="115"/>
      <c r="H54" s="13"/>
      <c r="I54" s="13"/>
    </row>
    <row r="55" spans="1:9" s="10" customFormat="1" ht="47.25" customHeight="1">
      <c r="A55" s="75"/>
      <c r="B55" s="104" t="str">
        <f>B12.TTTT!B9</f>
        <v>- Tổng số trạm BTS</v>
      </c>
      <c r="C55" s="104" t="str">
        <f>B12.TTTT!C9</f>
        <v>Trạm</v>
      </c>
      <c r="D55" s="117" t="e">
        <f>B12.TTTT!#REF!</f>
        <v>#REF!</v>
      </c>
      <c r="E55" s="118">
        <v>143</v>
      </c>
      <c r="F55" s="110" t="e">
        <f t="shared" si="0"/>
        <v>#REF!</v>
      </c>
      <c r="G55" s="2145" t="s">
        <v>643</v>
      </c>
      <c r="H55" s="13"/>
      <c r="I55" s="13"/>
    </row>
    <row r="56" spans="1:9" s="10" customFormat="1">
      <c r="A56" s="75"/>
      <c r="B56" s="104" t="str">
        <f>B12.TTTT!B10</f>
        <v>- Tổng số thuê bao điện thoại</v>
      </c>
      <c r="C56" s="104" t="str">
        <f>B12.TTTT!C10</f>
        <v>Thuê bao</v>
      </c>
      <c r="D56" s="117" t="e">
        <f>B12.TTTT!#REF!</f>
        <v>#REF!</v>
      </c>
      <c r="E56" s="118">
        <v>47070</v>
      </c>
      <c r="F56" s="110" t="e">
        <f t="shared" si="0"/>
        <v>#REF!</v>
      </c>
      <c r="G56" s="2146"/>
      <c r="H56" s="13"/>
      <c r="I56" s="13"/>
    </row>
    <row r="57" spans="1:9" s="10" customFormat="1">
      <c r="A57" s="75"/>
      <c r="B57" s="104" t="str">
        <f>B12.TTTT!B12</f>
        <v>- Tổng số thuê bao Internet</v>
      </c>
      <c r="C57" s="104" t="str">
        <f>B12.TTTT!C12</f>
        <v>Thuê bao</v>
      </c>
      <c r="D57" s="117" t="e">
        <f>B12.TTTT!#REF!</f>
        <v>#REF!</v>
      </c>
      <c r="E57" s="118">
        <v>3440</v>
      </c>
      <c r="F57" s="110" t="e">
        <f t="shared" si="0"/>
        <v>#REF!</v>
      </c>
      <c r="G57" s="2147"/>
      <c r="H57" s="13"/>
      <c r="I57" s="13"/>
    </row>
    <row r="58" spans="1:9" s="10" customFormat="1">
      <c r="A58" s="75"/>
      <c r="B58" s="104"/>
      <c r="C58" s="76"/>
      <c r="D58" s="85"/>
      <c r="E58" s="83"/>
      <c r="F58" s="110">
        <f t="shared" si="0"/>
        <v>0</v>
      </c>
      <c r="G58" s="115"/>
      <c r="H58" s="13"/>
      <c r="I58" s="13"/>
    </row>
    <row r="59" spans="1:9" s="10" customFormat="1" ht="31.5">
      <c r="A59" s="75"/>
      <c r="B59" s="104" t="str">
        <f>'B11 VHTT'!B31</f>
        <v>Trong đó: Số bản, khu phố được công nhận trong năm</v>
      </c>
      <c r="C59" s="104" t="str">
        <f>'B11 VHTT'!C31</f>
        <v>Bản</v>
      </c>
      <c r="D59" s="85" t="e">
        <f>'B11 VHTT'!#REF!</f>
        <v>#REF!</v>
      </c>
      <c r="E59" s="83">
        <v>81</v>
      </c>
      <c r="F59" s="110" t="e">
        <f t="shared" si="0"/>
        <v>#REF!</v>
      </c>
      <c r="G59" s="115"/>
      <c r="H59" s="13"/>
      <c r="I59" s="13"/>
    </row>
    <row r="60" spans="1:9" s="10" customFormat="1" ht="31.5">
      <c r="A60" s="75"/>
      <c r="B60" s="104" t="str">
        <f>'B11 VHTT'!B32</f>
        <v xml:space="preserve"> - Tỷ lệ số bản, khu phố đạt tiêu chuẩn văn hóa</v>
      </c>
      <c r="C60" s="104" t="str">
        <f>'B11 VHTT'!C32</f>
        <v>%</v>
      </c>
      <c r="D60" s="85" t="e">
        <f>'B11 VHTT'!#REF!</f>
        <v>#REF!</v>
      </c>
      <c r="E60" s="119">
        <v>70</v>
      </c>
      <c r="F60" s="110" t="e">
        <f t="shared" si="0"/>
        <v>#REF!</v>
      </c>
      <c r="G60" s="115"/>
      <c r="H60" s="13"/>
      <c r="I60" s="13"/>
    </row>
    <row r="61" spans="1:9" s="10" customFormat="1" ht="31.5">
      <c r="A61" s="75"/>
      <c r="B61" s="104" t="str">
        <f>'B11 VHTT'!B36</f>
        <v xml:space="preserve"> - Tỷ lệ hộ, gia đình đạt tiêu chuẩn văn hóa</v>
      </c>
      <c r="C61" s="76"/>
      <c r="D61" s="117" t="e">
        <f>'B11 VHTT'!#REF!</f>
        <v>#REF!</v>
      </c>
      <c r="E61" s="118">
        <v>79</v>
      </c>
      <c r="F61" s="110" t="e">
        <f t="shared" si="0"/>
        <v>#REF!</v>
      </c>
      <c r="G61" s="115" t="s">
        <v>641</v>
      </c>
      <c r="H61" s="13"/>
      <c r="I61" s="13"/>
    </row>
    <row r="62" spans="1:9" ht="31.5">
      <c r="A62" s="75"/>
      <c r="B62" s="104" t="s">
        <v>638</v>
      </c>
      <c r="C62" s="104" t="str">
        <f>'B11 VHTT'!C58</f>
        <v>Nhà</v>
      </c>
      <c r="D62" s="86" t="e">
        <f>'B11 VHTT'!#REF!</f>
        <v>#REF!</v>
      </c>
      <c r="E62" s="86">
        <v>94</v>
      </c>
      <c r="F62" s="110" t="e">
        <f t="shared" si="0"/>
        <v>#REF!</v>
      </c>
      <c r="G62" s="115"/>
    </row>
    <row r="63" spans="1:9">
      <c r="A63" s="75"/>
      <c r="B63" s="81" t="str">
        <f>'B11 VHTT'!B60</f>
        <v>Tỷ lệ bản, khu phố có nhà văn hóa</v>
      </c>
      <c r="C63" s="81" t="str">
        <f>'B11 VHTT'!C60</f>
        <v>%</v>
      </c>
      <c r="D63" s="83" t="e">
        <f>D62/111*100</f>
        <v>#REF!</v>
      </c>
      <c r="E63" s="86">
        <v>70</v>
      </c>
      <c r="F63" s="110" t="e">
        <f t="shared" si="0"/>
        <v>#REF!</v>
      </c>
      <c r="G63" s="115"/>
    </row>
    <row r="64" spans="1:9">
      <c r="A64" s="75"/>
      <c r="B64" s="81"/>
      <c r="C64" s="76"/>
      <c r="D64" s="76"/>
      <c r="E64" s="76"/>
      <c r="F64" s="112"/>
      <c r="G64" s="115"/>
    </row>
    <row r="65" spans="1:7">
      <c r="A65" s="75"/>
      <c r="B65" s="81"/>
      <c r="C65" s="76"/>
      <c r="D65" s="76"/>
      <c r="E65" s="76"/>
      <c r="F65" s="112"/>
      <c r="G65" s="115"/>
    </row>
    <row r="66" spans="1:7">
      <c r="A66" s="75"/>
      <c r="B66" s="81"/>
      <c r="C66" s="76"/>
      <c r="D66" s="76"/>
      <c r="E66" s="76"/>
      <c r="F66" s="112"/>
      <c r="G66" s="115"/>
    </row>
    <row r="67" spans="1:7">
      <c r="A67" s="75"/>
      <c r="B67" s="81"/>
      <c r="C67" s="76"/>
      <c r="D67" s="76"/>
      <c r="E67" s="76"/>
      <c r="F67" s="112"/>
      <c r="G67" s="115"/>
    </row>
    <row r="68" spans="1:7">
      <c r="A68" s="75"/>
      <c r="B68" s="81"/>
      <c r="C68" s="76"/>
      <c r="D68" s="76"/>
      <c r="E68" s="76"/>
      <c r="F68" s="112"/>
      <c r="G68" s="115"/>
    </row>
    <row r="69" spans="1:7" ht="16.5" thickBot="1">
      <c r="A69" s="77"/>
      <c r="B69" s="82"/>
      <c r="C69" s="78"/>
      <c r="D69" s="78"/>
      <c r="E69" s="78"/>
      <c r="F69" s="113"/>
      <c r="G69" s="116"/>
    </row>
  </sheetData>
  <mergeCells count="10">
    <mergeCell ref="A1:F1"/>
    <mergeCell ref="A4:F4"/>
    <mergeCell ref="A23:F23"/>
    <mergeCell ref="A37:F37"/>
    <mergeCell ref="G55:G57"/>
    <mergeCell ref="G24:G36"/>
    <mergeCell ref="G9:G10"/>
    <mergeCell ref="G15:G18"/>
    <mergeCell ref="A52:F52"/>
    <mergeCell ref="A47:F47"/>
  </mergeCells>
  <pageMargins left="0.39370078740157483" right="0.15748031496062992" top="0.74803149606299213" bottom="0.74803149606299213" header="0.31496062992125984" footer="0.31496062992125984"/>
  <pageSetup paperSize="9" orientation="portrait" r:id="rId1"/>
</worksheet>
</file>

<file path=xl/worksheets/sheet1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73"/>
  <sheetViews>
    <sheetView zoomScale="85" zoomScaleNormal="85" workbookViewId="0">
      <pane xSplit="6" ySplit="5" topLeftCell="G42" activePane="bottomRight" state="frozen"/>
      <selection pane="topRight" activeCell="G1" sqref="G1"/>
      <selection pane="bottomLeft" activeCell="A6" sqref="A6"/>
      <selection pane="bottomRight" activeCell="N14" sqref="N14"/>
    </sheetView>
  </sheetViews>
  <sheetFormatPr defaultRowHeight="15.75"/>
  <cols>
    <col min="1" max="1" width="3.125" style="342" customWidth="1"/>
    <col min="2" max="2" width="21.25" style="342" customWidth="1"/>
    <col min="3" max="3" width="10.875" style="342" customWidth="1"/>
    <col min="4" max="4" width="14.75" style="342" customWidth="1"/>
    <col min="5" max="5" width="17.375" style="342" customWidth="1"/>
    <col min="6" max="6" width="19.25" style="13" customWidth="1"/>
    <col min="7" max="7" width="23.75" customWidth="1"/>
    <col min="13" max="13" width="10.25" bestFit="1" customWidth="1"/>
    <col min="14" max="14" width="18.25" customWidth="1"/>
  </cols>
  <sheetData>
    <row r="2" spans="1:14" ht="15.75" customHeight="1">
      <c r="A2" s="2161" t="s">
        <v>828</v>
      </c>
      <c r="B2" s="2161"/>
      <c r="C2" s="2161"/>
      <c r="D2" s="2161"/>
      <c r="E2" s="2161"/>
      <c r="F2" s="2161"/>
      <c r="G2" s="2161"/>
    </row>
    <row r="4" spans="1:14" ht="31.5" customHeight="1">
      <c r="A4" s="2162" t="s">
        <v>564</v>
      </c>
      <c r="B4" s="2162" t="s">
        <v>825</v>
      </c>
      <c r="C4" s="2162" t="s">
        <v>57</v>
      </c>
      <c r="D4" s="2162" t="s">
        <v>811</v>
      </c>
      <c r="E4" s="2162"/>
      <c r="F4" s="2162" t="s">
        <v>832</v>
      </c>
      <c r="G4" s="2157" t="s">
        <v>830</v>
      </c>
    </row>
    <row r="5" spans="1:14" ht="124.5" customHeight="1">
      <c r="A5" s="2162"/>
      <c r="B5" s="2162"/>
      <c r="C5" s="2162"/>
      <c r="D5" s="667" t="s">
        <v>826</v>
      </c>
      <c r="E5" s="667" t="s">
        <v>827</v>
      </c>
      <c r="F5" s="2162"/>
      <c r="G5" s="2158"/>
    </row>
    <row r="6" spans="1:14" s="10" customFormat="1" ht="31.5">
      <c r="A6" s="667" t="s">
        <v>83</v>
      </c>
      <c r="B6" s="667" t="s">
        <v>834</v>
      </c>
      <c r="C6" s="667"/>
      <c r="D6" s="667"/>
      <c r="E6" s="667"/>
      <c r="F6" s="667"/>
      <c r="G6" s="690"/>
    </row>
    <row r="7" spans="1:14" ht="31.5">
      <c r="A7" s="666"/>
      <c r="B7" s="668" t="s">
        <v>735</v>
      </c>
      <c r="C7" s="666" t="s">
        <v>26</v>
      </c>
      <c r="D7" s="669">
        <v>4.0999999999999996</v>
      </c>
      <c r="E7" s="669">
        <v>4</v>
      </c>
      <c r="F7" s="671">
        <f>D7-E7</f>
        <v>9.9999999999999645E-2</v>
      </c>
      <c r="G7" s="678"/>
    </row>
    <row r="8" spans="1:14">
      <c r="A8" s="666"/>
      <c r="B8" s="668" t="s">
        <v>736</v>
      </c>
      <c r="C8" s="666" t="s">
        <v>26</v>
      </c>
      <c r="D8" s="674">
        <f>'B1 Bieu TH '!G21</f>
        <v>67.440472312566769</v>
      </c>
      <c r="E8" s="674" t="e">
        <f>'B1 Bieu TH '!V21</f>
        <v>#REF!</v>
      </c>
      <c r="F8" s="676" t="e">
        <f>D8-E8</f>
        <v>#REF!</v>
      </c>
      <c r="G8" s="678"/>
    </row>
    <row r="9" spans="1:14" s="10" customFormat="1">
      <c r="A9" s="666"/>
      <c r="B9" s="668" t="s">
        <v>151</v>
      </c>
      <c r="C9" s="666" t="s">
        <v>93</v>
      </c>
      <c r="D9" s="681">
        <v>179321.04</v>
      </c>
      <c r="E9" s="681">
        <v>179848</v>
      </c>
      <c r="F9" s="676">
        <f t="shared" ref="F9:F13" si="0">D9-E9</f>
        <v>-526.95999999999185</v>
      </c>
      <c r="G9" s="680"/>
    </row>
    <row r="10" spans="1:14" s="10" customFormat="1">
      <c r="A10" s="666"/>
      <c r="B10" s="668" t="s">
        <v>152</v>
      </c>
      <c r="C10" s="666" t="s">
        <v>93</v>
      </c>
      <c r="D10" s="681">
        <v>22149.59</v>
      </c>
      <c r="E10" s="681">
        <v>28034</v>
      </c>
      <c r="F10" s="676">
        <f t="shared" si="0"/>
        <v>-5884.41</v>
      </c>
      <c r="G10" s="680"/>
    </row>
    <row r="11" spans="1:14" s="10" customFormat="1">
      <c r="A11" s="666"/>
      <c r="B11" s="668" t="s">
        <v>146</v>
      </c>
      <c r="C11" s="666" t="s">
        <v>93</v>
      </c>
      <c r="D11" s="681">
        <v>81223.559999999983</v>
      </c>
      <c r="E11" s="681">
        <v>84597</v>
      </c>
      <c r="F11" s="676">
        <f t="shared" si="0"/>
        <v>-3373.4400000000169</v>
      </c>
      <c r="G11" s="680"/>
      <c r="J11" s="10">
        <f>6.2*6</f>
        <v>37.200000000000003</v>
      </c>
      <c r="M11" s="712">
        <v>776687.5</v>
      </c>
    </row>
    <row r="12" spans="1:14" s="10" customFormat="1">
      <c r="A12" s="666"/>
      <c r="B12" s="668" t="s">
        <v>147</v>
      </c>
      <c r="C12" s="666" t="s">
        <v>93</v>
      </c>
      <c r="D12" s="681">
        <v>75947.889999999985</v>
      </c>
      <c r="E12" s="681">
        <v>67216</v>
      </c>
      <c r="F12" s="676">
        <f t="shared" si="0"/>
        <v>8731.8899999999849</v>
      </c>
      <c r="G12" s="680"/>
      <c r="J12" s="711">
        <f>7.6*6</f>
        <v>45.599999999999994</v>
      </c>
      <c r="M12" s="712">
        <v>36682.699999999997</v>
      </c>
    </row>
    <row r="13" spans="1:14" s="10" customFormat="1">
      <c r="A13" s="666"/>
      <c r="B13" s="668" t="s">
        <v>166</v>
      </c>
      <c r="C13" s="666" t="s">
        <v>93</v>
      </c>
      <c r="D13" s="681">
        <v>177000.06999999995</v>
      </c>
      <c r="E13" s="681">
        <v>177734</v>
      </c>
      <c r="F13" s="676">
        <f t="shared" si="0"/>
        <v>-733.93000000005122</v>
      </c>
      <c r="G13" s="680"/>
      <c r="J13" s="711">
        <f>4.5*4</f>
        <v>18</v>
      </c>
      <c r="M13" s="712">
        <f>M11-M12</f>
        <v>740004.8</v>
      </c>
    </row>
    <row r="14" spans="1:14" ht="50.25" customHeight="1">
      <c r="A14" s="666"/>
      <c r="B14" s="668" t="s">
        <v>807</v>
      </c>
      <c r="C14" s="666" t="s">
        <v>33</v>
      </c>
      <c r="D14" s="669" t="e">
        <f>'B3 NTM'!E12</f>
        <v>#REF!</v>
      </c>
      <c r="E14" s="669">
        <f>'B3 NTM'!BD12</f>
        <v>0</v>
      </c>
      <c r="F14" s="679" t="e">
        <f t="shared" ref="F14:F18" si="1">D14-E14</f>
        <v>#REF!</v>
      </c>
      <c r="G14" s="2159" t="s">
        <v>831</v>
      </c>
      <c r="J14">
        <v>7.4</v>
      </c>
      <c r="M14" s="712">
        <f>M13+41043</f>
        <v>781047.8</v>
      </c>
      <c r="N14">
        <f>49960/60000*100</f>
        <v>83.266666666666666</v>
      </c>
    </row>
    <row r="15" spans="1:14" ht="31.5">
      <c r="A15" s="666"/>
      <c r="B15" s="677" t="s">
        <v>829</v>
      </c>
      <c r="C15" s="666" t="s">
        <v>177</v>
      </c>
      <c r="D15" s="674" t="e">
        <f>'B3 NTM'!E11</f>
        <v>#REF!</v>
      </c>
      <c r="E15" s="669">
        <f>'B3 NTM'!BD11</f>
        <v>-0.61538461538461497</v>
      </c>
      <c r="F15" s="676" t="e">
        <f t="shared" si="1"/>
        <v>#REF!</v>
      </c>
      <c r="G15" s="2160"/>
    </row>
    <row r="16" spans="1:14" s="689" customFormat="1">
      <c r="A16" s="667" t="s">
        <v>100</v>
      </c>
      <c r="B16" s="684" t="s">
        <v>833</v>
      </c>
      <c r="C16" s="667"/>
      <c r="D16" s="685"/>
      <c r="E16" s="686"/>
      <c r="F16" s="687"/>
      <c r="G16" s="688"/>
    </row>
    <row r="17" spans="1:10" ht="31.5">
      <c r="A17" s="666"/>
      <c r="B17" s="668" t="s">
        <v>749</v>
      </c>
      <c r="C17" s="666" t="s">
        <v>26</v>
      </c>
      <c r="D17" s="682">
        <f>'B4 SXCN'!E35</f>
        <v>93.5</v>
      </c>
      <c r="E17" s="683" t="e">
        <f>'B4 SXCN'!#REF!</f>
        <v>#REF!</v>
      </c>
      <c r="F17" s="675" t="e">
        <f t="shared" si="1"/>
        <v>#REF!</v>
      </c>
      <c r="G17" s="678"/>
    </row>
    <row r="18" spans="1:10" ht="47.25">
      <c r="A18" s="666"/>
      <c r="B18" s="668" t="s">
        <v>750</v>
      </c>
      <c r="C18" s="666" t="s">
        <v>26</v>
      </c>
      <c r="D18" s="682">
        <f>'B4 SXCN'!E36</f>
        <v>88.5</v>
      </c>
      <c r="E18" s="683" t="e">
        <f>'B4 SXCN'!#REF!</f>
        <v>#REF!</v>
      </c>
      <c r="F18" s="675" t="e">
        <f t="shared" si="1"/>
        <v>#REF!</v>
      </c>
      <c r="G18" s="678"/>
    </row>
    <row r="19" spans="1:10" s="689" customFormat="1" ht="47.25">
      <c r="A19" s="667" t="s">
        <v>118</v>
      </c>
      <c r="B19" s="692" t="s">
        <v>835</v>
      </c>
      <c r="C19" s="667"/>
      <c r="D19" s="686"/>
      <c r="E19" s="686"/>
      <c r="F19" s="693"/>
      <c r="G19" s="694"/>
    </row>
    <row r="20" spans="1:10" s="689" customFormat="1">
      <c r="A20" s="666"/>
      <c r="B20" s="668" t="s">
        <v>571</v>
      </c>
      <c r="C20" s="666" t="s">
        <v>26</v>
      </c>
      <c r="D20" s="674" t="e">
        <f>'B7 LD&amp;VL-XDGN'!AB11</f>
        <v>#REF!</v>
      </c>
      <c r="E20" s="669" t="e">
        <f>'B7 LD&amp;VL-XDGN'!#REF!</f>
        <v>#REF!</v>
      </c>
      <c r="F20" s="696" t="e">
        <f>D20-E20</f>
        <v>#REF!</v>
      </c>
      <c r="G20" s="695"/>
    </row>
    <row r="21" spans="1:10" s="689" customFormat="1">
      <c r="A21" s="666"/>
      <c r="B21" s="668" t="s">
        <v>263</v>
      </c>
      <c r="C21" s="666" t="s">
        <v>26</v>
      </c>
      <c r="D21" s="674">
        <f>'B7 LD&amp;VL-XDGN'!AB13</f>
        <v>6.9</v>
      </c>
      <c r="E21" s="669" t="e">
        <f>'B7 LD&amp;VL-XDGN'!#REF!</f>
        <v>#REF!</v>
      </c>
      <c r="F21" s="696" t="e">
        <f t="shared" ref="F21:F73" si="2">D21-E21</f>
        <v>#REF!</v>
      </c>
      <c r="G21" s="695"/>
      <c r="J21" s="697"/>
    </row>
    <row r="22" spans="1:10" s="689" customFormat="1">
      <c r="A22" s="666"/>
      <c r="B22" s="668" t="s">
        <v>266</v>
      </c>
      <c r="C22" s="666" t="s">
        <v>26</v>
      </c>
      <c r="D22" s="674" t="e">
        <f>'B7 LD&amp;VL-XDGN'!AB16</f>
        <v>#REF!</v>
      </c>
      <c r="E22" s="669" t="e">
        <f>'B7 LD&amp;VL-XDGN'!#REF!</f>
        <v>#REF!</v>
      </c>
      <c r="F22" s="696" t="e">
        <f t="shared" si="2"/>
        <v>#REF!</v>
      </c>
      <c r="G22" s="695"/>
    </row>
    <row r="23" spans="1:10" s="689" customFormat="1">
      <c r="A23" s="666"/>
      <c r="B23" s="668" t="s">
        <v>267</v>
      </c>
      <c r="C23" s="666" t="s">
        <v>279</v>
      </c>
      <c r="D23" s="669" t="e">
        <f>'B7 LD&amp;VL-XDGN'!AB17</f>
        <v>#REF!</v>
      </c>
      <c r="E23" s="698" t="e">
        <f>'B7 LD&amp;VL-XDGN'!#REF!</f>
        <v>#REF!</v>
      </c>
      <c r="F23" s="675" t="e">
        <f t="shared" si="2"/>
        <v>#REF!</v>
      </c>
      <c r="G23" s="695"/>
    </row>
    <row r="24" spans="1:10" s="689" customFormat="1">
      <c r="A24" s="666"/>
      <c r="B24" s="668" t="s">
        <v>290</v>
      </c>
      <c r="C24" s="666" t="s">
        <v>49</v>
      </c>
      <c r="D24" s="672" t="e">
        <f>'B7 LD&amp;VL-XDGN'!AB48</f>
        <v>#REF!</v>
      </c>
      <c r="E24" s="672" t="e">
        <f>'B7 LD&amp;VL-XDGN'!#REF!</f>
        <v>#REF!</v>
      </c>
      <c r="F24" s="696" t="e">
        <f t="shared" si="2"/>
        <v>#REF!</v>
      </c>
      <c r="G24" s="695"/>
    </row>
    <row r="25" spans="1:10" s="689" customFormat="1">
      <c r="A25" s="666"/>
      <c r="B25" s="668" t="s">
        <v>291</v>
      </c>
      <c r="C25" s="666" t="s">
        <v>49</v>
      </c>
      <c r="D25" s="672" t="e">
        <f>'B7 LD&amp;VL-XDGN'!AB49</f>
        <v>#REF!</v>
      </c>
      <c r="E25" s="672" t="e">
        <f>'B7 LD&amp;VL-XDGN'!#REF!</f>
        <v>#REF!</v>
      </c>
      <c r="F25" s="696" t="e">
        <f t="shared" si="2"/>
        <v>#REF!</v>
      </c>
      <c r="G25" s="695"/>
    </row>
    <row r="26" spans="1:10" s="689" customFormat="1" ht="31.5">
      <c r="A26" s="666"/>
      <c r="B26" s="668" t="s">
        <v>302</v>
      </c>
      <c r="C26" s="666" t="s">
        <v>49</v>
      </c>
      <c r="D26" s="669" t="e">
        <f>'B7 LD&amp;VL-XDGN'!AB63</f>
        <v>#REF!</v>
      </c>
      <c r="E26" s="669" t="e">
        <f>'B7 LD&amp;VL-XDGN'!#REF!</f>
        <v>#REF!</v>
      </c>
      <c r="F26" s="700" t="e">
        <f t="shared" si="2"/>
        <v>#REF!</v>
      </c>
      <c r="G26" s="695"/>
    </row>
    <row r="27" spans="1:10" ht="31.5">
      <c r="A27" s="666"/>
      <c r="B27" s="668" t="s">
        <v>310</v>
      </c>
      <c r="C27" s="666" t="s">
        <v>49</v>
      </c>
      <c r="D27" s="669" t="e">
        <f>'B7 LD&amp;VL-XDGN'!AB70</f>
        <v>#REF!</v>
      </c>
      <c r="E27" s="669" t="e">
        <f>'B7 LD&amp;VL-XDGN'!#REF!</f>
        <v>#REF!</v>
      </c>
      <c r="F27" s="700" t="e">
        <f t="shared" si="2"/>
        <v>#REF!</v>
      </c>
      <c r="G27" s="695"/>
    </row>
    <row r="28" spans="1:10" s="689" customFormat="1">
      <c r="A28" s="667" t="s">
        <v>121</v>
      </c>
      <c r="B28" s="692" t="s">
        <v>836</v>
      </c>
      <c r="C28" s="667"/>
      <c r="D28" s="686"/>
      <c r="E28" s="686"/>
      <c r="F28" s="701"/>
      <c r="G28" s="694"/>
    </row>
    <row r="29" spans="1:10">
      <c r="A29" s="666"/>
      <c r="B29" s="668" t="s">
        <v>322</v>
      </c>
      <c r="C29" s="666" t="s">
        <v>26</v>
      </c>
      <c r="D29" s="669">
        <f>'B8. DS-GD&amp;TE '!E14</f>
        <v>1.26</v>
      </c>
      <c r="E29" s="669">
        <f>'B8. DS-GD&amp;TE '!BF14</f>
        <v>1.26</v>
      </c>
      <c r="F29" s="696">
        <f t="shared" si="2"/>
        <v>0</v>
      </c>
      <c r="G29" s="695"/>
    </row>
    <row r="30" spans="1:10" ht="47.25">
      <c r="A30" s="666"/>
      <c r="B30" s="668" t="s">
        <v>354</v>
      </c>
      <c r="C30" s="666" t="s">
        <v>352</v>
      </c>
      <c r="D30" s="674">
        <f>'B9. Y TE'!E21</f>
        <v>30.317729808391945</v>
      </c>
      <c r="E30" s="669">
        <f>'B9. Y TE'!BR21</f>
        <v>29.95</v>
      </c>
      <c r="F30" s="696">
        <f t="shared" si="2"/>
        <v>0.36772980839194602</v>
      </c>
      <c r="G30" s="695"/>
    </row>
    <row r="31" spans="1:10" s="10" customFormat="1" ht="31.5">
      <c r="A31" s="666"/>
      <c r="B31" s="668" t="s">
        <v>358</v>
      </c>
      <c r="C31" s="666" t="s">
        <v>49</v>
      </c>
      <c r="D31" s="672">
        <f>'B9. Y TE'!E25</f>
        <v>243</v>
      </c>
      <c r="E31" s="672">
        <f>'B9. Y TE'!BR25</f>
        <v>250</v>
      </c>
      <c r="F31" s="700">
        <f t="shared" si="2"/>
        <v>-7</v>
      </c>
      <c r="G31" s="695"/>
    </row>
    <row r="32" spans="1:10" s="10" customFormat="1">
      <c r="A32" s="666"/>
      <c r="B32" s="668" t="s">
        <v>361</v>
      </c>
      <c r="C32" s="666" t="s">
        <v>49</v>
      </c>
      <c r="D32" s="672">
        <f>'B9. Y TE'!E27</f>
        <v>49</v>
      </c>
      <c r="E32" s="698">
        <f>'B9. Y TE'!BR27</f>
        <v>56</v>
      </c>
      <c r="F32" s="696">
        <f t="shared" si="2"/>
        <v>-7</v>
      </c>
      <c r="G32" s="695"/>
    </row>
    <row r="33" spans="1:7" s="10" customFormat="1">
      <c r="A33" s="666"/>
      <c r="B33" s="668" t="s">
        <v>362</v>
      </c>
      <c r="C33" s="666" t="s">
        <v>837</v>
      </c>
      <c r="D33" s="673">
        <f>'B9. Y TE'!E28</f>
        <v>9.9</v>
      </c>
      <c r="E33" s="702">
        <f>'B9. Y TE'!BR28</f>
        <v>11.18</v>
      </c>
      <c r="F33" s="696">
        <f t="shared" si="2"/>
        <v>-1.2799999999999994</v>
      </c>
      <c r="G33" s="695"/>
    </row>
    <row r="34" spans="1:7" s="10" customFormat="1">
      <c r="A34" s="666"/>
      <c r="B34" s="668" t="s">
        <v>364</v>
      </c>
      <c r="C34" s="666" t="s">
        <v>49</v>
      </c>
      <c r="D34" s="672">
        <f>'B9. Y TE'!E29</f>
        <v>7</v>
      </c>
      <c r="E34" s="698">
        <f>'B9. Y TE'!BR29</f>
        <v>10</v>
      </c>
      <c r="F34" s="696">
        <f t="shared" si="2"/>
        <v>-3</v>
      </c>
      <c r="G34" s="695"/>
    </row>
    <row r="35" spans="1:7" s="10" customFormat="1">
      <c r="A35" s="666"/>
      <c r="B35" s="668" t="s">
        <v>365</v>
      </c>
      <c r="C35" s="666" t="s">
        <v>837</v>
      </c>
      <c r="D35" s="674">
        <f>'B9. Y TE'!E30</f>
        <v>1.4170040485829958</v>
      </c>
      <c r="E35" s="702">
        <f>'B9. Y TE'!BR30</f>
        <v>2</v>
      </c>
      <c r="F35" s="696">
        <f t="shared" si="2"/>
        <v>-0.58299595141700422</v>
      </c>
      <c r="G35" s="695"/>
    </row>
    <row r="36" spans="1:7" s="10" customFormat="1" ht="63">
      <c r="A36" s="666"/>
      <c r="B36" s="668" t="s">
        <v>366</v>
      </c>
      <c r="C36" s="666" t="s">
        <v>26</v>
      </c>
      <c r="D36" s="674">
        <f>'B9. Y TE'!E31</f>
        <v>0</v>
      </c>
      <c r="E36" s="698">
        <f>'B9. Y TE'!BR31</f>
        <v>0</v>
      </c>
      <c r="F36" s="696">
        <f t="shared" si="2"/>
        <v>0</v>
      </c>
      <c r="G36" s="695"/>
    </row>
    <row r="37" spans="1:7" ht="47.25">
      <c r="A37" s="666"/>
      <c r="B37" s="668" t="s">
        <v>367</v>
      </c>
      <c r="C37" s="666" t="s">
        <v>26</v>
      </c>
      <c r="D37" s="673">
        <f>'B9. Y TE'!E32</f>
        <v>69.230769230769226</v>
      </c>
      <c r="E37" s="703">
        <f>'B9. Y TE'!BR32</f>
        <v>85.7</v>
      </c>
      <c r="F37" s="696">
        <f t="shared" si="2"/>
        <v>-16.469230769230776</v>
      </c>
      <c r="G37" s="695"/>
    </row>
    <row r="38" spans="1:7" ht="47.25">
      <c r="A38" s="666"/>
      <c r="B38" s="668" t="s">
        <v>747</v>
      </c>
      <c r="C38" s="666" t="s">
        <v>26</v>
      </c>
      <c r="D38" s="702">
        <f>'B9. Y TE'!E48</f>
        <v>68.400000000000006</v>
      </c>
      <c r="E38" s="669">
        <f>'B9. Y TE'!BR48</f>
        <v>69.5</v>
      </c>
      <c r="F38" s="696">
        <f t="shared" si="2"/>
        <v>-1.0999999999999943</v>
      </c>
      <c r="G38" s="695"/>
    </row>
    <row r="39" spans="1:7" ht="47.25">
      <c r="A39" s="666"/>
      <c r="B39" s="668" t="s">
        <v>819</v>
      </c>
      <c r="C39" s="666" t="s">
        <v>26</v>
      </c>
      <c r="D39" s="702">
        <f>'B9. Y TE'!E49</f>
        <v>73.7</v>
      </c>
      <c r="E39" s="669">
        <f>'B9. Y TE'!BR49</f>
        <v>77.2</v>
      </c>
      <c r="F39" s="696">
        <f t="shared" si="2"/>
        <v>-3.5</v>
      </c>
      <c r="G39" s="695"/>
    </row>
    <row r="40" spans="1:7" s="10" customFormat="1" ht="31.5">
      <c r="A40" s="666"/>
      <c r="B40" s="668" t="s">
        <v>581</v>
      </c>
      <c r="C40" s="666" t="s">
        <v>26</v>
      </c>
      <c r="D40" s="702">
        <f>'B9. Y TE'!E59</f>
        <v>97.4</v>
      </c>
      <c r="E40" s="702">
        <f>'B9. Y TE'!BR59</f>
        <v>0</v>
      </c>
      <c r="F40" s="699">
        <f t="shared" si="2"/>
        <v>97.4</v>
      </c>
      <c r="G40" s="695"/>
    </row>
    <row r="41" spans="1:7" s="689" customFormat="1">
      <c r="A41" s="667" t="s">
        <v>303</v>
      </c>
      <c r="B41" s="692" t="s">
        <v>838</v>
      </c>
      <c r="C41" s="667"/>
      <c r="D41" s="704"/>
      <c r="E41" s="686"/>
      <c r="F41" s="705">
        <f t="shared" si="2"/>
        <v>0</v>
      </c>
      <c r="G41" s="694"/>
    </row>
    <row r="42" spans="1:7" s="10" customFormat="1" ht="47.25">
      <c r="A42" s="666"/>
      <c r="B42" s="668" t="s">
        <v>673</v>
      </c>
      <c r="C42" s="666" t="s">
        <v>26</v>
      </c>
      <c r="D42" s="702" t="e">
        <f>B10.GIAODUC!E46</f>
        <v>#REF!</v>
      </c>
      <c r="E42" s="702">
        <f>B10.GIAODUC!BD46</f>
        <v>58.3</v>
      </c>
      <c r="F42" s="699" t="e">
        <f t="shared" si="2"/>
        <v>#REF!</v>
      </c>
      <c r="G42" s="695"/>
    </row>
    <row r="43" spans="1:7" s="10" customFormat="1" ht="31.5">
      <c r="A43" s="666"/>
      <c r="B43" s="668" t="s">
        <v>839</v>
      </c>
      <c r="C43" s="666" t="s">
        <v>26</v>
      </c>
      <c r="D43" s="702" t="e">
        <f>B10.GIAODUC!E48</f>
        <v>#REF!</v>
      </c>
      <c r="E43" s="669">
        <f>B10.GIAODUC!BD48</f>
        <v>91.2</v>
      </c>
      <c r="F43" s="699" t="e">
        <f t="shared" si="2"/>
        <v>#REF!</v>
      </c>
      <c r="G43" s="695"/>
    </row>
    <row r="44" spans="1:7" s="10" customFormat="1" ht="31.5">
      <c r="A44" s="666"/>
      <c r="B44" s="668" t="s">
        <v>840</v>
      </c>
      <c r="C44" s="666" t="s">
        <v>26</v>
      </c>
      <c r="D44" s="702" t="e">
        <f>B10.GIAODUC!E58</f>
        <v>#REF!</v>
      </c>
      <c r="E44" s="669">
        <f>B10.GIAODUC!BD58</f>
        <v>100</v>
      </c>
      <c r="F44" s="675" t="e">
        <f t="shared" si="2"/>
        <v>#REF!</v>
      </c>
      <c r="G44" s="695"/>
    </row>
    <row r="45" spans="1:7" s="689" customFormat="1">
      <c r="A45" s="667" t="s">
        <v>308</v>
      </c>
      <c r="B45" s="692" t="s">
        <v>841</v>
      </c>
      <c r="C45" s="667"/>
      <c r="D45" s="704"/>
      <c r="E45" s="686"/>
      <c r="F45" s="705">
        <f t="shared" si="2"/>
        <v>0</v>
      </c>
      <c r="G45" s="694"/>
    </row>
    <row r="46" spans="1:7" s="10" customFormat="1">
      <c r="A46" s="666"/>
      <c r="B46" s="668" t="s">
        <v>842</v>
      </c>
      <c r="C46" s="666" t="s">
        <v>458</v>
      </c>
      <c r="D46" s="698">
        <v>84</v>
      </c>
      <c r="E46" s="698">
        <v>80</v>
      </c>
      <c r="F46" s="706">
        <f t="shared" si="2"/>
        <v>4</v>
      </c>
      <c r="G46" s="695"/>
    </row>
    <row r="47" spans="1:7" s="10" customFormat="1">
      <c r="A47" s="666"/>
      <c r="B47" s="668" t="s">
        <v>464</v>
      </c>
      <c r="C47" s="666" t="s">
        <v>458</v>
      </c>
      <c r="D47" s="672">
        <v>12</v>
      </c>
      <c r="E47" s="672">
        <v>10</v>
      </c>
      <c r="F47" s="675">
        <f t="shared" si="2"/>
        <v>2</v>
      </c>
      <c r="G47" s="695"/>
    </row>
    <row r="48" spans="1:7" s="10" customFormat="1" ht="47.25">
      <c r="A48" s="666"/>
      <c r="B48" s="668" t="s">
        <v>662</v>
      </c>
      <c r="C48" s="666" t="s">
        <v>458</v>
      </c>
      <c r="D48" s="672" t="e">
        <f>'B11 VHTT'!E20</f>
        <v>#REF!</v>
      </c>
      <c r="E48" s="669">
        <f>'B11 VHTT'!BD20</f>
        <v>0</v>
      </c>
      <c r="F48" s="675" t="e">
        <f t="shared" si="2"/>
        <v>#REF!</v>
      </c>
      <c r="G48" s="695"/>
    </row>
    <row r="49" spans="1:7">
      <c r="A49" s="666"/>
      <c r="B49" s="668" t="s">
        <v>663</v>
      </c>
      <c r="C49" s="666" t="s">
        <v>458</v>
      </c>
      <c r="D49" s="672" t="e">
        <f>'B11 VHTT'!E21</f>
        <v>#REF!</v>
      </c>
      <c r="E49" s="669">
        <f>'B11 VHTT'!BD21</f>
        <v>0</v>
      </c>
      <c r="F49" s="675" t="e">
        <f t="shared" si="2"/>
        <v>#REF!</v>
      </c>
      <c r="G49" s="695"/>
    </row>
    <row r="50" spans="1:7">
      <c r="A50" s="666"/>
      <c r="B50" s="668" t="s">
        <v>664</v>
      </c>
      <c r="C50" s="666" t="s">
        <v>458</v>
      </c>
      <c r="D50" s="672" t="e">
        <f>'B11 VHTT'!E22</f>
        <v>#REF!</v>
      </c>
      <c r="E50" s="669">
        <f>'B11 VHTT'!BD22</f>
        <v>0</v>
      </c>
      <c r="F50" s="675" t="e">
        <f t="shared" si="2"/>
        <v>#REF!</v>
      </c>
      <c r="G50" s="695"/>
    </row>
    <row r="51" spans="1:7" s="10" customFormat="1" ht="31.5">
      <c r="A51" s="666"/>
      <c r="B51" s="668" t="s">
        <v>470</v>
      </c>
      <c r="C51" s="666" t="s">
        <v>480</v>
      </c>
      <c r="D51" s="672" t="e">
        <f>'B11 VHTT'!E30</f>
        <v>#REF!</v>
      </c>
      <c r="E51" s="669">
        <f>'B11 VHTT'!BD30</f>
        <v>0</v>
      </c>
      <c r="F51" s="675" t="e">
        <f t="shared" si="2"/>
        <v>#REF!</v>
      </c>
      <c r="G51" s="695"/>
    </row>
    <row r="52" spans="1:7" s="10" customFormat="1" ht="47.25">
      <c r="A52" s="666"/>
      <c r="B52" s="668" t="s">
        <v>471</v>
      </c>
      <c r="C52" s="666" t="s">
        <v>480</v>
      </c>
      <c r="D52" s="672" t="e">
        <f>'B11 VHTT'!E31</f>
        <v>#REF!</v>
      </c>
      <c r="E52" s="669">
        <f>'B11 VHTT'!BD31</f>
        <v>0</v>
      </c>
      <c r="F52" s="675" t="e">
        <f t="shared" si="2"/>
        <v>#REF!</v>
      </c>
      <c r="G52" s="695"/>
    </row>
    <row r="53" spans="1:7" s="10" customFormat="1" ht="31.5">
      <c r="A53" s="666"/>
      <c r="B53" s="668" t="s">
        <v>823</v>
      </c>
      <c r="C53" s="666" t="s">
        <v>26</v>
      </c>
      <c r="D53" s="672" t="e">
        <f>'B11 VHTT'!E32</f>
        <v>#REF!</v>
      </c>
      <c r="E53" s="669">
        <f>'B11 VHTT'!BD32</f>
        <v>0</v>
      </c>
      <c r="F53" s="675" t="e">
        <f t="shared" si="2"/>
        <v>#REF!</v>
      </c>
      <c r="G53" s="695"/>
    </row>
    <row r="54" spans="1:7" s="10" customFormat="1" ht="31.5">
      <c r="A54" s="666"/>
      <c r="B54" s="668" t="s">
        <v>472</v>
      </c>
      <c r="C54" s="666" t="s">
        <v>279</v>
      </c>
      <c r="D54" s="672" t="e">
        <f>'B11 VHTT'!E34</f>
        <v>#REF!</v>
      </c>
      <c r="E54" s="669">
        <f>'B11 VHTT'!BD34</f>
        <v>0</v>
      </c>
      <c r="F54" s="675" t="e">
        <f t="shared" si="2"/>
        <v>#REF!</v>
      </c>
      <c r="G54" s="695"/>
    </row>
    <row r="55" spans="1:7" s="10" customFormat="1" ht="31.5">
      <c r="A55" s="666"/>
      <c r="B55" s="668" t="s">
        <v>473</v>
      </c>
      <c r="C55" s="666" t="s">
        <v>279</v>
      </c>
      <c r="D55" s="672" t="e">
        <f>'B11 VHTT'!E35</f>
        <v>#REF!</v>
      </c>
      <c r="E55" s="669">
        <f>'B11 VHTT'!BD35</f>
        <v>0</v>
      </c>
      <c r="F55" s="675" t="e">
        <f t="shared" si="2"/>
        <v>#REF!</v>
      </c>
      <c r="G55" s="695"/>
    </row>
    <row r="56" spans="1:7" s="10" customFormat="1" ht="31.5">
      <c r="A56" s="666"/>
      <c r="B56" s="668" t="s">
        <v>474</v>
      </c>
      <c r="C56" s="666" t="s">
        <v>26</v>
      </c>
      <c r="D56" s="672" t="e">
        <f>'B11 VHTT'!E36</f>
        <v>#REF!</v>
      </c>
      <c r="E56" s="669">
        <f>'B11 VHTT'!BD36</f>
        <v>0</v>
      </c>
      <c r="F56" s="675" t="e">
        <f t="shared" si="2"/>
        <v>#REF!</v>
      </c>
      <c r="G56" s="695"/>
    </row>
    <row r="57" spans="1:7" s="10" customFormat="1" ht="47.25">
      <c r="A57" s="666"/>
      <c r="B57" s="668" t="s">
        <v>475</v>
      </c>
      <c r="C57" s="666" t="s">
        <v>476</v>
      </c>
      <c r="D57" s="672" t="e">
        <f>'B11 VHTT'!E37</f>
        <v>#REF!</v>
      </c>
      <c r="E57" s="669">
        <f>'B11 VHTT'!BD37</f>
        <v>0</v>
      </c>
      <c r="F57" s="675" t="e">
        <f t="shared" si="2"/>
        <v>#REF!</v>
      </c>
      <c r="G57" s="695"/>
    </row>
    <row r="58" spans="1:7" s="10" customFormat="1" ht="47.25">
      <c r="A58" s="666"/>
      <c r="B58" s="668" t="s">
        <v>477</v>
      </c>
      <c r="C58" s="666" t="s">
        <v>476</v>
      </c>
      <c r="D58" s="672" t="e">
        <f>'B11 VHTT'!E38</f>
        <v>#REF!</v>
      </c>
      <c r="E58" s="669">
        <f>'B11 VHTT'!BD38</f>
        <v>0</v>
      </c>
      <c r="F58" s="675" t="e">
        <f t="shared" si="2"/>
        <v>#REF!</v>
      </c>
      <c r="G58" s="695"/>
    </row>
    <row r="59" spans="1:7" s="10" customFormat="1" ht="47.25">
      <c r="A59" s="666"/>
      <c r="B59" s="668" t="s">
        <v>54</v>
      </c>
      <c r="C59" s="666" t="s">
        <v>26</v>
      </c>
      <c r="D59" s="672" t="e">
        <f>'B11 VHTT'!E39</f>
        <v>#REF!</v>
      </c>
      <c r="E59" s="669">
        <f>'B11 VHTT'!BD39</f>
        <v>0</v>
      </c>
      <c r="F59" s="675" t="e">
        <f t="shared" si="2"/>
        <v>#REF!</v>
      </c>
      <c r="G59" s="695"/>
    </row>
    <row r="60" spans="1:7" s="10" customFormat="1">
      <c r="A60" s="666"/>
      <c r="B60" s="668" t="s">
        <v>478</v>
      </c>
      <c r="C60" s="666"/>
      <c r="D60" s="672"/>
      <c r="E60" s="669"/>
      <c r="F60" s="675">
        <f t="shared" si="2"/>
        <v>0</v>
      </c>
      <c r="G60" s="695"/>
    </row>
    <row r="61" spans="1:7" s="10" customFormat="1">
      <c r="A61" s="666"/>
      <c r="B61" s="668" t="s">
        <v>479</v>
      </c>
      <c r="C61" s="666" t="s">
        <v>480</v>
      </c>
      <c r="D61" s="672">
        <f>'B11 VHTT'!E41</f>
        <v>150</v>
      </c>
      <c r="E61" s="669">
        <f>'B11 VHTT'!BD41</f>
        <v>0</v>
      </c>
      <c r="F61" s="675">
        <f t="shared" si="2"/>
        <v>150</v>
      </c>
      <c r="G61" s="695"/>
    </row>
    <row r="62" spans="1:7" ht="31.5">
      <c r="A62" s="666"/>
      <c r="B62" s="666" t="s">
        <v>482</v>
      </c>
      <c r="C62" s="666" t="s">
        <v>480</v>
      </c>
      <c r="D62" s="672">
        <f>'B11 VHTT'!E44</f>
        <v>11461</v>
      </c>
      <c r="E62" s="672">
        <f>'B11 VHTT'!BD44</f>
        <v>0</v>
      </c>
      <c r="F62" s="675">
        <f t="shared" si="2"/>
        <v>11461</v>
      </c>
      <c r="G62" s="678"/>
    </row>
    <row r="63" spans="1:7" ht="31.5">
      <c r="A63" s="666"/>
      <c r="B63" s="670" t="s">
        <v>489</v>
      </c>
      <c r="C63" s="666" t="s">
        <v>490</v>
      </c>
      <c r="D63" s="669" t="e">
        <f>'B11 VHTT'!E51</f>
        <v>#REF!</v>
      </c>
      <c r="E63" s="669">
        <f>'B11 VHTT'!BD51</f>
        <v>0</v>
      </c>
      <c r="F63" s="675" t="e">
        <f t="shared" si="2"/>
        <v>#REF!</v>
      </c>
      <c r="G63" s="678"/>
    </row>
    <row r="64" spans="1:7" ht="31.5">
      <c r="A64" s="666"/>
      <c r="B64" s="670" t="s">
        <v>493</v>
      </c>
      <c r="C64" s="666" t="s">
        <v>494</v>
      </c>
      <c r="D64" s="669" t="e">
        <f>'B11 VHTT'!E54</f>
        <v>#REF!</v>
      </c>
      <c r="E64" s="669">
        <f>'B11 VHTT'!BD54</f>
        <v>0</v>
      </c>
      <c r="F64" s="675" t="e">
        <f t="shared" si="2"/>
        <v>#REF!</v>
      </c>
      <c r="G64" s="678"/>
    </row>
    <row r="65" spans="1:7" ht="31.5">
      <c r="A65" s="666"/>
      <c r="B65" s="670" t="s">
        <v>495</v>
      </c>
      <c r="C65" s="666" t="s">
        <v>494</v>
      </c>
      <c r="D65" s="672">
        <f>'B11 VHTT'!E55</f>
        <v>0</v>
      </c>
      <c r="E65" s="672">
        <f>'B11 VHTT'!BD55</f>
        <v>0</v>
      </c>
      <c r="F65" s="675">
        <f t="shared" si="2"/>
        <v>0</v>
      </c>
      <c r="G65" s="678"/>
    </row>
    <row r="66" spans="1:7" ht="31.5">
      <c r="A66" s="666"/>
      <c r="B66" s="670" t="s">
        <v>802</v>
      </c>
      <c r="C66" s="666" t="s">
        <v>494</v>
      </c>
      <c r="D66" s="669" t="e">
        <f>'B11 VHTT'!E56</f>
        <v>#REF!</v>
      </c>
      <c r="E66" s="669">
        <f>'B11 VHTT'!BD56</f>
        <v>0</v>
      </c>
      <c r="F66" s="675" t="e">
        <f t="shared" si="2"/>
        <v>#REF!</v>
      </c>
      <c r="G66" s="678"/>
    </row>
    <row r="67" spans="1:7" ht="31.5">
      <c r="A67" s="666"/>
      <c r="B67" s="670" t="s">
        <v>801</v>
      </c>
      <c r="C67" s="666" t="s">
        <v>494</v>
      </c>
      <c r="D67" s="669" t="e">
        <f>'B11 VHTT'!E57</f>
        <v>#REF!</v>
      </c>
      <c r="E67" s="669">
        <f>'B11 VHTT'!BD57</f>
        <v>0</v>
      </c>
      <c r="F67" s="675" t="e">
        <f t="shared" si="2"/>
        <v>#REF!</v>
      </c>
      <c r="G67" s="678"/>
    </row>
    <row r="68" spans="1:7" ht="31.5">
      <c r="A68" s="666"/>
      <c r="B68" s="670" t="s">
        <v>803</v>
      </c>
      <c r="C68" s="666" t="s">
        <v>494</v>
      </c>
      <c r="D68" s="669" t="e">
        <f>'B11 VHTT'!E58</f>
        <v>#REF!</v>
      </c>
      <c r="E68" s="669">
        <f>'B11 VHTT'!BD58</f>
        <v>0</v>
      </c>
      <c r="F68" s="675" t="e">
        <f t="shared" si="2"/>
        <v>#REF!</v>
      </c>
      <c r="G68" s="678"/>
    </row>
    <row r="69" spans="1:7" ht="31.5">
      <c r="A69" s="666"/>
      <c r="B69" s="670" t="s">
        <v>592</v>
      </c>
      <c r="C69" s="666" t="s">
        <v>26</v>
      </c>
      <c r="D69" s="674">
        <f>'B11 VHTT'!E60</f>
        <v>91.818181818181827</v>
      </c>
      <c r="E69" s="702">
        <f>'B11 VHTT'!BD60</f>
        <v>0</v>
      </c>
      <c r="F69" s="675">
        <f t="shared" si="2"/>
        <v>91.818181818181827</v>
      </c>
      <c r="G69" s="678"/>
    </row>
    <row r="70" spans="1:7">
      <c r="A70" s="666"/>
      <c r="B70" s="670" t="s">
        <v>516</v>
      </c>
      <c r="C70" s="666" t="s">
        <v>349</v>
      </c>
      <c r="D70" s="682">
        <f>B12.TTTT!E9</f>
        <v>280</v>
      </c>
      <c r="E70" s="707">
        <f>B12.TTTT!N9</f>
        <v>296</v>
      </c>
      <c r="F70" s="675">
        <f t="shared" si="2"/>
        <v>-16</v>
      </c>
      <c r="G70" s="678"/>
    </row>
    <row r="71" spans="1:7" ht="31.5">
      <c r="A71" s="666"/>
      <c r="B71" s="670" t="s">
        <v>517</v>
      </c>
      <c r="C71" s="666" t="s">
        <v>518</v>
      </c>
      <c r="D71" s="682">
        <f>B12.TTTT!E10</f>
        <v>45269</v>
      </c>
      <c r="E71" s="707">
        <f>B12.TTTT!N10</f>
        <v>36878</v>
      </c>
      <c r="F71" s="675">
        <f t="shared" si="2"/>
        <v>8391</v>
      </c>
      <c r="G71" s="678"/>
    </row>
    <row r="72" spans="1:7" ht="31.5">
      <c r="A72" s="666"/>
      <c r="B72" s="670" t="s">
        <v>520</v>
      </c>
      <c r="C72" s="666" t="s">
        <v>518</v>
      </c>
      <c r="D72" s="682">
        <f>B12.TTTT!E12</f>
        <v>5251</v>
      </c>
      <c r="E72" s="707">
        <f>B12.TTTT!N12</f>
        <v>6103</v>
      </c>
      <c r="F72" s="675">
        <f t="shared" si="2"/>
        <v>-852</v>
      </c>
      <c r="G72" s="678"/>
    </row>
    <row r="73" spans="1:7" ht="63">
      <c r="A73" s="666"/>
      <c r="B73" s="670" t="s">
        <v>751</v>
      </c>
      <c r="C73" s="666" t="s">
        <v>26</v>
      </c>
      <c r="D73" s="682">
        <f>B12.TTTT!E15</f>
        <v>95</v>
      </c>
      <c r="E73" s="707">
        <f>B12.TTTT!N15</f>
        <v>100</v>
      </c>
      <c r="F73" s="675">
        <f t="shared" si="2"/>
        <v>-5</v>
      </c>
      <c r="G73" s="678"/>
    </row>
  </sheetData>
  <mergeCells count="8">
    <mergeCell ref="G4:G5"/>
    <mergeCell ref="G14:G15"/>
    <mergeCell ref="A2:G2"/>
    <mergeCell ref="D4:E4"/>
    <mergeCell ref="F4:F5"/>
    <mergeCell ref="A4:A5"/>
    <mergeCell ref="B4:B5"/>
    <mergeCell ref="C4:C5"/>
  </mergeCells>
  <pageMargins left="0.19685039370078741" right="0.19685039370078741" top="0.74803149606299213" bottom="0.74803149606299213" header="0.31496062992125984" footer="0.31496062992125984"/>
  <pageSetup paperSize="9" orientation="portrait" verticalDpi="0" r:id="rId1"/>
</worksheet>
</file>

<file path=xl/worksheets/sheet1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6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6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6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6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6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6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6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6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6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6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7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7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7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7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7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7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7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7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7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7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8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8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8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8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8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8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8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8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8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8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9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9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9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9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9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9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9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9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9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9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27</vt:i4>
      </vt:variant>
    </vt:vector>
  </HeadingPairs>
  <TitlesOfParts>
    <vt:vector size="53" baseType="lpstr">
      <vt:lpstr>Bia (1)</vt:lpstr>
      <vt:lpstr>foxz</vt:lpstr>
      <vt:lpstr>B1 Bieu TH </vt:lpstr>
      <vt:lpstr>B2 SXNN</vt:lpstr>
      <vt:lpstr>B3 NTM</vt:lpstr>
      <vt:lpstr>HTSX</vt:lpstr>
      <vt:lpstr>B4 SXCN</vt:lpstr>
      <vt:lpstr>B5 TM-DV </vt:lpstr>
      <vt:lpstr>B6. PTDN</vt:lpstr>
      <vt:lpstr>B7 LD&amp;VL-XDGN</vt:lpstr>
      <vt:lpstr>B8.PCTT, BVMT...</vt:lpstr>
      <vt:lpstr>B8. DS-GD&amp;TE </vt:lpstr>
      <vt:lpstr>B9. Y TE</vt:lpstr>
      <vt:lpstr>B10.GIAODUC</vt:lpstr>
      <vt:lpstr>B11 VHTT</vt:lpstr>
      <vt:lpstr>Sheet5</vt:lpstr>
      <vt:lpstr>Sheet2</vt:lpstr>
      <vt:lpstr>Sheet1</vt:lpstr>
      <vt:lpstr>B12.TTTT</vt:lpstr>
      <vt:lpstr>Sheet6</vt:lpstr>
      <vt:lpstr>Sheet4</vt:lpstr>
      <vt:lpstr>Sheet3</vt:lpstr>
      <vt:lpstr>B điều chỉnh</vt:lpstr>
      <vt:lpstr>TH so sanh KH tỉnh</vt:lpstr>
      <vt:lpstr>Sheet7</vt:lpstr>
      <vt:lpstr>Sheet8</vt:lpstr>
      <vt:lpstr>'B1 Bieu TH '!Print_Area</vt:lpstr>
      <vt:lpstr>B10.GIAODUC!Print_Area</vt:lpstr>
      <vt:lpstr>'B11 VHTT'!Print_Area</vt:lpstr>
      <vt:lpstr>B12.TTTT!Print_Area</vt:lpstr>
      <vt:lpstr>'B2 SXNN'!Print_Area</vt:lpstr>
      <vt:lpstr>'B3 NTM'!Print_Area</vt:lpstr>
      <vt:lpstr>'B4 SXCN'!Print_Area</vt:lpstr>
      <vt:lpstr>'B5 TM-DV '!Print_Area</vt:lpstr>
      <vt:lpstr>'B6. PTDN'!Print_Area</vt:lpstr>
      <vt:lpstr>'B7 LD&amp;VL-XDGN'!Print_Area</vt:lpstr>
      <vt:lpstr>'B8. DS-GD&amp;TE '!Print_Area</vt:lpstr>
      <vt:lpstr>'B8.PCTT, BVMT...'!Print_Area</vt:lpstr>
      <vt:lpstr>'B9. Y TE'!Print_Area</vt:lpstr>
      <vt:lpstr>HTSX!Print_Area</vt:lpstr>
      <vt:lpstr>'B điều chỉnh'!Print_Titles</vt:lpstr>
      <vt:lpstr>'B1 Bieu TH '!Print_Titles</vt:lpstr>
      <vt:lpstr>B10.GIAODUC!Print_Titles</vt:lpstr>
      <vt:lpstr>'B11 VHTT'!Print_Titles</vt:lpstr>
      <vt:lpstr>B12.TTTT!Print_Titles</vt:lpstr>
      <vt:lpstr>'B2 SXNN'!Print_Titles</vt:lpstr>
      <vt:lpstr>'B5 TM-DV '!Print_Titles</vt:lpstr>
      <vt:lpstr>'B7 LD&amp;VL-XDGN'!Print_Titles</vt:lpstr>
      <vt:lpstr>'B8. DS-GD&amp;TE '!Print_Titles</vt:lpstr>
      <vt:lpstr>'B8.PCTT, BVMT...'!Print_Titles</vt:lpstr>
      <vt:lpstr>'B9. Y TE'!Print_Titles</vt:lpstr>
      <vt:lpstr>Sheet7!Print_Titles</vt:lpstr>
      <vt:lpstr>'TH so sanh KH tỉnh'!Print_Titles</vt:lpstr>
    </vt:vector>
  </TitlesOfParts>
  <Company>Microsoft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creator>Ngoc Vinh</dc:creator>
  <cp:lastModifiedBy>Chuyen vien</cp:lastModifiedBy>
  <cp:lastPrinted>2025-06-10T09:51:16Z</cp:lastPrinted>
  <dcterms:created xsi:type="dcterms:W3CDTF">2005-08-27T08:58:33Z</dcterms:created>
  <dcterms:modified xsi:type="dcterms:W3CDTF">2025-06-10T09:59:26Z</dcterms:modified>
</cp:coreProperties>
</file>